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9.xml" ContentType="application/vnd.openxmlformats-officedocument.spreadsheetml.table+xml"/>
  <Override PartName="/xl/queryTables/queryTable1.xml" ContentType="application/vnd.openxmlformats-officedocument.spreadsheetml.query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drawings/drawing2.xml" ContentType="application/vnd.openxmlformats-officedocument.drawing+xml"/>
  <Override PartName="/xl/tables/table77.xml" ContentType="application/vnd.openxmlformats-officedocument.spreadsheetml.table+xml"/>
  <Override PartName="/xl/tables/table78.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79.xml" ContentType="application/vnd.openxmlformats-officedocument.spreadsheetml.table+xml"/>
  <Override PartName="/xl/tables/table80.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updateLinks="never" codeName="ThisWorkbook" hidePivotFieldList="1" defaultThemeVersion="166925"/>
  <mc:AlternateContent xmlns:mc="http://schemas.openxmlformats.org/markup-compatibility/2006">
    <mc:Choice Requires="x15">
      <x15ac:absPath xmlns:x15ac="http://schemas.microsoft.com/office/spreadsheetml/2010/11/ac" url="https://escvic-my.sharepoint.com/personal/sonia_madamba_esc_vic_gov_au/Documents/Desktop/FD docs for upload on the web/"/>
    </mc:Choice>
  </mc:AlternateContent>
  <xr:revisionPtr revIDLastSave="0" documentId="8_{D595F7ED-A5DF-44C0-8F6B-2C7137B3C25F}" xr6:coauthVersionLast="47" xr6:coauthVersionMax="47" xr10:uidLastSave="{00000000-0000-0000-0000-000000000000}"/>
  <workbookProtection workbookAlgorithmName="SHA-512" workbookHashValue="AiE+GiOdoVN24LMSfqe4nSJUmz2ItNgT1Vfa/M0smC+3jaLOpr/l/6yhwfaahzYEysjFmkXTMUS32LJTN6lYMw==" workbookSaltValue="rP2yR3eVbfKjtva3X/tqlQ==" workbookSpinCount="100000" lockStructure="1"/>
  <bookViews>
    <workbookView xWindow="1725" yWindow="825" windowWidth="15375" windowHeight="7875" tabRatio="731" xr2:uid="{7D2DFC98-FAB5-43BC-B4E4-A25601635F0E}"/>
  </bookViews>
  <sheets>
    <sheet name="Disclaimer" sheetId="46" r:id="rId1"/>
    <sheet name="Contents" sheetId="4" r:id="rId2"/>
    <sheet name="User Guide" sheetId="40" r:id="rId3"/>
    <sheet name="Information" sheetId="38" state="hidden" r:id="rId4"/>
    <sheet name="Sources" sheetId="41" state="hidden" r:id="rId5"/>
    <sheet name="Version control" sheetId="45" state="hidden" r:id="rId6"/>
    <sheet name="Checks" sheetId="25" state="hidden" r:id="rId7"/>
    <sheet name="Change Log" sheetId="24" state="hidden" r:id="rId8"/>
    <sheet name="Inputs" sheetId="42" r:id="rId9"/>
    <sheet name="General Assumptions" sheetId="39" r:id="rId10"/>
    <sheet name="CPI" sheetId="48" r:id="rId11"/>
    <sheet name="Calc_Rates" sheetId="44" r:id="rId12"/>
    <sheet name="Calc_TU_values" sheetId="49" r:id="rId13"/>
    <sheet name="Calc_TU_rates" sheetId="63" r:id="rId14"/>
    <sheet name="OP_Rates" sheetId="51" r:id="rId15"/>
    <sheet name="OP_CMAB" sheetId="50" r:id="rId16"/>
    <sheet name="CH_CostStack_RES" sheetId="52" r:id="rId17"/>
    <sheet name="CH_CostStack_SME" sheetId="53" r:id="rId18"/>
    <sheet name="CH_CostItems_Anytime" sheetId="67" state="hidden" r:id="rId19"/>
    <sheet name="TBL_Comparison" sheetId="74" state="hidden" r:id="rId20"/>
    <sheet name="CH_CostElements_Anytime" sheetId="65" state="hidden" r:id="rId21"/>
    <sheet name="Lookup refs" sheetId="47" state="hidden" r:id="rId22"/>
    <sheet name="Blank_WkSheet" sheetId="17" state="hidden" r:id="rId23"/>
  </sheets>
  <definedNames>
    <definedName name="AUD">'General Assumptions'!$D$12</definedName>
    <definedName name="DiY">'General Assumptions'!$D$7</definedName>
    <definedName name="ExternalData_1" localSheetId="9" hidden="1">'General Assumptions'!$C$22:$D$27</definedName>
    <definedName name="FM_Prop">#REF!</definedName>
    <definedName name="GST">'General Assumptions'!$D$15</definedName>
    <definedName name="H1_Prop">#REF!</definedName>
    <definedName name="H2_Prop">#REF!</definedName>
    <definedName name="M4_Prop">#REF!</definedName>
    <definedName name="M8_Prop">#REF!</definedName>
    <definedName name="MiQ">'General Assumptions'!$D$9</definedName>
    <definedName name="MiY">'General Assumptions'!$D$8</definedName>
    <definedName name="TU_Prop">#REF!</definedName>
    <definedName name="TUProp_CLLoad_1">Calc_TU_values!$F$91</definedName>
    <definedName name="TUProp_CLLoad_2">Calc_TU_values!$F$324</definedName>
    <definedName name="TUProp_Days_1">Calc_TU_values!$D$79</definedName>
    <definedName name="TUProp_Days_2">Calc_TU_values!$D$312</definedName>
    <definedName name="WACC">Inputs!$D$244</definedName>
    <definedName name="WACC_adj_1">Calc_TU_values!$D$81</definedName>
    <definedName name="WACC_adj_2">Calc_TU_values!$D$314</definedName>
    <definedName name="WiY">'General Assumptions'!$D$10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53" l="1"/>
  <c r="D23" i="48"/>
  <c r="J209" i="42" l="1" a="1"/>
  <c r="J209" i="42" s="1"/>
  <c r="G460" i="44" l="1" a="1"/>
  <c r="G460" i="44" s="1"/>
  <c r="M9" i="74" l="1"/>
  <c r="G395" i="44" l="1"/>
  <c r="G396" i="44"/>
  <c r="G397" i="44"/>
  <c r="G398" i="44"/>
  <c r="H398" i="44" s="1"/>
  <c r="G399" i="44"/>
  <c r="H399" i="44" s="1"/>
  <c r="G400" i="44"/>
  <c r="H400" i="44" s="1"/>
  <c r="G394" i="44"/>
  <c r="F148" i="44"/>
  <c r="E148" i="44"/>
  <c r="G149" i="44"/>
  <c r="G150" i="44"/>
  <c r="G151" i="44"/>
  <c r="G152" i="44"/>
  <c r="G153" i="44"/>
  <c r="G154" i="44"/>
  <c r="G148" i="44"/>
  <c r="K49" i="74" l="1"/>
  <c r="O49" i="74"/>
  <c r="I9" i="74" l="1"/>
  <c r="J9" i="74"/>
  <c r="N9" i="74"/>
  <c r="K9" i="74"/>
  <c r="O9" i="74"/>
  <c r="W58" i="74"/>
  <c r="R58" i="74"/>
  <c r="W49" i="74"/>
  <c r="R49" i="74"/>
  <c r="W18" i="74"/>
  <c r="R18" i="74"/>
  <c r="W9" i="74"/>
  <c r="R9" i="74"/>
  <c r="N49" i="74"/>
  <c r="J49" i="74"/>
  <c r="M49" i="74"/>
  <c r="I49" i="74"/>
  <c r="G49" i="74"/>
  <c r="F49" i="74"/>
  <c r="G9" i="74"/>
  <c r="F9" i="74"/>
  <c r="B3" i="74"/>
  <c r="B6" i="74" s="1"/>
  <c r="C2" i="74"/>
  <c r="B46" i="74" l="1"/>
  <c r="N89" i="67"/>
  <c r="R87" i="67" s="1"/>
  <c r="G89" i="67"/>
  <c r="N17" i="67"/>
  <c r="G17" i="67"/>
  <c r="K15" i="67" l="1"/>
  <c r="K14" i="67" s="1"/>
  <c r="K87" i="67"/>
  <c r="K86" i="67" s="1"/>
  <c r="R15" i="67"/>
  <c r="R86" i="67"/>
  <c r="R14" i="67" l="1"/>
  <c r="D15" i="25"/>
  <c r="L14" i="24"/>
  <c r="L15" i="24"/>
  <c r="L16" i="24"/>
  <c r="L17" i="24"/>
  <c r="L18" i="24"/>
  <c r="L19" i="24"/>
  <c r="L20" i="24"/>
  <c r="L21" i="24"/>
  <c r="L22" i="24"/>
  <c r="L23" i="24"/>
  <c r="L24" i="24"/>
  <c r="L25" i="24"/>
  <c r="L26" i="24"/>
  <c r="L27" i="24"/>
  <c r="L13" i="24"/>
  <c r="J6" i="24"/>
  <c r="D9" i="25" s="1"/>
  <c r="H210" i="42" a="1"/>
  <c r="H210" i="42" s="1"/>
  <c r="H65" i="63" l="1" a="1"/>
  <c r="H65" i="63" s="1"/>
  <c r="H101" i="63" s="1"/>
  <c r="H75" i="63" a="1"/>
  <c r="H75" i="63" s="1"/>
  <c r="H111" i="63" s="1"/>
  <c r="H76" i="63" a="1"/>
  <c r="H76" i="63" s="1"/>
  <c r="H112" i="63" s="1"/>
  <c r="H86" i="63" a="1"/>
  <c r="H86" i="63" s="1"/>
  <c r="H122" i="63" s="1"/>
  <c r="H87" i="63" a="1"/>
  <c r="H87" i="63" s="1"/>
  <c r="H123" i="63" s="1"/>
  <c r="I196" i="63" a="1"/>
  <c r="I196" i="63" s="1"/>
  <c r="I232" i="63" s="1"/>
  <c r="J196" i="63" a="1"/>
  <c r="J196" i="63" s="1"/>
  <c r="J232" i="63" s="1"/>
  <c r="K196" i="63" a="1"/>
  <c r="K196" i="63" s="1"/>
  <c r="K232" i="63" s="1"/>
  <c r="L196" i="63" a="1"/>
  <c r="L196" i="63" s="1"/>
  <c r="L232" i="63" s="1"/>
  <c r="I197" i="63" a="1"/>
  <c r="I197" i="63" s="1"/>
  <c r="I233" i="63" s="1"/>
  <c r="J197" i="63" a="1"/>
  <c r="J197" i="63" s="1"/>
  <c r="J233" i="63" s="1"/>
  <c r="K197" i="63" a="1"/>
  <c r="K197" i="63" s="1"/>
  <c r="K233" i="63" s="1"/>
  <c r="L197" i="63" a="1"/>
  <c r="L197" i="63" s="1"/>
  <c r="L233" i="63" s="1"/>
  <c r="I198" i="63" a="1"/>
  <c r="I198" i="63" s="1"/>
  <c r="I234" i="63" s="1"/>
  <c r="J198" i="63" a="1"/>
  <c r="J198" i="63" s="1"/>
  <c r="J234" i="63" s="1"/>
  <c r="K198" i="63" a="1"/>
  <c r="K198" i="63" s="1"/>
  <c r="K234" i="63" s="1"/>
  <c r="L198" i="63" a="1"/>
  <c r="L198" i="63" s="1"/>
  <c r="L234" i="63" s="1"/>
  <c r="I199" i="63" a="1"/>
  <c r="I199" i="63" s="1"/>
  <c r="I235" i="63" s="1"/>
  <c r="J199" i="63" a="1"/>
  <c r="J199" i="63" s="1"/>
  <c r="J235" i="63" s="1"/>
  <c r="K199" i="63" a="1"/>
  <c r="K199" i="63" s="1"/>
  <c r="K235" i="63" s="1"/>
  <c r="L199" i="63" a="1"/>
  <c r="L199" i="63" s="1"/>
  <c r="L235" i="63" s="1"/>
  <c r="I207" i="63" a="1"/>
  <c r="I207" i="63" s="1"/>
  <c r="I243" i="63" s="1"/>
  <c r="J207" i="63" a="1"/>
  <c r="J207" i="63" s="1"/>
  <c r="J243" i="63" s="1"/>
  <c r="K207" i="63" a="1"/>
  <c r="K207" i="63" s="1"/>
  <c r="K243" i="63" s="1"/>
  <c r="L207" i="63" a="1"/>
  <c r="L207" i="63" s="1"/>
  <c r="L243" i="63" s="1"/>
  <c r="I208" i="63" a="1"/>
  <c r="I208" i="63" s="1"/>
  <c r="I244" i="63" s="1"/>
  <c r="J208" i="63" a="1"/>
  <c r="J208" i="63" s="1"/>
  <c r="J244" i="63" s="1"/>
  <c r="K208" i="63" a="1"/>
  <c r="K208" i="63" s="1"/>
  <c r="K244" i="63" s="1"/>
  <c r="L208" i="63" a="1"/>
  <c r="L208" i="63" s="1"/>
  <c r="L244" i="63" s="1"/>
  <c r="I209" i="63" a="1"/>
  <c r="I209" i="63" s="1"/>
  <c r="I245" i="63" s="1"/>
  <c r="J209" i="63" a="1"/>
  <c r="J209" i="63" s="1"/>
  <c r="J245" i="63" s="1"/>
  <c r="K209" i="63" a="1"/>
  <c r="K209" i="63" s="1"/>
  <c r="K245" i="63" s="1"/>
  <c r="L209" i="63" a="1"/>
  <c r="L209" i="63" s="1"/>
  <c r="L245" i="63" s="1"/>
  <c r="I210" i="63" a="1"/>
  <c r="I210" i="63" s="1"/>
  <c r="I246" i="63" s="1"/>
  <c r="J210" i="63" a="1"/>
  <c r="J210" i="63" s="1"/>
  <c r="J246" i="63" s="1"/>
  <c r="K210" i="63" a="1"/>
  <c r="K210" i="63" s="1"/>
  <c r="K246" i="63" s="1"/>
  <c r="L210" i="63" a="1"/>
  <c r="L210" i="63" s="1"/>
  <c r="L246" i="63" s="1"/>
  <c r="I218" i="63" a="1"/>
  <c r="I218" i="63" s="1"/>
  <c r="I254" i="63" s="1"/>
  <c r="J218" i="63" a="1"/>
  <c r="J218" i="63" s="1"/>
  <c r="J254" i="63" s="1"/>
  <c r="K218" i="63" a="1"/>
  <c r="K218" i="63" s="1"/>
  <c r="K254" i="63" s="1"/>
  <c r="L218" i="63" a="1"/>
  <c r="L218" i="63" s="1"/>
  <c r="L254" i="63" s="1"/>
  <c r="I219" i="63" a="1"/>
  <c r="I219" i="63" s="1"/>
  <c r="I255" i="63" s="1"/>
  <c r="J219" i="63" a="1"/>
  <c r="J219" i="63" s="1"/>
  <c r="J255" i="63" s="1"/>
  <c r="K219" i="63" a="1"/>
  <c r="K219" i="63" s="1"/>
  <c r="K255" i="63" s="1"/>
  <c r="L219" i="63" a="1"/>
  <c r="L219" i="63" s="1"/>
  <c r="L255" i="63" s="1"/>
  <c r="I221" i="63" a="1"/>
  <c r="I221" i="63" s="1"/>
  <c r="I257" i="63" s="1"/>
  <c r="J221" i="63" a="1"/>
  <c r="J221" i="63" s="1"/>
  <c r="J257" i="63" s="1"/>
  <c r="K221" i="63" a="1"/>
  <c r="K221" i="63" s="1"/>
  <c r="K257" i="63" s="1"/>
  <c r="L221" i="63" a="1"/>
  <c r="L221" i="63" s="1"/>
  <c r="L257" i="63" s="1"/>
  <c r="I222" i="63" a="1"/>
  <c r="I222" i="63" s="1"/>
  <c r="I258" i="63" s="1"/>
  <c r="J222" i="63" a="1"/>
  <c r="J222" i="63" s="1"/>
  <c r="J258" i="63" s="1"/>
  <c r="K222" i="63" a="1"/>
  <c r="K222" i="63" s="1"/>
  <c r="K258" i="63" s="1"/>
  <c r="L222" i="63" a="1"/>
  <c r="L222" i="63" s="1"/>
  <c r="L258" i="63" s="1"/>
  <c r="H195" i="63" a="1"/>
  <c r="H195" i="63" s="1"/>
  <c r="H231" i="63" s="1"/>
  <c r="H205" i="63" a="1"/>
  <c r="H205" i="63" s="1"/>
  <c r="H241" i="63" s="1"/>
  <c r="H206" i="63" a="1"/>
  <c r="H206" i="63" s="1"/>
  <c r="H242" i="63" s="1"/>
  <c r="H216" i="63" a="1"/>
  <c r="H216" i="63" s="1"/>
  <c r="H252" i="63" s="1"/>
  <c r="H217" i="63" a="1"/>
  <c r="H217" i="63" s="1"/>
  <c r="H253" i="63" s="1"/>
  <c r="H194" i="63" a="1"/>
  <c r="H194" i="63" s="1"/>
  <c r="H230" i="63" s="1"/>
  <c r="I66" i="63" a="1"/>
  <c r="I66" i="63" s="1"/>
  <c r="J66" i="63" a="1"/>
  <c r="J66" i="63" s="1"/>
  <c r="K66" i="63" a="1"/>
  <c r="K66" i="63" s="1"/>
  <c r="L66" i="63" a="1"/>
  <c r="L66" i="63" s="1"/>
  <c r="I67" i="63" a="1"/>
  <c r="I67" i="63" s="1"/>
  <c r="I103" i="63" s="1"/>
  <c r="J67" i="63" a="1"/>
  <c r="J67" i="63" s="1"/>
  <c r="J103" i="63" s="1"/>
  <c r="K67" i="63" a="1"/>
  <c r="K67" i="63" s="1"/>
  <c r="K103" i="63" s="1"/>
  <c r="L67" i="63" a="1"/>
  <c r="L67" i="63" s="1"/>
  <c r="L103" i="63" s="1"/>
  <c r="I68" i="63" a="1"/>
  <c r="I68" i="63" s="1"/>
  <c r="J68" i="63" a="1"/>
  <c r="J68" i="63" s="1"/>
  <c r="K68" i="63" a="1"/>
  <c r="K68" i="63" s="1"/>
  <c r="L68" i="63" a="1"/>
  <c r="L68" i="63" s="1"/>
  <c r="I69" i="63" a="1"/>
  <c r="I69" i="63" s="1"/>
  <c r="I105" i="63" s="1"/>
  <c r="J69" i="63" a="1"/>
  <c r="J69" i="63" s="1"/>
  <c r="J105" i="63" s="1"/>
  <c r="K69" i="63" a="1"/>
  <c r="K69" i="63" s="1"/>
  <c r="K105" i="63" s="1"/>
  <c r="L69" i="63" a="1"/>
  <c r="L69" i="63" s="1"/>
  <c r="L105" i="63" s="1"/>
  <c r="I77" i="63" a="1"/>
  <c r="I77" i="63" s="1"/>
  <c r="I113" i="63" s="1"/>
  <c r="J77" i="63" a="1"/>
  <c r="J77" i="63" s="1"/>
  <c r="J113" i="63" s="1"/>
  <c r="K77" i="63" a="1"/>
  <c r="K77" i="63" s="1"/>
  <c r="K113" i="63" s="1"/>
  <c r="L77" i="63" a="1"/>
  <c r="L77" i="63" s="1"/>
  <c r="L113" i="63" s="1"/>
  <c r="I78" i="63" a="1"/>
  <c r="I78" i="63" s="1"/>
  <c r="I114" i="63" s="1"/>
  <c r="J78" i="63" a="1"/>
  <c r="J78" i="63" s="1"/>
  <c r="J114" i="63" s="1"/>
  <c r="K78" i="63" a="1"/>
  <c r="K78" i="63" s="1"/>
  <c r="K114" i="63" s="1"/>
  <c r="L78" i="63" a="1"/>
  <c r="L78" i="63" s="1"/>
  <c r="L114" i="63" s="1"/>
  <c r="I79" i="63" a="1"/>
  <c r="I79" i="63" s="1"/>
  <c r="I115" i="63" s="1"/>
  <c r="J79" i="63" a="1"/>
  <c r="J79" i="63" s="1"/>
  <c r="J115" i="63" s="1"/>
  <c r="K79" i="63" a="1"/>
  <c r="K79" i="63" s="1"/>
  <c r="K115" i="63" s="1"/>
  <c r="L79" i="63" a="1"/>
  <c r="L79" i="63" s="1"/>
  <c r="L115" i="63" s="1"/>
  <c r="I80" i="63" a="1"/>
  <c r="I80" i="63" s="1"/>
  <c r="I116" i="63" s="1"/>
  <c r="J80" i="63" a="1"/>
  <c r="J80" i="63" s="1"/>
  <c r="J116" i="63" s="1"/>
  <c r="K80" i="63" a="1"/>
  <c r="K80" i="63" s="1"/>
  <c r="K116" i="63" s="1"/>
  <c r="L80" i="63" a="1"/>
  <c r="L80" i="63" s="1"/>
  <c r="L116" i="63" s="1"/>
  <c r="I88" i="63" a="1"/>
  <c r="I88" i="63" s="1"/>
  <c r="I124" i="63" s="1"/>
  <c r="J88" i="63" a="1"/>
  <c r="J88" i="63" s="1"/>
  <c r="J124" i="63" s="1"/>
  <c r="K88" i="63" a="1"/>
  <c r="K88" i="63" s="1"/>
  <c r="K124" i="63" s="1"/>
  <c r="L88" i="63" a="1"/>
  <c r="L88" i="63" s="1"/>
  <c r="L124" i="63" s="1"/>
  <c r="I89" i="63" a="1"/>
  <c r="I89" i="63" s="1"/>
  <c r="I125" i="63" s="1"/>
  <c r="J89" i="63" a="1"/>
  <c r="J89" i="63" s="1"/>
  <c r="J125" i="63" s="1"/>
  <c r="K89" i="63" a="1"/>
  <c r="K89" i="63" s="1"/>
  <c r="K125" i="63" s="1"/>
  <c r="L89" i="63" a="1"/>
  <c r="L89" i="63" s="1"/>
  <c r="L125" i="63" s="1"/>
  <c r="I90" i="63" a="1"/>
  <c r="I90" i="63" s="1"/>
  <c r="I126" i="63" s="1"/>
  <c r="J90" i="63" a="1"/>
  <c r="J90" i="63" s="1"/>
  <c r="J126" i="63" s="1"/>
  <c r="K90" i="63" a="1"/>
  <c r="K90" i="63" s="1"/>
  <c r="K126" i="63" s="1"/>
  <c r="L90" i="63" a="1"/>
  <c r="L90" i="63" s="1"/>
  <c r="L126" i="63" s="1"/>
  <c r="I91" i="63" a="1"/>
  <c r="I91" i="63" s="1"/>
  <c r="I127" i="63" s="1"/>
  <c r="J91" i="63" a="1"/>
  <c r="J91" i="63" s="1"/>
  <c r="J127" i="63" s="1"/>
  <c r="K91" i="63" a="1"/>
  <c r="K91" i="63" s="1"/>
  <c r="K127" i="63" s="1"/>
  <c r="L91" i="63" a="1"/>
  <c r="L91" i="63" s="1"/>
  <c r="L127" i="63" s="1"/>
  <c r="H64" i="63" a="1"/>
  <c r="H64" i="63" s="1"/>
  <c r="D10" i="49"/>
  <c r="F237" i="42"/>
  <c r="J237" i="42"/>
  <c r="I237" i="42"/>
  <c r="H237" i="42"/>
  <c r="G237" i="42"/>
  <c r="D240" i="49"/>
  <c r="S87" i="67" l="1"/>
  <c r="S86" i="67"/>
  <c r="S15" i="67"/>
  <c r="L86" i="67"/>
  <c r="L87" i="67"/>
  <c r="L14" i="67"/>
  <c r="L15" i="67"/>
  <c r="S14" i="67"/>
  <c r="J104" i="63"/>
  <c r="I35" i="51" a="1"/>
  <c r="I35" i="51" s="1"/>
  <c r="K102" i="63"/>
  <c r="J34" i="51" a="1"/>
  <c r="J34" i="51" s="1"/>
  <c r="J102" i="63"/>
  <c r="I34" i="51" a="1"/>
  <c r="I34" i="51" s="1"/>
  <c r="L104" i="63"/>
  <c r="K35" i="51" a="1"/>
  <c r="K35" i="51" s="1"/>
  <c r="L102" i="63"/>
  <c r="K34" i="51" a="1"/>
  <c r="K34" i="51" s="1"/>
  <c r="H100" i="63"/>
  <c r="G36" i="51" a="1"/>
  <c r="G36" i="51" s="1"/>
  <c r="I104" i="63"/>
  <c r="H35" i="51" a="1"/>
  <c r="H35" i="51" s="1"/>
  <c r="I102" i="63"/>
  <c r="H34" i="51" a="1"/>
  <c r="H34" i="51" s="1"/>
  <c r="K104" i="63"/>
  <c r="J35" i="51" a="1"/>
  <c r="J35" i="51" s="1"/>
  <c r="L88" i="67" l="1"/>
  <c r="S16" i="67"/>
  <c r="S88" i="67"/>
  <c r="L16" i="67"/>
  <c r="L36" i="50" l="1" a="1"/>
  <c r="L36" i="50" s="1"/>
  <c r="K36" i="50" a="1"/>
  <c r="K36" i="50" s="1"/>
  <c r="O459" i="49" l="1"/>
  <c r="N459" i="49"/>
  <c r="M459" i="49"/>
  <c r="L459" i="49"/>
  <c r="K459" i="49"/>
  <c r="O445" i="49"/>
  <c r="N445" i="49"/>
  <c r="M445" i="49"/>
  <c r="L445" i="49"/>
  <c r="K445" i="49"/>
  <c r="O431" i="49"/>
  <c r="N431" i="49"/>
  <c r="M431" i="49"/>
  <c r="L431" i="49"/>
  <c r="K431" i="49"/>
  <c r="O417" i="49"/>
  <c r="N417" i="49"/>
  <c r="M417" i="49"/>
  <c r="L417" i="49"/>
  <c r="K417" i="49"/>
  <c r="O402" i="49"/>
  <c r="N402" i="49"/>
  <c r="M402" i="49"/>
  <c r="L402" i="49"/>
  <c r="K402" i="49"/>
  <c r="O387" i="49"/>
  <c r="N387" i="49"/>
  <c r="M387" i="49"/>
  <c r="L387" i="49"/>
  <c r="K387" i="49"/>
  <c r="O347" i="49"/>
  <c r="N347" i="49"/>
  <c r="M347" i="49"/>
  <c r="L347" i="49"/>
  <c r="K347" i="49"/>
  <c r="K362" i="49"/>
  <c r="L362" i="49"/>
  <c r="M362" i="49"/>
  <c r="N362" i="49"/>
  <c r="O362" i="49"/>
  <c r="O373" i="49"/>
  <c r="N373" i="49"/>
  <c r="M373" i="49"/>
  <c r="L373" i="49"/>
  <c r="K373" i="49"/>
  <c r="U114" i="51" a="1"/>
  <c r="U114" i="51" s="1"/>
  <c r="T114" i="51" a="1"/>
  <c r="T114" i="51" s="1"/>
  <c r="S114" i="51" a="1"/>
  <c r="S114" i="51" s="1"/>
  <c r="R114" i="51" a="1"/>
  <c r="R114" i="51" s="1"/>
  <c r="Q114" i="51" a="1"/>
  <c r="Q114" i="51" s="1"/>
  <c r="U108" i="51" a="1"/>
  <c r="U108" i="51" s="1"/>
  <c r="U143" i="51" s="1" a="1"/>
  <c r="U143" i="51" s="1"/>
  <c r="T108" i="51" a="1"/>
  <c r="T108" i="51" s="1"/>
  <c r="T143" i="51" s="1" a="1"/>
  <c r="T143" i="51" s="1"/>
  <c r="S108" i="51" a="1"/>
  <c r="S108" i="51" s="1"/>
  <c r="S143" i="51" s="1" a="1"/>
  <c r="S143" i="51" s="1"/>
  <c r="R108" i="51" a="1"/>
  <c r="R108" i="51" s="1"/>
  <c r="R143" i="51" s="1" a="1"/>
  <c r="R143" i="51" s="1"/>
  <c r="Q108" i="51" a="1"/>
  <c r="Q108" i="51" s="1"/>
  <c r="Q143" i="51" s="1" a="1"/>
  <c r="Q143" i="51" s="1"/>
  <c r="U91" i="51" a="1"/>
  <c r="U91" i="51" s="1"/>
  <c r="T91" i="51" a="1"/>
  <c r="T91" i="51" s="1"/>
  <c r="S91" i="51" a="1"/>
  <c r="S91" i="51" s="1"/>
  <c r="R91" i="51" a="1"/>
  <c r="R91" i="51" s="1"/>
  <c r="Q91" i="51" a="1"/>
  <c r="Q91" i="51" s="1"/>
  <c r="C186" i="63"/>
  <c r="L186" i="63" s="1" a="1"/>
  <c r="L186" i="63" s="1"/>
  <c r="C185" i="63"/>
  <c r="C184" i="63"/>
  <c r="C149" i="63"/>
  <c r="C148" i="63"/>
  <c r="C147" i="63"/>
  <c r="C146" i="63"/>
  <c r="C145" i="63"/>
  <c r="C144" i="63"/>
  <c r="C143" i="63"/>
  <c r="C142" i="63"/>
  <c r="C141" i="63"/>
  <c r="K109" i="51" l="1" a="1"/>
  <c r="K109" i="51" s="1"/>
  <c r="K144" i="51" s="1" a="1"/>
  <c r="K144" i="51" s="1"/>
  <c r="K110" i="51" a="1"/>
  <c r="K110" i="51" s="1"/>
  <c r="K145" i="51" s="1" a="1"/>
  <c r="K145" i="51" s="1"/>
  <c r="H109" i="51" a="1"/>
  <c r="H109" i="51" s="1"/>
  <c r="H144" i="51" s="1" a="1"/>
  <c r="H144" i="51" s="1"/>
  <c r="H110" i="51" a="1"/>
  <c r="H110" i="51" s="1"/>
  <c r="H145" i="51" s="1" a="1"/>
  <c r="H145" i="51" s="1"/>
  <c r="I109" i="51" a="1"/>
  <c r="I109" i="51" s="1"/>
  <c r="I144" i="51" s="1" a="1"/>
  <c r="I144" i="51" s="1"/>
  <c r="I110" i="51" a="1"/>
  <c r="I110" i="51" s="1"/>
  <c r="I145" i="51" s="1" a="1"/>
  <c r="I145" i="51" s="1"/>
  <c r="J109" i="51" a="1"/>
  <c r="J109" i="51" s="1"/>
  <c r="J144" i="51" s="1" a="1"/>
  <c r="J144" i="51" s="1"/>
  <c r="J110" i="51" a="1"/>
  <c r="J110" i="51" s="1"/>
  <c r="J145" i="51" s="1" a="1"/>
  <c r="J145" i="51" s="1"/>
  <c r="G111" i="51" a="1"/>
  <c r="G111" i="51" s="1"/>
  <c r="G146" i="51" s="1" a="1"/>
  <c r="G146" i="51" s="1"/>
  <c r="U109" i="51" a="1"/>
  <c r="U109" i="51" s="1"/>
  <c r="H186" i="63" a="1"/>
  <c r="H186" i="63" s="1"/>
  <c r="J186" i="63" a="1"/>
  <c r="J186" i="63" s="1"/>
  <c r="I186" i="63" a="1"/>
  <c r="I186" i="63" s="1"/>
  <c r="U110" i="51" a="1"/>
  <c r="U110" i="51" s="1"/>
  <c r="Q111" i="51" a="1"/>
  <c r="Q111" i="51" s="1"/>
  <c r="R110" i="51" a="1"/>
  <c r="R110" i="51" s="1"/>
  <c r="K186" i="63" a="1"/>
  <c r="K186" i="63" s="1"/>
  <c r="S110" i="51" a="1"/>
  <c r="S110" i="51" s="1"/>
  <c r="T110" i="51" a="1"/>
  <c r="T110" i="51" s="1"/>
  <c r="R109" i="51" a="1"/>
  <c r="R109" i="51" s="1"/>
  <c r="S109" i="51" a="1"/>
  <c r="S109" i="51" s="1"/>
  <c r="T109" i="51" a="1"/>
  <c r="T109" i="51" s="1"/>
  <c r="U144" i="51" l="1" a="1"/>
  <c r="U144" i="51" s="1"/>
  <c r="U145" i="51" a="1"/>
  <c r="U145" i="51" s="1"/>
  <c r="T144" i="51" a="1"/>
  <c r="T144" i="51" s="1"/>
  <c r="T145" i="51" a="1"/>
  <c r="T145" i="51" s="1"/>
  <c r="S145" i="51" a="1"/>
  <c r="S145" i="51" s="1"/>
  <c r="S144" i="51" a="1"/>
  <c r="S144" i="51" s="1"/>
  <c r="R145" i="51" a="1"/>
  <c r="R145" i="51" s="1"/>
  <c r="R144" i="51" a="1"/>
  <c r="R144" i="51" s="1"/>
  <c r="Q146" i="51" a="1"/>
  <c r="Q146" i="51" s="1"/>
  <c r="F2" i="67"/>
  <c r="E2" i="67"/>
  <c r="E57" i="65" a="1"/>
  <c r="E57" i="65" s="1"/>
  <c r="E62" i="65" a="1"/>
  <c r="E62" i="65" s="1"/>
  <c r="O59" i="65" a="1"/>
  <c r="O59" i="65" s="1"/>
  <c r="N59" i="65" a="1"/>
  <c r="N59" i="65" s="1"/>
  <c r="M59" i="65" a="1"/>
  <c r="M59" i="65" s="1"/>
  <c r="L59" i="65" a="1"/>
  <c r="L59" i="65" s="1"/>
  <c r="K59" i="65" a="1"/>
  <c r="K59" i="65" s="1"/>
  <c r="J59" i="65" a="1"/>
  <c r="J59" i="65" s="1"/>
  <c r="I59" i="65" a="1"/>
  <c r="I59" i="65" s="1"/>
  <c r="H59" i="65" a="1"/>
  <c r="H59" i="65" s="1"/>
  <c r="G59" i="65" a="1"/>
  <c r="G59" i="65" s="1"/>
  <c r="F59" i="65" a="1"/>
  <c r="F59" i="65" s="1"/>
  <c r="E59" i="65" a="1"/>
  <c r="E59" i="65" s="1"/>
  <c r="O58" i="65" a="1"/>
  <c r="O58" i="65" s="1"/>
  <c r="N58" i="65" a="1"/>
  <c r="N58" i="65" s="1"/>
  <c r="M58" i="65" a="1"/>
  <c r="M58" i="65" s="1"/>
  <c r="L58" i="65" a="1"/>
  <c r="L58" i="65" s="1"/>
  <c r="K58" i="65" a="1"/>
  <c r="K58" i="65" s="1"/>
  <c r="J58" i="65" a="1"/>
  <c r="J58" i="65" s="1"/>
  <c r="I58" i="65" a="1"/>
  <c r="I58" i="65" s="1"/>
  <c r="H58" i="65" a="1"/>
  <c r="H58" i="65" s="1"/>
  <c r="G58" i="65" a="1"/>
  <c r="G58" i="65" s="1"/>
  <c r="F58" i="65" a="1"/>
  <c r="F58" i="65" s="1"/>
  <c r="E58" i="65" a="1"/>
  <c r="E58" i="65" s="1"/>
  <c r="O57" i="65" a="1"/>
  <c r="O57" i="65" s="1"/>
  <c r="N57" i="65" a="1"/>
  <c r="N57" i="65" s="1"/>
  <c r="M57" i="65" a="1"/>
  <c r="M57" i="65" s="1"/>
  <c r="L57" i="65" a="1"/>
  <c r="L57" i="65" s="1"/>
  <c r="K57" i="65" a="1"/>
  <c r="K57" i="65" s="1"/>
  <c r="J57" i="65" a="1"/>
  <c r="J57" i="65" s="1"/>
  <c r="I57" i="65" a="1"/>
  <c r="I57" i="65" s="1"/>
  <c r="H57" i="65" a="1"/>
  <c r="H57" i="65" s="1"/>
  <c r="G57" i="65" a="1"/>
  <c r="G57" i="65" s="1"/>
  <c r="F57" i="65" a="1"/>
  <c r="F57" i="65" s="1"/>
  <c r="O56" i="65" a="1"/>
  <c r="O56" i="65" s="1"/>
  <c r="N56" i="65" a="1"/>
  <c r="N56" i="65" s="1"/>
  <c r="M56" i="65" a="1"/>
  <c r="M56" i="65" s="1"/>
  <c r="L56" i="65"/>
  <c r="L56" i="65" a="1"/>
  <c r="K56" i="65" a="1"/>
  <c r="K56" i="65" s="1"/>
  <c r="J56" i="65" a="1"/>
  <c r="J56" i="65" s="1"/>
  <c r="I56" i="65" a="1"/>
  <c r="I56" i="65" s="1"/>
  <c r="H56" i="65" a="1"/>
  <c r="H56" i="65" s="1"/>
  <c r="G56" i="65" a="1"/>
  <c r="G56" i="65" s="1"/>
  <c r="F56" i="65" a="1"/>
  <c r="F56" i="65" s="1"/>
  <c r="E56" i="65" a="1"/>
  <c r="E56" i="65" s="1"/>
  <c r="O55" i="65" a="1"/>
  <c r="O55" i="65" s="1"/>
  <c r="N55" i="65" a="1"/>
  <c r="N55" i="65" s="1"/>
  <c r="M55" i="65" a="1"/>
  <c r="M55" i="65" s="1"/>
  <c r="L55" i="65" a="1"/>
  <c r="L55" i="65" s="1"/>
  <c r="K55" i="65" a="1"/>
  <c r="K55" i="65" s="1"/>
  <c r="J55" i="65" a="1"/>
  <c r="J55" i="65" s="1"/>
  <c r="I55" i="65" a="1"/>
  <c r="I55" i="65" s="1"/>
  <c r="H55" i="65" a="1"/>
  <c r="H55" i="65" s="1"/>
  <c r="G55" i="65" a="1"/>
  <c r="G55" i="65" s="1"/>
  <c r="F55" i="65" a="1"/>
  <c r="F55" i="65" s="1"/>
  <c r="E55" i="65" a="1"/>
  <c r="E55" i="65" s="1"/>
  <c r="O54" i="65" a="1"/>
  <c r="O54" i="65" s="1"/>
  <c r="N54" i="65" a="1"/>
  <c r="N54" i="65" s="1"/>
  <c r="M54" i="65" a="1"/>
  <c r="M54" i="65" s="1"/>
  <c r="L54" i="65" a="1"/>
  <c r="L54" i="65" s="1"/>
  <c r="K54" i="65" a="1"/>
  <c r="K54" i="65" s="1"/>
  <c r="J54" i="65" a="1"/>
  <c r="J54" i="65" s="1"/>
  <c r="I54" i="65" a="1"/>
  <c r="I54" i="65" s="1"/>
  <c r="H54" i="65" a="1"/>
  <c r="H54" i="65" s="1"/>
  <c r="G54" i="65" a="1"/>
  <c r="G54" i="65" s="1"/>
  <c r="F54" i="65" a="1"/>
  <c r="F54" i="65" s="1"/>
  <c r="E54" i="65" a="1"/>
  <c r="E54" i="65" s="1"/>
  <c r="O66" i="65" a="1"/>
  <c r="O66" i="65" s="1"/>
  <c r="N66" i="65" a="1"/>
  <c r="N66" i="65" s="1"/>
  <c r="M66" i="65" a="1"/>
  <c r="M66" i="65" s="1"/>
  <c r="L66" i="65" a="1"/>
  <c r="L66" i="65" s="1"/>
  <c r="K66" i="65" a="1"/>
  <c r="K66" i="65" s="1"/>
  <c r="J66" i="65" a="1"/>
  <c r="J66" i="65" s="1"/>
  <c r="I66" i="65" a="1"/>
  <c r="I66" i="65" s="1"/>
  <c r="H66" i="65" a="1"/>
  <c r="H66" i="65" s="1"/>
  <c r="G66" i="65" a="1"/>
  <c r="G66" i="65" s="1"/>
  <c r="F66" i="65" a="1"/>
  <c r="F66" i="65" s="1"/>
  <c r="E66" i="65" a="1"/>
  <c r="E66" i="65" s="1"/>
  <c r="O65" i="65" a="1"/>
  <c r="O65" i="65" s="1"/>
  <c r="N65" i="65" a="1"/>
  <c r="N65" i="65" s="1"/>
  <c r="M65" i="65" a="1"/>
  <c r="M65" i="65" s="1"/>
  <c r="L65" i="65" a="1"/>
  <c r="L65" i="65" s="1"/>
  <c r="K65" i="65" a="1"/>
  <c r="K65" i="65" s="1"/>
  <c r="J65" i="65" a="1"/>
  <c r="J65" i="65" s="1"/>
  <c r="I65" i="65" a="1"/>
  <c r="I65" i="65" s="1"/>
  <c r="H65" i="65" a="1"/>
  <c r="H65" i="65" s="1"/>
  <c r="G65" i="65" a="1"/>
  <c r="G65" i="65" s="1"/>
  <c r="F65" i="65" a="1"/>
  <c r="F65" i="65" s="1"/>
  <c r="E65" i="65" a="1"/>
  <c r="E65" i="65" s="1"/>
  <c r="O64" i="65" a="1"/>
  <c r="O64" i="65" s="1"/>
  <c r="N64" i="65" a="1"/>
  <c r="N64" i="65" s="1"/>
  <c r="M64" i="65" a="1"/>
  <c r="M64" i="65" s="1"/>
  <c r="L64" i="65" a="1"/>
  <c r="L64" i="65" s="1"/>
  <c r="K64" i="65" a="1"/>
  <c r="K64" i="65" s="1"/>
  <c r="J64" i="65" a="1"/>
  <c r="J64" i="65" s="1"/>
  <c r="I64" i="65" a="1"/>
  <c r="I64" i="65" s="1"/>
  <c r="H64" i="65" a="1"/>
  <c r="H64" i="65" s="1"/>
  <c r="G64" i="65" a="1"/>
  <c r="G64" i="65" s="1"/>
  <c r="F64" i="65" a="1"/>
  <c r="F64" i="65" s="1"/>
  <c r="E64" i="65" a="1"/>
  <c r="E64" i="65" s="1"/>
  <c r="O63" i="65" a="1"/>
  <c r="O63" i="65" s="1"/>
  <c r="N63" i="65" a="1"/>
  <c r="N63" i="65" s="1"/>
  <c r="M63" i="65" a="1"/>
  <c r="M63" i="65" s="1"/>
  <c r="L63" i="65" a="1"/>
  <c r="L63" i="65" s="1"/>
  <c r="K63" i="65" a="1"/>
  <c r="K63" i="65" s="1"/>
  <c r="J63" i="65" a="1"/>
  <c r="J63" i="65" s="1"/>
  <c r="I63" i="65" a="1"/>
  <c r="I63" i="65" s="1"/>
  <c r="H63" i="65" a="1"/>
  <c r="H63" i="65" s="1"/>
  <c r="G63" i="65" a="1"/>
  <c r="G63" i="65" s="1"/>
  <c r="F63" i="65" a="1"/>
  <c r="F63" i="65" s="1"/>
  <c r="E63" i="65" a="1"/>
  <c r="E63" i="65" s="1"/>
  <c r="O62" i="65" a="1"/>
  <c r="O62" i="65" s="1"/>
  <c r="N62" i="65" a="1"/>
  <c r="N62" i="65" s="1"/>
  <c r="M62" i="65" a="1"/>
  <c r="M62" i="65" s="1"/>
  <c r="L62" i="65" a="1"/>
  <c r="L62" i="65" s="1"/>
  <c r="K62" i="65" a="1"/>
  <c r="K62" i="65" s="1"/>
  <c r="J62" i="65" a="1"/>
  <c r="J62" i="65" s="1"/>
  <c r="I62" i="65" a="1"/>
  <c r="I62" i="65" s="1"/>
  <c r="H62" i="65" a="1"/>
  <c r="H62" i="65" s="1"/>
  <c r="G62" i="65" a="1"/>
  <c r="G62" i="65" s="1"/>
  <c r="F62" i="65" a="1"/>
  <c r="F62" i="65" s="1"/>
  <c r="O61" i="65" a="1"/>
  <c r="O61" i="65" s="1"/>
  <c r="N61" i="65" a="1"/>
  <c r="N61" i="65" s="1"/>
  <c r="M61" i="65" a="1"/>
  <c r="M61" i="65" s="1"/>
  <c r="L61" i="65" a="1"/>
  <c r="L61" i="65" s="1"/>
  <c r="K61" i="65" a="1"/>
  <c r="K61" i="65" s="1"/>
  <c r="J61" i="65" a="1"/>
  <c r="J61" i="65" s="1"/>
  <c r="I61" i="65" a="1"/>
  <c r="I61" i="65" s="1"/>
  <c r="H61" i="65" a="1"/>
  <c r="H61" i="65" s="1"/>
  <c r="G61" i="65" a="1"/>
  <c r="G61" i="65" s="1"/>
  <c r="F61" i="65" a="1"/>
  <c r="F61" i="65" s="1"/>
  <c r="E61" i="65" a="1"/>
  <c r="E61" i="65" s="1"/>
  <c r="Q58" i="65" l="1"/>
  <c r="Q57" i="65"/>
  <c r="Q56" i="65"/>
  <c r="Q59" i="65"/>
  <c r="Q54" i="65"/>
  <c r="Q55" i="65"/>
  <c r="Q66" i="65"/>
  <c r="Q62" i="65"/>
  <c r="Q64" i="65"/>
  <c r="Q65" i="65"/>
  <c r="Q63" i="65"/>
  <c r="Q61" i="65"/>
  <c r="R16" i="51" l="1" a="1"/>
  <c r="R16" i="51" s="1"/>
  <c r="S16" i="51" a="1"/>
  <c r="S16" i="51" s="1"/>
  <c r="T16" i="51" a="1"/>
  <c r="T16" i="51" s="1"/>
  <c r="U16" i="51" a="1"/>
  <c r="U16" i="51" s="1"/>
  <c r="Q16" i="51" a="1"/>
  <c r="Q16" i="51" s="1"/>
  <c r="F394" i="44"/>
  <c r="O226" i="49"/>
  <c r="N226" i="49"/>
  <c r="M226" i="49"/>
  <c r="L226" i="49"/>
  <c r="K226" i="49"/>
  <c r="O212" i="49"/>
  <c r="N212" i="49"/>
  <c r="M212" i="49"/>
  <c r="L212" i="49"/>
  <c r="K212" i="49"/>
  <c r="O198" i="49"/>
  <c r="N198" i="49"/>
  <c r="M198" i="49"/>
  <c r="L198" i="49"/>
  <c r="K198" i="49"/>
  <c r="O184" i="49"/>
  <c r="N184" i="49"/>
  <c r="M184" i="49"/>
  <c r="L184" i="49"/>
  <c r="K184" i="49"/>
  <c r="O169" i="49"/>
  <c r="N169" i="49"/>
  <c r="M169" i="49"/>
  <c r="L169" i="49"/>
  <c r="K169" i="49"/>
  <c r="O154" i="49"/>
  <c r="N154" i="49"/>
  <c r="M154" i="49"/>
  <c r="L154" i="49"/>
  <c r="K154" i="49"/>
  <c r="O140" i="49"/>
  <c r="N140" i="49"/>
  <c r="M140" i="49"/>
  <c r="L140" i="49"/>
  <c r="K140" i="49"/>
  <c r="O129" i="49"/>
  <c r="N129" i="49"/>
  <c r="M129" i="49"/>
  <c r="L129" i="49"/>
  <c r="K129" i="49"/>
  <c r="O114" i="49"/>
  <c r="N114" i="49"/>
  <c r="M114" i="49"/>
  <c r="L114" i="49"/>
  <c r="K114" i="49"/>
  <c r="K258" i="49" l="1"/>
  <c r="D244" i="49"/>
  <c r="D12" i="49"/>
  <c r="K26" i="49"/>
  <c r="D81" i="49"/>
  <c r="I139" i="41"/>
  <c r="H139" i="41"/>
  <c r="Z128" i="67" l="1"/>
  <c r="Y128" i="67"/>
  <c r="X128" i="67"/>
  <c r="W128" i="67"/>
  <c r="V128" i="67"/>
  <c r="Z101" i="67"/>
  <c r="Y101" i="67"/>
  <c r="X101" i="67"/>
  <c r="W101" i="67"/>
  <c r="V101" i="67"/>
  <c r="Z56" i="67" l="1"/>
  <c r="Y56" i="67"/>
  <c r="X56" i="67"/>
  <c r="W56" i="67"/>
  <c r="V56" i="67"/>
  <c r="Z29" i="67"/>
  <c r="Y29" i="67"/>
  <c r="X29" i="67"/>
  <c r="W29" i="67"/>
  <c r="V29" i="67"/>
  <c r="B3" i="67"/>
  <c r="C2" i="67"/>
  <c r="AI17" i="67" l="1"/>
  <c r="B5" i="67"/>
  <c r="B77" i="67" s="1"/>
  <c r="D95" i="65" l="1"/>
  <c r="D102" i="65" s="1"/>
  <c r="D97" i="65" l="1"/>
  <c r="D100" i="65"/>
  <c r="D98" i="65"/>
  <c r="D99" i="65"/>
  <c r="D101" i="65"/>
  <c r="E68" i="65" l="1" a="1"/>
  <c r="E68" i="65" s="1"/>
  <c r="J80" i="65" a="1"/>
  <c r="J80" i="65" s="1"/>
  <c r="J102" i="65" s="1" a="1"/>
  <c r="J102" i="65" s="1"/>
  <c r="L80" i="65" a="1"/>
  <c r="L80" i="65" s="1"/>
  <c r="L102" i="65" s="1" a="1"/>
  <c r="L102" i="65" s="1"/>
  <c r="I80" i="65" a="1"/>
  <c r="I80" i="65" s="1"/>
  <c r="I102" i="65" s="1" a="1"/>
  <c r="I102" i="65" s="1"/>
  <c r="G80" i="65" a="1"/>
  <c r="G80" i="65" s="1"/>
  <c r="G102" i="65" s="1" a="1"/>
  <c r="G102" i="65" s="1"/>
  <c r="F80" i="65" a="1"/>
  <c r="F80" i="65" s="1"/>
  <c r="F102" i="65" s="1" a="1"/>
  <c r="F102" i="65" s="1"/>
  <c r="O80" i="65" a="1"/>
  <c r="O80" i="65" s="1"/>
  <c r="O102" i="65" s="1" a="1"/>
  <c r="O102" i="65" s="1"/>
  <c r="N80" i="65" a="1"/>
  <c r="N80" i="65" s="1"/>
  <c r="N102" i="65" s="1" a="1"/>
  <c r="N102" i="65" s="1"/>
  <c r="M80" i="65" a="1"/>
  <c r="M80" i="65" s="1"/>
  <c r="M102" i="65" s="1" a="1"/>
  <c r="M102" i="65" s="1"/>
  <c r="K80" i="65" a="1"/>
  <c r="K80" i="65" s="1"/>
  <c r="K102" i="65" s="1" a="1"/>
  <c r="K102" i="65" s="1"/>
  <c r="H80" i="65" a="1"/>
  <c r="H80" i="65" s="1"/>
  <c r="H102" i="65" s="1" a="1"/>
  <c r="H102" i="65" s="1"/>
  <c r="E80" i="65" a="1"/>
  <c r="E80" i="65" s="1"/>
  <c r="E102" i="65" s="1" a="1"/>
  <c r="E102" i="65" s="1"/>
  <c r="O79" i="65" a="1"/>
  <c r="O79" i="65" s="1"/>
  <c r="O101" i="65" s="1" a="1"/>
  <c r="O101" i="65" s="1"/>
  <c r="N79" i="65" a="1"/>
  <c r="N79" i="65" s="1"/>
  <c r="N101" i="65" s="1" a="1"/>
  <c r="N101" i="65" s="1"/>
  <c r="M79" i="65" a="1"/>
  <c r="M79" i="65" s="1"/>
  <c r="M101" i="65" s="1" a="1"/>
  <c r="M101" i="65" s="1"/>
  <c r="L79" i="65" a="1"/>
  <c r="L79" i="65" s="1"/>
  <c r="L101" i="65" s="1" a="1"/>
  <c r="L101" i="65" s="1"/>
  <c r="K79" i="65" a="1"/>
  <c r="K79" i="65" s="1"/>
  <c r="K101" i="65" s="1" a="1"/>
  <c r="K101" i="65" s="1"/>
  <c r="J79" i="65" a="1"/>
  <c r="J79" i="65" s="1"/>
  <c r="J101" i="65" s="1" a="1"/>
  <c r="J101" i="65" s="1"/>
  <c r="I79" i="65" a="1"/>
  <c r="I79" i="65" s="1"/>
  <c r="I101" i="65" s="1" a="1"/>
  <c r="I101" i="65" s="1"/>
  <c r="H79" i="65" a="1"/>
  <c r="H79" i="65" s="1"/>
  <c r="H101" i="65" s="1" a="1"/>
  <c r="H101" i="65" s="1"/>
  <c r="G79" i="65" a="1"/>
  <c r="G79" i="65" s="1"/>
  <c r="G101" i="65" s="1" a="1"/>
  <c r="G101" i="65" s="1"/>
  <c r="F79" i="65" a="1"/>
  <c r="F79" i="65" s="1"/>
  <c r="F101" i="65" s="1" a="1"/>
  <c r="F101" i="65" s="1"/>
  <c r="E79" i="65" a="1"/>
  <c r="E79" i="65" s="1"/>
  <c r="E101" i="65" s="1" a="1"/>
  <c r="E101" i="65" s="1"/>
  <c r="O78" i="65" a="1"/>
  <c r="O78" i="65" s="1"/>
  <c r="O100" i="65" s="1" a="1"/>
  <c r="O100" i="65" s="1"/>
  <c r="N78" i="65" a="1"/>
  <c r="N78" i="65" s="1"/>
  <c r="N100" i="65" s="1" a="1"/>
  <c r="N100" i="65" s="1"/>
  <c r="M78" i="65" a="1"/>
  <c r="M78" i="65" s="1"/>
  <c r="M100" i="65" s="1" a="1"/>
  <c r="M100" i="65" s="1"/>
  <c r="L78" i="65" a="1"/>
  <c r="L78" i="65" s="1"/>
  <c r="L100" i="65" s="1" a="1"/>
  <c r="L100" i="65" s="1"/>
  <c r="K78" i="65" a="1"/>
  <c r="K78" i="65" s="1"/>
  <c r="K100" i="65" s="1" a="1"/>
  <c r="K100" i="65" s="1"/>
  <c r="J78" i="65" a="1"/>
  <c r="J78" i="65" s="1"/>
  <c r="J100" i="65" s="1" a="1"/>
  <c r="J100" i="65" s="1"/>
  <c r="I78" i="65" a="1"/>
  <c r="I78" i="65" s="1"/>
  <c r="I100" i="65" s="1" a="1"/>
  <c r="I100" i="65" s="1"/>
  <c r="H78" i="65" a="1"/>
  <c r="H78" i="65" s="1"/>
  <c r="H100" i="65" s="1" a="1"/>
  <c r="H100" i="65" s="1"/>
  <c r="G78" i="65" a="1"/>
  <c r="G78" i="65" s="1"/>
  <c r="G100" i="65" s="1" a="1"/>
  <c r="G100" i="65" s="1"/>
  <c r="F78" i="65" a="1"/>
  <c r="F78" i="65" s="1"/>
  <c r="F100" i="65" s="1" a="1"/>
  <c r="F100" i="65" s="1"/>
  <c r="E78" i="65" a="1"/>
  <c r="E78" i="65" s="1"/>
  <c r="E100" i="65" s="1" a="1"/>
  <c r="E100" i="65" s="1"/>
  <c r="O77" i="65" a="1"/>
  <c r="O77" i="65" s="1"/>
  <c r="O99" i="65" s="1" a="1"/>
  <c r="O99" i="65" s="1"/>
  <c r="N77" i="65" a="1"/>
  <c r="N77" i="65" s="1"/>
  <c r="N99" i="65" s="1" a="1"/>
  <c r="N99" i="65" s="1"/>
  <c r="M77" i="65" a="1"/>
  <c r="M77" i="65" s="1"/>
  <c r="M99" i="65" s="1" a="1"/>
  <c r="M99" i="65" s="1"/>
  <c r="L77" i="65" a="1"/>
  <c r="L77" i="65" s="1"/>
  <c r="L99" i="65" s="1" a="1"/>
  <c r="L99" i="65" s="1"/>
  <c r="K77" i="65" a="1"/>
  <c r="K77" i="65" s="1"/>
  <c r="K99" i="65" s="1" a="1"/>
  <c r="K99" i="65" s="1"/>
  <c r="J77" i="65" a="1"/>
  <c r="J77" i="65" s="1"/>
  <c r="J99" i="65" s="1" a="1"/>
  <c r="J99" i="65" s="1"/>
  <c r="I77" i="65" a="1"/>
  <c r="I77" i="65" s="1"/>
  <c r="I99" i="65" s="1" a="1"/>
  <c r="I99" i="65" s="1"/>
  <c r="H77" i="65" a="1"/>
  <c r="H77" i="65" s="1"/>
  <c r="H99" i="65" s="1" a="1"/>
  <c r="H99" i="65" s="1"/>
  <c r="G77" i="65" a="1"/>
  <c r="G77" i="65" s="1"/>
  <c r="G99" i="65" s="1" a="1"/>
  <c r="G99" i="65" s="1"/>
  <c r="F77" i="65" a="1"/>
  <c r="F77" i="65" s="1"/>
  <c r="F99" i="65" s="1" a="1"/>
  <c r="F99" i="65" s="1"/>
  <c r="E77" i="65" a="1"/>
  <c r="E77" i="65" s="1"/>
  <c r="E99" i="65" s="1" a="1"/>
  <c r="E99" i="65" s="1"/>
  <c r="O76" i="65" a="1"/>
  <c r="O76" i="65" s="1"/>
  <c r="O98" i="65" s="1" a="1"/>
  <c r="O98" i="65" s="1"/>
  <c r="N76" i="65" a="1"/>
  <c r="N76" i="65" s="1"/>
  <c r="N98" i="65" s="1" a="1"/>
  <c r="N98" i="65" s="1"/>
  <c r="M76" i="65" a="1"/>
  <c r="M76" i="65" s="1"/>
  <c r="M98" i="65" s="1" a="1"/>
  <c r="M98" i="65" s="1"/>
  <c r="L76" i="65" a="1"/>
  <c r="L76" i="65" s="1"/>
  <c r="L98" i="65" s="1" a="1"/>
  <c r="L98" i="65" s="1"/>
  <c r="K76" i="65" a="1"/>
  <c r="K76" i="65" s="1"/>
  <c r="K98" i="65" s="1" a="1"/>
  <c r="K98" i="65" s="1"/>
  <c r="J76" i="65" a="1"/>
  <c r="J76" i="65" s="1"/>
  <c r="J98" i="65" s="1" a="1"/>
  <c r="J98" i="65" s="1"/>
  <c r="I76" i="65" a="1"/>
  <c r="I76" i="65" s="1"/>
  <c r="I98" i="65" s="1" a="1"/>
  <c r="I98" i="65" s="1"/>
  <c r="H76" i="65" a="1"/>
  <c r="H76" i="65" s="1"/>
  <c r="H98" i="65" s="1" a="1"/>
  <c r="H98" i="65" s="1"/>
  <c r="G76" i="65" a="1"/>
  <c r="G76" i="65" s="1"/>
  <c r="G98" i="65" s="1" a="1"/>
  <c r="G98" i="65" s="1"/>
  <c r="F76" i="65" a="1"/>
  <c r="F76" i="65" s="1"/>
  <c r="F98" i="65" s="1" a="1"/>
  <c r="F98" i="65" s="1"/>
  <c r="E76" i="65" a="1"/>
  <c r="E76" i="65" s="1"/>
  <c r="E98" i="65" s="1" a="1"/>
  <c r="E98" i="65" s="1"/>
  <c r="O75" i="65" a="1"/>
  <c r="O75" i="65" s="1"/>
  <c r="O97" i="65" s="1" a="1"/>
  <c r="O97" i="65" s="1"/>
  <c r="N75" i="65" a="1"/>
  <c r="N75" i="65" s="1"/>
  <c r="N97" i="65" s="1" a="1"/>
  <c r="N97" i="65" s="1"/>
  <c r="M75" i="65" a="1"/>
  <c r="M75" i="65" s="1"/>
  <c r="M97" i="65" s="1" a="1"/>
  <c r="M97" i="65" s="1"/>
  <c r="L75" i="65" a="1"/>
  <c r="L75" i="65" s="1"/>
  <c r="L97" i="65" s="1" a="1"/>
  <c r="L97" i="65" s="1"/>
  <c r="K75" i="65" a="1"/>
  <c r="K75" i="65" s="1"/>
  <c r="K97" i="65" s="1" a="1"/>
  <c r="K97" i="65" s="1"/>
  <c r="J75" i="65" a="1"/>
  <c r="J75" i="65" s="1"/>
  <c r="J97" i="65" s="1" a="1"/>
  <c r="J97" i="65" s="1"/>
  <c r="I75" i="65" a="1"/>
  <c r="I75" i="65" s="1"/>
  <c r="I97" i="65" s="1" a="1"/>
  <c r="I97" i="65" s="1"/>
  <c r="H75" i="65" a="1"/>
  <c r="H75" i="65" s="1"/>
  <c r="H97" i="65" s="1" a="1"/>
  <c r="H97" i="65" s="1"/>
  <c r="G75" i="65" a="1"/>
  <c r="G75" i="65" s="1"/>
  <c r="G97" i="65" s="1" a="1"/>
  <c r="G97" i="65" s="1"/>
  <c r="F75" i="65" a="1"/>
  <c r="F75" i="65" s="1"/>
  <c r="F97" i="65" s="1" a="1"/>
  <c r="F97" i="65" s="1"/>
  <c r="E75" i="65" a="1"/>
  <c r="E75" i="65" s="1"/>
  <c r="E97" i="65" s="1" a="1"/>
  <c r="E97" i="65" s="1"/>
  <c r="O73" i="65" a="1"/>
  <c r="O73" i="65" s="1"/>
  <c r="N73" i="65" a="1"/>
  <c r="N73" i="65" s="1"/>
  <c r="M73" i="65" a="1"/>
  <c r="M73" i="65" s="1"/>
  <c r="L73" i="65" a="1"/>
  <c r="L73" i="65" s="1"/>
  <c r="K73" i="65" a="1"/>
  <c r="K73" i="65" s="1"/>
  <c r="J73" i="65" a="1"/>
  <c r="J73" i="65" s="1"/>
  <c r="I73" i="65" a="1"/>
  <c r="I73" i="65" s="1"/>
  <c r="H73" i="65" a="1"/>
  <c r="H73" i="65" s="1"/>
  <c r="G73" i="65" a="1"/>
  <c r="G73" i="65" s="1"/>
  <c r="F73" i="65" a="1"/>
  <c r="F73" i="65" s="1"/>
  <c r="E73" i="65" a="1"/>
  <c r="E73" i="65" s="1"/>
  <c r="O72" i="65" a="1"/>
  <c r="O72" i="65" s="1"/>
  <c r="N72" i="65" a="1"/>
  <c r="N72" i="65" s="1"/>
  <c r="M72" i="65" a="1"/>
  <c r="M72" i="65" s="1"/>
  <c r="L72" i="65" a="1"/>
  <c r="L72" i="65" s="1"/>
  <c r="K72" i="65" a="1"/>
  <c r="K72" i="65" s="1"/>
  <c r="J72" i="65" a="1"/>
  <c r="J72" i="65" s="1"/>
  <c r="I72" i="65" a="1"/>
  <c r="I72" i="65" s="1"/>
  <c r="H72" i="65" a="1"/>
  <c r="H72" i="65" s="1"/>
  <c r="G72" i="65" a="1"/>
  <c r="G72" i="65" s="1"/>
  <c r="F72" i="65" a="1"/>
  <c r="F72" i="65" s="1"/>
  <c r="E72" i="65" a="1"/>
  <c r="E72" i="65" s="1"/>
  <c r="O71" i="65" a="1"/>
  <c r="O71" i="65" s="1"/>
  <c r="N71" i="65" a="1"/>
  <c r="N71" i="65" s="1"/>
  <c r="M71" i="65" a="1"/>
  <c r="M71" i="65" s="1"/>
  <c r="L71" i="65" a="1"/>
  <c r="L71" i="65" s="1"/>
  <c r="K71" i="65" a="1"/>
  <c r="K71" i="65" s="1"/>
  <c r="J71" i="65" a="1"/>
  <c r="J71" i="65" s="1"/>
  <c r="I71" i="65" a="1"/>
  <c r="I71" i="65" s="1"/>
  <c r="H71" i="65" a="1"/>
  <c r="H71" i="65" s="1"/>
  <c r="G71" i="65" a="1"/>
  <c r="G71" i="65" s="1"/>
  <c r="F71" i="65" a="1"/>
  <c r="F71" i="65" s="1"/>
  <c r="E71" i="65" a="1"/>
  <c r="E71" i="65" s="1"/>
  <c r="O70" i="65" a="1"/>
  <c r="O70" i="65" s="1"/>
  <c r="N70" i="65" a="1"/>
  <c r="N70" i="65" s="1"/>
  <c r="M70" i="65" a="1"/>
  <c r="M70" i="65" s="1"/>
  <c r="L70" i="65" a="1"/>
  <c r="L70" i="65" s="1"/>
  <c r="K70" i="65" a="1"/>
  <c r="K70" i="65" s="1"/>
  <c r="J70" i="65" a="1"/>
  <c r="J70" i="65" s="1"/>
  <c r="I70" i="65" a="1"/>
  <c r="I70" i="65" s="1"/>
  <c r="H70" i="65" a="1"/>
  <c r="H70" i="65" s="1"/>
  <c r="G70" i="65" a="1"/>
  <c r="G70" i="65" s="1"/>
  <c r="F70" i="65" a="1"/>
  <c r="F70" i="65" s="1"/>
  <c r="E70" i="65" a="1"/>
  <c r="E70" i="65" s="1"/>
  <c r="O69" i="65" a="1"/>
  <c r="O69" i="65" s="1"/>
  <c r="N69" i="65" a="1"/>
  <c r="N69" i="65" s="1"/>
  <c r="M69" i="65" a="1"/>
  <c r="M69" i="65" s="1"/>
  <c r="L69" i="65" a="1"/>
  <c r="L69" i="65" s="1"/>
  <c r="K69" i="65" a="1"/>
  <c r="K69" i="65" s="1"/>
  <c r="J69" i="65" a="1"/>
  <c r="J69" i="65" s="1"/>
  <c r="I69" i="65" a="1"/>
  <c r="I69" i="65" s="1"/>
  <c r="H69" i="65" a="1"/>
  <c r="H69" i="65" s="1"/>
  <c r="G69" i="65" a="1"/>
  <c r="G69" i="65" s="1"/>
  <c r="F69" i="65" a="1"/>
  <c r="F69" i="65" s="1"/>
  <c r="E69" i="65" a="1"/>
  <c r="E69" i="65" s="1"/>
  <c r="O68" i="65" a="1"/>
  <c r="O68" i="65" s="1"/>
  <c r="N68" i="65" a="1"/>
  <c r="N68" i="65" s="1"/>
  <c r="M68" i="65" a="1"/>
  <c r="M68" i="65" s="1"/>
  <c r="L68" i="65" a="1"/>
  <c r="L68" i="65" s="1"/>
  <c r="K68" i="65" a="1"/>
  <c r="K68" i="65" s="1"/>
  <c r="J68" i="65" a="1"/>
  <c r="J68" i="65" s="1"/>
  <c r="I68" i="65" a="1"/>
  <c r="I68" i="65" s="1"/>
  <c r="H68" i="65" a="1"/>
  <c r="H68" i="65" s="1"/>
  <c r="G68" i="65" a="1"/>
  <c r="G68" i="65" s="1"/>
  <c r="F68" i="65" a="1"/>
  <c r="F68" i="65" s="1"/>
  <c r="D110" i="65"/>
  <c r="D109" i="65"/>
  <c r="D108" i="65"/>
  <c r="D107" i="65"/>
  <c r="D106" i="65"/>
  <c r="D105" i="65"/>
  <c r="B3" i="65"/>
  <c r="B5" i="65" s="1"/>
  <c r="C2" i="65"/>
  <c r="M86" i="65" l="1"/>
  <c r="J87" i="65"/>
  <c r="G88" i="65"/>
  <c r="O88" i="65"/>
  <c r="L89" i="65"/>
  <c r="I90" i="65"/>
  <c r="H91" i="65"/>
  <c r="N87" i="65"/>
  <c r="I86" i="65"/>
  <c r="F87" i="65"/>
  <c r="B48" i="65"/>
  <c r="M91" i="65"/>
  <c r="F86" i="65"/>
  <c r="E86" i="65"/>
  <c r="J86" i="65"/>
  <c r="G87" i="65"/>
  <c r="O87" i="65"/>
  <c r="L88" i="65"/>
  <c r="I89" i="65"/>
  <c r="F90" i="65"/>
  <c r="N90" i="65"/>
  <c r="L86" i="65"/>
  <c r="I87" i="65"/>
  <c r="F88" i="65"/>
  <c r="N88" i="65"/>
  <c r="K89" i="65"/>
  <c r="E91" i="65"/>
  <c r="H90" i="65"/>
  <c r="Q77" i="65"/>
  <c r="Q71" i="65"/>
  <c r="Q75" i="65"/>
  <c r="Q72" i="65"/>
  <c r="Q76" i="65"/>
  <c r="Q78" i="65"/>
  <c r="H87" i="65"/>
  <c r="E88" i="65"/>
  <c r="M88" i="65"/>
  <c r="J89" i="65"/>
  <c r="G90" i="65"/>
  <c r="O90" i="65"/>
  <c r="Q79" i="65"/>
  <c r="K86" i="65"/>
  <c r="Q69" i="65"/>
  <c r="Q70" i="65"/>
  <c r="N91" i="65"/>
  <c r="Q73" i="65"/>
  <c r="I91" i="65"/>
  <c r="H86" i="65"/>
  <c r="E87" i="65"/>
  <c r="M87" i="65"/>
  <c r="J88" i="65"/>
  <c r="G89" i="65"/>
  <c r="O89" i="65"/>
  <c r="L90" i="65"/>
  <c r="Q68" i="65"/>
  <c r="L91" i="65"/>
  <c r="F91" i="65"/>
  <c r="Q80" i="65"/>
  <c r="N86" i="65"/>
  <c r="K87" i="65"/>
  <c r="H88" i="65"/>
  <c r="E89" i="65"/>
  <c r="M89" i="65"/>
  <c r="J90" i="65"/>
  <c r="G91" i="65"/>
  <c r="O91" i="65"/>
  <c r="G86" i="65"/>
  <c r="O86" i="65"/>
  <c r="L87" i="65"/>
  <c r="I88" i="65"/>
  <c r="F89" i="65"/>
  <c r="N89" i="65"/>
  <c r="K90" i="65"/>
  <c r="K88" i="65"/>
  <c r="H89" i="65"/>
  <c r="E90" i="65"/>
  <c r="M90" i="65"/>
  <c r="J91" i="65"/>
  <c r="K91" i="65"/>
  <c r="Q89" i="65" l="1"/>
  <c r="Q90" i="65"/>
  <c r="Q86" i="65"/>
  <c r="Q88" i="65"/>
  <c r="Q87" i="65"/>
  <c r="Q91" i="65"/>
  <c r="C117" i="51" l="1"/>
  <c r="C128" i="51"/>
  <c r="C139" i="51"/>
  <c r="M139" i="51"/>
  <c r="M128" i="51"/>
  <c r="M117" i="51"/>
  <c r="M64" i="51"/>
  <c r="M53" i="51"/>
  <c r="M42" i="51"/>
  <c r="R33" i="51" a="1"/>
  <c r="R33" i="51" s="1"/>
  <c r="R68" i="51" s="1" a="1"/>
  <c r="R68" i="51" s="1"/>
  <c r="S33" i="51" a="1"/>
  <c r="S33" i="51" s="1"/>
  <c r="S68" i="51" s="1" a="1"/>
  <c r="S68" i="51" s="1"/>
  <c r="T33" i="51" a="1"/>
  <c r="T33" i="51" s="1"/>
  <c r="T68" i="51" s="1" a="1"/>
  <c r="T68" i="51" s="1"/>
  <c r="U33" i="51" a="1"/>
  <c r="U33" i="51" s="1"/>
  <c r="U68" i="51" s="1" a="1"/>
  <c r="U68" i="51" s="1"/>
  <c r="R39" i="51" a="1"/>
  <c r="R39" i="51" s="1"/>
  <c r="S39" i="51" a="1"/>
  <c r="S39" i="51" s="1"/>
  <c r="T39" i="51" a="1"/>
  <c r="T39" i="51" s="1"/>
  <c r="U39" i="51" a="1"/>
  <c r="U39" i="51" s="1"/>
  <c r="Q39" i="51" a="1"/>
  <c r="Q39" i="51" s="1"/>
  <c r="Q33" i="51" a="1"/>
  <c r="Q33" i="51" s="1"/>
  <c r="Q68" i="51" s="1" a="1"/>
  <c r="Q68" i="51" s="1"/>
  <c r="D235" i="49" l="1"/>
  <c r="D324" i="49" s="1"/>
  <c r="F324" i="49" s="1"/>
  <c r="K54" i="49"/>
  <c r="O54" i="49"/>
  <c r="N54" i="49"/>
  <c r="M54" i="49"/>
  <c r="L54" i="49"/>
  <c r="O40" i="49"/>
  <c r="N40" i="49"/>
  <c r="M40" i="49"/>
  <c r="L40" i="49"/>
  <c r="K40" i="49"/>
  <c r="L26" i="49"/>
  <c r="M26" i="49"/>
  <c r="N26" i="49"/>
  <c r="O26" i="49"/>
  <c r="O286" i="49"/>
  <c r="N286" i="49"/>
  <c r="M286" i="49"/>
  <c r="L286" i="49"/>
  <c r="K286" i="49"/>
  <c r="K272" i="49"/>
  <c r="O272" i="49"/>
  <c r="N272" i="49"/>
  <c r="M272" i="49"/>
  <c r="L272" i="49"/>
  <c r="L258" i="49"/>
  <c r="M258" i="49"/>
  <c r="N258" i="49"/>
  <c r="O258" i="49"/>
  <c r="J226" i="42"/>
  <c r="I226" i="42"/>
  <c r="H226" i="42"/>
  <c r="G226" i="42"/>
  <c r="F226" i="42"/>
  <c r="C15" i="63"/>
  <c r="C19" i="63"/>
  <c r="C18" i="63"/>
  <c r="C17" i="63"/>
  <c r="C16" i="63"/>
  <c r="C14" i="63"/>
  <c r="C13" i="63"/>
  <c r="C12" i="63"/>
  <c r="C11" i="63"/>
  <c r="D282" i="49" l="1"/>
  <c r="F210" i="42" l="1" a="1"/>
  <c r="F210" i="42" s="1"/>
  <c r="G210" i="42" a="1"/>
  <c r="G210" i="42" s="1"/>
  <c r="I210" i="42" a="1"/>
  <c r="I210" i="42" s="1"/>
  <c r="J210" i="42" a="1"/>
  <c r="J210" i="42" s="1"/>
  <c r="F211" i="42" a="1"/>
  <c r="F211" i="42" s="1"/>
  <c r="G211" i="42" a="1"/>
  <c r="G211" i="42" s="1"/>
  <c r="H211" i="42" a="1"/>
  <c r="H211" i="42" s="1"/>
  <c r="I211" i="42" a="1"/>
  <c r="I211" i="42" s="1"/>
  <c r="J211" i="42" a="1"/>
  <c r="J211" i="42" s="1"/>
  <c r="F212" i="42" a="1"/>
  <c r="F212" i="42" s="1"/>
  <c r="G212" i="42" a="1"/>
  <c r="G212" i="42" s="1"/>
  <c r="H212" i="42" a="1"/>
  <c r="H212" i="42" s="1"/>
  <c r="I212" i="42" a="1"/>
  <c r="I212" i="42" s="1"/>
  <c r="J212" i="42" a="1"/>
  <c r="J212" i="42" s="1"/>
  <c r="F213" i="42" a="1"/>
  <c r="F213" i="42" s="1"/>
  <c r="G213" i="42" a="1"/>
  <c r="G213" i="42" s="1"/>
  <c r="H213" i="42" a="1"/>
  <c r="H213" i="42" s="1"/>
  <c r="I213" i="42" a="1"/>
  <c r="I213" i="42" s="1"/>
  <c r="J213" i="42" a="1"/>
  <c r="J213" i="42" s="1"/>
  <c r="F214" i="42" a="1"/>
  <c r="F214" i="42" s="1"/>
  <c r="G214" i="42" a="1"/>
  <c r="G214" i="42" s="1"/>
  <c r="H214" i="42" a="1"/>
  <c r="H214" i="42" s="1"/>
  <c r="I214" i="42" a="1"/>
  <c r="I214" i="42" s="1"/>
  <c r="J214" i="42" a="1"/>
  <c r="J214" i="42" s="1"/>
  <c r="F215" i="42" a="1"/>
  <c r="F215" i="42" s="1"/>
  <c r="G215" i="42" a="1"/>
  <c r="G215" i="42" s="1"/>
  <c r="H215" i="42" a="1"/>
  <c r="H215" i="42" s="1"/>
  <c r="I215" i="42" a="1"/>
  <c r="I215" i="42" s="1"/>
  <c r="J215" i="42" a="1"/>
  <c r="J215" i="42" s="1"/>
  <c r="F216" i="42" a="1"/>
  <c r="F216" i="42" s="1"/>
  <c r="G216" i="42" a="1"/>
  <c r="G216" i="42" s="1"/>
  <c r="H216" i="42" a="1"/>
  <c r="H216" i="42" s="1"/>
  <c r="I216" i="42" a="1"/>
  <c r="I216" i="42" s="1"/>
  <c r="J216" i="42" a="1"/>
  <c r="J216" i="42" s="1"/>
  <c r="F217" i="42" a="1"/>
  <c r="F217" i="42" s="1"/>
  <c r="G217" i="42" a="1"/>
  <c r="G217" i="42" s="1"/>
  <c r="H217" i="42" a="1"/>
  <c r="H217" i="42" s="1"/>
  <c r="I217" i="42" a="1"/>
  <c r="I217" i="42" s="1"/>
  <c r="J217" i="42" a="1"/>
  <c r="J217" i="42" s="1"/>
  <c r="F218" i="42" a="1"/>
  <c r="F218" i="42" s="1"/>
  <c r="G218" i="42" a="1"/>
  <c r="G218" i="42" s="1"/>
  <c r="H218" i="42" a="1"/>
  <c r="H218" i="42" s="1"/>
  <c r="I218" i="42" a="1"/>
  <c r="I218" i="42" s="1"/>
  <c r="J218" i="42" a="1"/>
  <c r="J218" i="42" s="1"/>
  <c r="G209" i="42" a="1"/>
  <c r="G209" i="42" s="1"/>
  <c r="H209" i="42" a="1"/>
  <c r="H209" i="42" s="1"/>
  <c r="I209" i="42" a="1"/>
  <c r="I209" i="42" s="1"/>
  <c r="F209" i="42" a="1"/>
  <c r="F209" i="42" s="1"/>
  <c r="F220" i="42" s="1"/>
  <c r="J206" i="42"/>
  <c r="I206" i="42"/>
  <c r="H206" i="42"/>
  <c r="G206" i="42"/>
  <c r="F206" i="42"/>
  <c r="I220" i="42" l="1"/>
  <c r="G220" i="42"/>
  <c r="H220" i="42"/>
  <c r="J221" i="42"/>
  <c r="H221" i="42"/>
  <c r="G221" i="42"/>
  <c r="F222" i="42"/>
  <c r="J220" i="42"/>
  <c r="I221" i="42"/>
  <c r="J222" i="42"/>
  <c r="I222" i="42"/>
  <c r="F221" i="42"/>
  <c r="H222" i="42"/>
  <c r="G222" i="42"/>
  <c r="H189" i="42"/>
  <c r="L189" i="42"/>
  <c r="K189" i="42"/>
  <c r="J189" i="42"/>
  <c r="I189" i="42"/>
  <c r="C42" i="51" l="1"/>
  <c r="K70" i="51" a="1"/>
  <c r="K70" i="51" s="1"/>
  <c r="J70" i="51" a="1"/>
  <c r="J70" i="51" s="1"/>
  <c r="I70" i="51" a="1"/>
  <c r="I70" i="51" s="1"/>
  <c r="H70" i="51" a="1"/>
  <c r="H70" i="51" s="1"/>
  <c r="K69" i="51" a="1"/>
  <c r="K69" i="51" s="1"/>
  <c r="J69" i="51" a="1"/>
  <c r="J69" i="51" s="1"/>
  <c r="I69" i="51" a="1"/>
  <c r="I69" i="51" s="1"/>
  <c r="G71" i="51" a="1"/>
  <c r="G71" i="51" s="1"/>
  <c r="H69" i="51" l="1" a="1"/>
  <c r="H69" i="51" s="1"/>
  <c r="R34" i="51" a="1"/>
  <c r="R34" i="51" s="1"/>
  <c r="R35" i="51" a="1"/>
  <c r="R35" i="51" s="1"/>
  <c r="S34" i="51" a="1"/>
  <c r="S34" i="51" s="1"/>
  <c r="S35" i="51" a="1"/>
  <c r="S35" i="51" s="1"/>
  <c r="Q36" i="51" a="1"/>
  <c r="Q36" i="51" s="1"/>
  <c r="T34" i="51" a="1"/>
  <c r="T34" i="51" s="1"/>
  <c r="U34" i="51" a="1"/>
  <c r="U34" i="51" s="1"/>
  <c r="U35" i="51" a="1"/>
  <c r="U35" i="51" s="1"/>
  <c r="T35" i="51" a="1"/>
  <c r="T35" i="51" s="1"/>
  <c r="E160" i="42"/>
  <c r="C64" i="51"/>
  <c r="C65" i="44"/>
  <c r="U70" i="51" l="1" a="1"/>
  <c r="U70" i="51" s="1"/>
  <c r="H101" i="53" a="1"/>
  <c r="H101" i="53" s="1"/>
  <c r="R69" i="51" a="1"/>
  <c r="R69" i="51" s="1"/>
  <c r="E100" i="53" a="1"/>
  <c r="E100" i="53" s="1"/>
  <c r="U69" i="51" a="1"/>
  <c r="U69" i="51" s="1"/>
  <c r="H100" i="53" a="1"/>
  <c r="H100" i="53" s="1"/>
  <c r="R70" i="51" a="1"/>
  <c r="R70" i="51" s="1"/>
  <c r="E101" i="53" a="1"/>
  <c r="E101" i="53" s="1"/>
  <c r="T69" i="51" a="1"/>
  <c r="T69" i="51" s="1"/>
  <c r="G100" i="53" a="1"/>
  <c r="G100" i="53" s="1"/>
  <c r="Q71" i="51" a="1"/>
  <c r="Q71" i="51" s="1"/>
  <c r="D102" i="53" a="1"/>
  <c r="D102" i="53" s="1"/>
  <c r="S70" i="51" a="1"/>
  <c r="S70" i="51" s="1"/>
  <c r="F101" i="53" a="1"/>
  <c r="F101" i="53" s="1"/>
  <c r="T70" i="51" a="1"/>
  <c r="T70" i="51" s="1"/>
  <c r="G101" i="53" a="1"/>
  <c r="G101" i="53" s="1"/>
  <c r="S69" i="51" a="1"/>
  <c r="S69" i="51" s="1"/>
  <c r="F100" i="53" a="1"/>
  <c r="F100" i="53" s="1"/>
  <c r="C56" i="63"/>
  <c r="C55" i="63"/>
  <c r="C54" i="63"/>
  <c r="L56" i="63" l="1" a="1"/>
  <c r="L56" i="63" s="1"/>
  <c r="C53" i="51"/>
  <c r="D135" i="63"/>
  <c r="D5" i="63"/>
  <c r="D35" i="63" s="1"/>
  <c r="E35" i="63" s="1" a="1"/>
  <c r="E35" i="63" s="1"/>
  <c r="E36" i="63" s="1"/>
  <c r="B3" i="63"/>
  <c r="C2" i="63"/>
  <c r="E59" i="63" l="1"/>
  <c r="E58" i="63" s="1"/>
  <c r="F58" i="63" s="1"/>
  <c r="E189" i="63"/>
  <c r="E188" i="63" s="1"/>
  <c r="F188" i="63" s="1"/>
  <c r="D165" i="63"/>
  <c r="E165" i="63" s="1" a="1"/>
  <c r="E165" i="63" s="1"/>
  <c r="E166" i="63" s="1"/>
  <c r="F189" i="63"/>
  <c r="D2" i="63"/>
  <c r="I56" i="63" a="1"/>
  <c r="I56" i="63" s="1"/>
  <c r="K56" i="63" a="1"/>
  <c r="K56" i="63" s="1"/>
  <c r="H56" i="63" a="1"/>
  <c r="H56" i="63" s="1"/>
  <c r="J56" i="63" a="1"/>
  <c r="J56" i="63" s="1"/>
  <c r="B7" i="63"/>
  <c r="B50" i="63" s="1"/>
  <c r="E2" i="63"/>
  <c r="F59" i="63" l="1"/>
  <c r="H88" i="63" s="1" a="1"/>
  <c r="H88" i="63" s="1"/>
  <c r="H124" i="63" s="1"/>
  <c r="F190" i="63"/>
  <c r="I223" i="63" a="1"/>
  <c r="I223" i="63" s="1"/>
  <c r="I259" i="63" s="1"/>
  <c r="K216" i="63" a="1"/>
  <c r="K216" i="63" s="1"/>
  <c r="K252" i="63" s="1"/>
  <c r="H222" i="63" a="1"/>
  <c r="H222" i="63" s="1"/>
  <c r="H258" i="63" s="1"/>
  <c r="H220" i="63" a="1"/>
  <c r="H220" i="63" s="1"/>
  <c r="H256" i="63" s="1"/>
  <c r="K226" i="63" a="1"/>
  <c r="K226" i="63" s="1"/>
  <c r="K262" i="63" s="1"/>
  <c r="I217" i="63" a="1"/>
  <c r="I217" i="63" s="1"/>
  <c r="I253" i="63" s="1"/>
  <c r="K220" i="63" a="1"/>
  <c r="K220" i="63" s="1"/>
  <c r="K256" i="63" s="1"/>
  <c r="H226" i="63" a="1"/>
  <c r="H226" i="63" s="1"/>
  <c r="H262" i="63" s="1"/>
  <c r="I220" i="63" a="1"/>
  <c r="I220" i="63" s="1"/>
  <c r="I256" i="63" s="1"/>
  <c r="J217" i="63" a="1"/>
  <c r="J217" i="63" s="1"/>
  <c r="J253" i="63" s="1"/>
  <c r="L223" i="63" a="1"/>
  <c r="L223" i="63" s="1"/>
  <c r="L259" i="63" s="1"/>
  <c r="J226" i="63" a="1"/>
  <c r="J226" i="63" s="1"/>
  <c r="J262" i="63" s="1"/>
  <c r="I225" i="63" a="1"/>
  <c r="I225" i="63" s="1"/>
  <c r="I261" i="63" s="1"/>
  <c r="L226" i="63" a="1"/>
  <c r="L226" i="63" s="1"/>
  <c r="L262" i="63" s="1"/>
  <c r="L220" i="63" a="1"/>
  <c r="L220" i="63" s="1"/>
  <c r="L256" i="63" s="1"/>
  <c r="L224" i="63" a="1"/>
  <c r="L224" i="63" s="1"/>
  <c r="L260" i="63" s="1"/>
  <c r="K223" i="63" a="1"/>
  <c r="K223" i="63" s="1"/>
  <c r="K259" i="63" s="1"/>
  <c r="L217" i="63" a="1"/>
  <c r="L217" i="63" s="1"/>
  <c r="L253" i="63" s="1"/>
  <c r="I224" i="63" a="1"/>
  <c r="I224" i="63" s="1"/>
  <c r="I260" i="63" s="1"/>
  <c r="H219" i="63" a="1"/>
  <c r="H219" i="63" s="1"/>
  <c r="H255" i="63" s="1"/>
  <c r="H221" i="63" a="1"/>
  <c r="H221" i="63" s="1"/>
  <c r="H257" i="63" s="1"/>
  <c r="H223" i="63" a="1"/>
  <c r="H223" i="63" s="1"/>
  <c r="H259" i="63" s="1"/>
  <c r="J224" i="63" a="1"/>
  <c r="J224" i="63" s="1"/>
  <c r="J260" i="63" s="1"/>
  <c r="H225" i="63" a="1"/>
  <c r="H225" i="63" s="1"/>
  <c r="H261" i="63" s="1"/>
  <c r="L216" i="63" a="1"/>
  <c r="L216" i="63" s="1"/>
  <c r="L252" i="63" s="1"/>
  <c r="J220" i="63" a="1"/>
  <c r="J220" i="63" s="1"/>
  <c r="J256" i="63" s="1"/>
  <c r="I216" i="63" a="1"/>
  <c r="I216" i="63" s="1"/>
  <c r="I252" i="63" s="1"/>
  <c r="I226" i="63" a="1"/>
  <c r="I226" i="63" s="1"/>
  <c r="I262" i="63" s="1"/>
  <c r="J223" i="63" a="1"/>
  <c r="J223" i="63" s="1"/>
  <c r="J259" i="63" s="1"/>
  <c r="J225" i="63" a="1"/>
  <c r="J225" i="63" s="1"/>
  <c r="J261" i="63" s="1"/>
  <c r="J216" i="63" a="1"/>
  <c r="J216" i="63" s="1"/>
  <c r="J252" i="63" s="1"/>
  <c r="K225" i="63" a="1"/>
  <c r="K225" i="63" s="1"/>
  <c r="K261" i="63" s="1"/>
  <c r="K217" i="63" a="1"/>
  <c r="K217" i="63" s="1"/>
  <c r="K253" i="63" s="1"/>
  <c r="H224" i="63" a="1"/>
  <c r="H224" i="63" s="1"/>
  <c r="H260" i="63" s="1"/>
  <c r="K224" i="63" a="1"/>
  <c r="K224" i="63" s="1"/>
  <c r="K260" i="63" s="1"/>
  <c r="H218" i="63" a="1"/>
  <c r="H218" i="63" s="1"/>
  <c r="H254" i="63" s="1"/>
  <c r="L225" i="63" a="1"/>
  <c r="L225" i="63" s="1"/>
  <c r="L261" i="63" s="1"/>
  <c r="F100" i="52" a="1"/>
  <c r="F100" i="52" s="1"/>
  <c r="H100" i="52" a="1"/>
  <c r="H100" i="52" s="1"/>
  <c r="G100" i="52" a="1"/>
  <c r="G100" i="52" s="1"/>
  <c r="E100" i="52" a="1"/>
  <c r="E100" i="52" s="1"/>
  <c r="D102" i="52" a="1"/>
  <c r="D102" i="52" s="1"/>
  <c r="H101" i="52" a="1"/>
  <c r="H101" i="52" s="1"/>
  <c r="F101" i="52" a="1"/>
  <c r="F101" i="52" s="1"/>
  <c r="G101" i="52" a="1"/>
  <c r="G101" i="52" s="1"/>
  <c r="E101" i="52" a="1"/>
  <c r="E101" i="52" s="1"/>
  <c r="H89" i="63" l="1" a="1"/>
  <c r="H89" i="63" s="1"/>
  <c r="H125" i="63" s="1"/>
  <c r="L96" i="63" a="1"/>
  <c r="L96" i="63" s="1"/>
  <c r="L132" i="63" s="1"/>
  <c r="J92" i="63" a="1"/>
  <c r="J92" i="63" s="1"/>
  <c r="J128" i="63" s="1"/>
  <c r="I96" i="63" a="1"/>
  <c r="I96" i="63" s="1"/>
  <c r="I132" i="63" s="1"/>
  <c r="H93" i="63" a="1"/>
  <c r="H93" i="63" s="1"/>
  <c r="H129" i="63" s="1"/>
  <c r="K93" i="63" a="1"/>
  <c r="K93" i="63" s="1"/>
  <c r="K129" i="63" s="1"/>
  <c r="J96" i="63" a="1"/>
  <c r="J96" i="63" s="1"/>
  <c r="J132" i="63" s="1"/>
  <c r="I95" i="63" a="1"/>
  <c r="I95" i="63" s="1"/>
  <c r="I131" i="63" s="1"/>
  <c r="H92" i="63" a="1"/>
  <c r="H92" i="63" s="1"/>
  <c r="H128" i="63" s="1"/>
  <c r="H94" i="63" a="1"/>
  <c r="H94" i="63" s="1"/>
  <c r="H130" i="63" s="1"/>
  <c r="L86" i="63" a="1"/>
  <c r="L86" i="63" s="1"/>
  <c r="L122" i="63" s="1"/>
  <c r="L95" i="63" a="1"/>
  <c r="L95" i="63" s="1"/>
  <c r="L131" i="63" s="1"/>
  <c r="I92" i="63" a="1"/>
  <c r="I92" i="63" s="1"/>
  <c r="I128" i="63" s="1"/>
  <c r="H90" i="63" a="1"/>
  <c r="H90" i="63" s="1"/>
  <c r="H126" i="63" s="1"/>
  <c r="H96" i="63" a="1"/>
  <c r="H96" i="63" s="1"/>
  <c r="H132" i="63" s="1"/>
  <c r="F60" i="63"/>
  <c r="L92" i="63" a="1"/>
  <c r="L92" i="63" s="1"/>
  <c r="L128" i="63" s="1"/>
  <c r="J93" i="63" a="1"/>
  <c r="J93" i="63" s="1"/>
  <c r="J129" i="63" s="1"/>
  <c r="L93" i="63" a="1"/>
  <c r="L93" i="63" s="1"/>
  <c r="L129" i="63" s="1"/>
  <c r="H91" i="63" a="1"/>
  <c r="H91" i="63" s="1"/>
  <c r="H127" i="63" s="1"/>
  <c r="I87" i="63" a="1"/>
  <c r="I87" i="63" s="1"/>
  <c r="I123" i="63" s="1"/>
  <c r="I86" i="63" a="1"/>
  <c r="I86" i="63" s="1"/>
  <c r="I122" i="63" s="1"/>
  <c r="H95" i="63" a="1"/>
  <c r="H95" i="63" s="1"/>
  <c r="H131" i="63" s="1"/>
  <c r="I93" i="63" a="1"/>
  <c r="I93" i="63" s="1"/>
  <c r="I129" i="63" s="1"/>
  <c r="K95" i="63" a="1"/>
  <c r="K95" i="63" s="1"/>
  <c r="K131" i="63" s="1"/>
  <c r="K87" i="63" a="1"/>
  <c r="K87" i="63" s="1"/>
  <c r="K123" i="63" s="1"/>
  <c r="I94" i="63" a="1"/>
  <c r="I94" i="63" s="1"/>
  <c r="I130" i="63" s="1"/>
  <c r="L87" i="63" a="1"/>
  <c r="L87" i="63" s="1"/>
  <c r="L123" i="63" s="1"/>
  <c r="J94" i="63" a="1"/>
  <c r="J94" i="63" s="1"/>
  <c r="J130" i="63" s="1"/>
  <c r="K96" i="63" a="1"/>
  <c r="K96" i="63" s="1"/>
  <c r="K132" i="63" s="1"/>
  <c r="J86" i="63" a="1"/>
  <c r="J86" i="63" s="1"/>
  <c r="J122" i="63" s="1"/>
  <c r="K92" i="63" a="1"/>
  <c r="K92" i="63" s="1"/>
  <c r="K128" i="63" s="1"/>
  <c r="L94" i="63" a="1"/>
  <c r="L94" i="63" s="1"/>
  <c r="L130" i="63" s="1"/>
  <c r="J87" i="63" a="1"/>
  <c r="J87" i="63" s="1"/>
  <c r="J123" i="63" s="1"/>
  <c r="K94" i="63" a="1"/>
  <c r="K94" i="63" s="1"/>
  <c r="K130" i="63" s="1"/>
  <c r="K86" i="63" a="1"/>
  <c r="K86" i="63" s="1"/>
  <c r="K122" i="63" s="1"/>
  <c r="J95" i="63" a="1"/>
  <c r="J95" i="63" s="1"/>
  <c r="J131" i="63" s="1"/>
  <c r="I177" i="42"/>
  <c r="J8" i="42"/>
  <c r="K8" i="42"/>
  <c r="H8" i="42"/>
  <c r="D5" i="49"/>
  <c r="D314" i="49"/>
  <c r="E154" i="42"/>
  <c r="E155" i="42"/>
  <c r="E156" i="42"/>
  <c r="E157" i="42"/>
  <c r="E158" i="42"/>
  <c r="E159" i="42"/>
  <c r="E161" i="42"/>
  <c r="E162" i="42"/>
  <c r="E163" i="42"/>
  <c r="E164" i="42"/>
  <c r="E165" i="42"/>
  <c r="E166" i="42"/>
  <c r="E167" i="42"/>
  <c r="E168" i="42"/>
  <c r="E169" i="42"/>
  <c r="E170" i="42"/>
  <c r="E171" i="42"/>
  <c r="E172" i="42"/>
  <c r="M177" i="42"/>
  <c r="L177" i="42"/>
  <c r="K177" i="42"/>
  <c r="J177" i="42"/>
  <c r="D87" i="49" l="1"/>
  <c r="D91" i="49"/>
  <c r="F91" i="49" s="1"/>
  <c r="D88" i="49"/>
  <c r="D85" i="49"/>
  <c r="D89" i="49"/>
  <c r="D86" i="49"/>
  <c r="D90" i="49"/>
  <c r="D47" i="49"/>
  <c r="D49" i="49"/>
  <c r="D41" i="49"/>
  <c r="D22" i="49"/>
  <c r="D213" i="49"/>
  <c r="D193" i="49"/>
  <c r="D165" i="49"/>
  <c r="D137" i="49"/>
  <c r="D111" i="49"/>
  <c r="D32" i="49"/>
  <c r="D205" i="49"/>
  <c r="D162" i="49"/>
  <c r="D123" i="49"/>
  <c r="D39" i="49"/>
  <c r="D21" i="49"/>
  <c r="D210" i="49"/>
  <c r="D185" i="49"/>
  <c r="D164" i="49"/>
  <c r="D130" i="49"/>
  <c r="D107" i="49"/>
  <c r="D20" i="49"/>
  <c r="D192" i="49"/>
  <c r="D161" i="49"/>
  <c r="D122" i="49"/>
  <c r="D35" i="49"/>
  <c r="D179" i="49"/>
  <c r="D194" i="49"/>
  <c r="D112" i="49"/>
  <c r="D135" i="49"/>
  <c r="D37" i="49"/>
  <c r="D110" i="49"/>
  <c r="D209" i="49"/>
  <c r="D182" i="49"/>
  <c r="D155" i="49"/>
  <c r="D127" i="49"/>
  <c r="D18" i="49"/>
  <c r="D19" i="49"/>
  <c r="D191" i="49"/>
  <c r="D160" i="49"/>
  <c r="D121" i="49"/>
  <c r="D224" i="49"/>
  <c r="D125" i="49"/>
  <c r="D148" i="49"/>
  <c r="D221" i="49"/>
  <c r="D33" i="49"/>
  <c r="D55" i="49"/>
  <c r="D36" i="49"/>
  <c r="D227" i="49"/>
  <c r="D208" i="49"/>
  <c r="D181" i="49"/>
  <c r="D152" i="49"/>
  <c r="D126" i="49"/>
  <c r="D48" i="49"/>
  <c r="D220" i="49"/>
  <c r="D190" i="49"/>
  <c r="D149" i="49"/>
  <c r="D120" i="49"/>
  <c r="D53" i="49"/>
  <c r="D180" i="49"/>
  <c r="D151" i="49"/>
  <c r="D219" i="49"/>
  <c r="D23" i="49"/>
  <c r="D138" i="49"/>
  <c r="D199" i="49"/>
  <c r="D109" i="49"/>
  <c r="D166" i="49"/>
  <c r="D206" i="49"/>
  <c r="D51" i="49"/>
  <c r="D27" i="49"/>
  <c r="D223" i="49"/>
  <c r="D196" i="49"/>
  <c r="D170" i="49"/>
  <c r="D150" i="49"/>
  <c r="D124" i="49"/>
  <c r="D46" i="49"/>
  <c r="D218" i="49"/>
  <c r="D178" i="49"/>
  <c r="D147" i="49"/>
  <c r="D108" i="49"/>
  <c r="D163" i="49"/>
  <c r="D50" i="49"/>
  <c r="D25" i="49"/>
  <c r="D222" i="49"/>
  <c r="D195" i="49"/>
  <c r="D167" i="49"/>
  <c r="D141" i="49"/>
  <c r="D115" i="49"/>
  <c r="D34" i="49"/>
  <c r="D207" i="49"/>
  <c r="D177" i="49"/>
  <c r="D136" i="49"/>
  <c r="D341" i="49"/>
  <c r="D451" i="49"/>
  <c r="D410" i="49"/>
  <c r="D369" i="49"/>
  <c r="D340" i="49"/>
  <c r="D251" i="49"/>
  <c r="D394" i="49"/>
  <c r="D278" i="49"/>
  <c r="D342" i="49"/>
  <c r="D411" i="49"/>
  <c r="D440" i="49"/>
  <c r="D396" i="49"/>
  <c r="D368" i="49"/>
  <c r="D280" i="49"/>
  <c r="D250" i="49"/>
  <c r="D355" i="49"/>
  <c r="D381" i="49"/>
  <c r="D452" i="49"/>
  <c r="D252" i="49"/>
  <c r="D439" i="49"/>
  <c r="D395" i="49"/>
  <c r="D356" i="49"/>
  <c r="D279" i="49"/>
  <c r="D438" i="49"/>
  <c r="D453" i="49"/>
  <c r="D412" i="49"/>
  <c r="D264" i="49"/>
  <c r="D380" i="49"/>
  <c r="D425" i="49"/>
  <c r="D393" i="49"/>
  <c r="D354" i="49"/>
  <c r="D266" i="49"/>
  <c r="D424" i="49"/>
  <c r="D423" i="49"/>
  <c r="D382" i="49"/>
  <c r="D353" i="49"/>
  <c r="D265" i="49"/>
  <c r="D273" i="49"/>
  <c r="D254" i="49"/>
  <c r="D460" i="49"/>
  <c r="D441" i="49"/>
  <c r="D414" i="49"/>
  <c r="D385" i="49"/>
  <c r="D359" i="49"/>
  <c r="D271" i="49"/>
  <c r="D253" i="49"/>
  <c r="D457" i="49"/>
  <c r="D432" i="49"/>
  <c r="D413" i="49"/>
  <c r="D384" i="49"/>
  <c r="D358" i="49"/>
  <c r="D269" i="49"/>
  <c r="D456" i="49"/>
  <c r="D429" i="49"/>
  <c r="D403" i="49"/>
  <c r="D383" i="49"/>
  <c r="D357" i="49"/>
  <c r="D287" i="49"/>
  <c r="D268" i="49"/>
  <c r="D455" i="49"/>
  <c r="D428" i="49"/>
  <c r="D400" i="49"/>
  <c r="D374" i="49"/>
  <c r="D348" i="49"/>
  <c r="D285" i="49"/>
  <c r="D267" i="49"/>
  <c r="D454" i="49"/>
  <c r="D427" i="49"/>
  <c r="D399" i="49"/>
  <c r="D371" i="49"/>
  <c r="D345" i="49"/>
  <c r="D283" i="49"/>
  <c r="D259" i="49"/>
  <c r="D446" i="49"/>
  <c r="D426" i="49"/>
  <c r="D398" i="49"/>
  <c r="D370" i="49"/>
  <c r="D344" i="49"/>
  <c r="D257" i="49"/>
  <c r="D443" i="49"/>
  <c r="D418" i="49"/>
  <c r="D397" i="49"/>
  <c r="D363" i="49"/>
  <c r="D343" i="49"/>
  <c r="D281" i="49"/>
  <c r="D255" i="49"/>
  <c r="D442" i="49"/>
  <c r="D415" i="49"/>
  <c r="D388" i="49"/>
  <c r="D360" i="49"/>
  <c r="B137" i="63" l="1"/>
  <c r="B180" i="63" s="1"/>
  <c r="D142" i="41" l="1" a="1"/>
  <c r="D142" i="41" s="1"/>
  <c r="C142" i="41" a="1"/>
  <c r="C142" i="41" s="1"/>
  <c r="E138" i="41"/>
  <c r="E139" i="41" s="1"/>
  <c r="F138" i="41"/>
  <c r="F139" i="41" s="1"/>
  <c r="G139" i="41"/>
  <c r="D19" i="25" l="1"/>
  <c r="E19" i="25"/>
  <c r="D36" i="50" a="1"/>
  <c r="D36" i="50" s="1"/>
  <c r="C36" i="50" a="1"/>
  <c r="C36" i="50" s="1"/>
  <c r="G2" i="50"/>
  <c r="H2" i="50"/>
  <c r="F2" i="51"/>
  <c r="G2" i="51"/>
  <c r="F2" i="53"/>
  <c r="G2" i="53"/>
  <c r="G2" i="52"/>
  <c r="F2" i="52"/>
  <c r="C293" i="44" l="1"/>
  <c r="C285" i="44"/>
  <c r="C276" i="44"/>
  <c r="E13" i="48"/>
  <c r="C268" i="44"/>
  <c r="C47" i="44"/>
  <c r="C39" i="44"/>
  <c r="C30" i="44"/>
  <c r="C22" i="44"/>
  <c r="G8" i="41" l="1"/>
  <c r="P8" i="42"/>
  <c r="N8" i="42"/>
  <c r="L8" i="42"/>
  <c r="Q8" i="42"/>
  <c r="O8" i="42"/>
  <c r="M8" i="42"/>
  <c r="I8" i="42"/>
  <c r="K133" i="42"/>
  <c r="J133" i="42"/>
  <c r="M133" i="42"/>
  <c r="L133" i="42"/>
  <c r="I133" i="42"/>
  <c r="I429" i="44" l="1" a="1"/>
  <c r="I429" i="44" s="1"/>
  <c r="K427" i="44" a="1"/>
  <c r="K427" i="44" s="1"/>
  <c r="H428" i="44" a="1"/>
  <c r="H428" i="44" s="1"/>
  <c r="G428" i="44" a="1"/>
  <c r="G428" i="44" s="1"/>
  <c r="J181" i="44" a="1"/>
  <c r="J181" i="44" s="1"/>
  <c r="K181" i="44" a="1"/>
  <c r="K181" i="44" s="1"/>
  <c r="H184" i="44" a="1"/>
  <c r="H184" i="44" s="1"/>
  <c r="K423" i="44" a="1"/>
  <c r="K423" i="44" s="1"/>
  <c r="H182" i="44" a="1"/>
  <c r="H182" i="44" s="1"/>
  <c r="K430" i="44" a="1"/>
  <c r="K430" i="44" s="1"/>
  <c r="J429" i="44" a="1"/>
  <c r="J429" i="44" s="1"/>
  <c r="K429" i="44" a="1"/>
  <c r="K429" i="44" s="1"/>
  <c r="I181" i="44" a="1"/>
  <c r="I181" i="44" s="1"/>
  <c r="J183" i="44" a="1"/>
  <c r="J183" i="44" s="1"/>
  <c r="K183" i="44" a="1"/>
  <c r="K183" i="44" s="1"/>
  <c r="G184" i="44" a="1"/>
  <c r="G184" i="44" s="1"/>
  <c r="J430" i="44" a="1"/>
  <c r="J430" i="44" s="1"/>
  <c r="J177" i="44" a="1"/>
  <c r="J177" i="44" s="1"/>
  <c r="G423" i="44" a="1"/>
  <c r="G423" i="44" s="1"/>
  <c r="G427" i="44" a="1"/>
  <c r="G427" i="44" s="1"/>
  <c r="I183" i="44" a="1"/>
  <c r="I183" i="44" s="1"/>
  <c r="G182" i="44" a="1"/>
  <c r="G182" i="44" s="1"/>
  <c r="I184" i="44" a="1"/>
  <c r="I184" i="44" s="1"/>
  <c r="G480" i="44" a="1"/>
  <c r="G480" i="44" s="1"/>
  <c r="K184" i="44" a="1"/>
  <c r="K184" i="44" s="1"/>
  <c r="J182" i="44" a="1"/>
  <c r="J182" i="44" s="1"/>
  <c r="K177" i="44" a="1"/>
  <c r="K177" i="44" s="1"/>
  <c r="H181" i="44" a="1"/>
  <c r="H181" i="44" s="1"/>
  <c r="G181" i="44" a="1"/>
  <c r="G181" i="44" s="1"/>
  <c r="H429" i="44" a="1"/>
  <c r="H429" i="44" s="1"/>
  <c r="I427" i="44" a="1"/>
  <c r="I427" i="44" s="1"/>
  <c r="G183" i="44" a="1"/>
  <c r="G183" i="44" s="1"/>
  <c r="J184" i="44" a="1"/>
  <c r="J184" i="44" s="1"/>
  <c r="K182" i="44" a="1"/>
  <c r="K182" i="44" s="1"/>
  <c r="H183" i="44" a="1"/>
  <c r="H183" i="44" s="1"/>
  <c r="I177" i="44" a="1"/>
  <c r="I177" i="44" s="1"/>
  <c r="H427" i="44" a="1"/>
  <c r="H427" i="44" s="1"/>
  <c r="K428" i="44" a="1"/>
  <c r="K428" i="44" s="1"/>
  <c r="G177" i="44" a="1"/>
  <c r="G177" i="44" s="1"/>
  <c r="J428" i="44" a="1"/>
  <c r="J428" i="44" s="1"/>
  <c r="G430" i="44" a="1"/>
  <c r="G430" i="44" s="1"/>
  <c r="I182" i="44" a="1"/>
  <c r="I182" i="44" s="1"/>
  <c r="J427" i="44" a="1"/>
  <c r="J427" i="44" s="1"/>
  <c r="J423" i="44" a="1"/>
  <c r="J423" i="44" s="1"/>
  <c r="H430" i="44" a="1"/>
  <c r="H430" i="44" s="1"/>
  <c r="I430" i="44" a="1"/>
  <c r="I430" i="44" s="1"/>
  <c r="H177" i="44" a="1"/>
  <c r="H177" i="44" s="1"/>
  <c r="H423" i="44" a="1"/>
  <c r="H423" i="44" s="1"/>
  <c r="I423" i="44" a="1"/>
  <c r="I423" i="44" s="1"/>
  <c r="I428" i="44" a="1"/>
  <c r="I428" i="44" s="1"/>
  <c r="G429" i="44" a="1"/>
  <c r="G429" i="44" s="1"/>
  <c r="I481" i="44" a="1"/>
  <c r="I481" i="44" s="1"/>
  <c r="K447" i="44" a="1"/>
  <c r="K447" i="44" s="1"/>
  <c r="K329" i="44" s="1"/>
  <c r="K410" i="44" a="1"/>
  <c r="K410" i="44" s="1"/>
  <c r="K451" i="44" a="1"/>
  <c r="K451" i="44" s="1"/>
  <c r="G486" i="44" a="1"/>
  <c r="G486" i="44" s="1"/>
  <c r="J451" i="44" a="1"/>
  <c r="J451" i="44" s="1"/>
  <c r="G466" i="44" a="1"/>
  <c r="G466" i="44" s="1"/>
  <c r="K445" i="44" a="1"/>
  <c r="K445" i="44" s="1"/>
  <c r="H410" i="44" a="1"/>
  <c r="H410" i="44" s="1"/>
  <c r="J474" i="44" a="1"/>
  <c r="J474" i="44" s="1"/>
  <c r="J445" i="44" a="1"/>
  <c r="J445" i="44" s="1"/>
  <c r="J404" i="44" a="1"/>
  <c r="J404" i="44" s="1"/>
  <c r="I475" i="44" a="1"/>
  <c r="I475" i="44" s="1"/>
  <c r="H448" i="44" a="1"/>
  <c r="H448" i="44" s="1"/>
  <c r="H336" i="44" s="1"/>
  <c r="H475" i="44" a="1"/>
  <c r="H475" i="44" s="1"/>
  <c r="J466" i="44" a="1"/>
  <c r="J466" i="44" s="1"/>
  <c r="K440" i="44" a="1"/>
  <c r="K440" i="44" s="1"/>
  <c r="G241" i="44" a="1"/>
  <c r="G241" i="44" s="1"/>
  <c r="J241" i="44" a="1"/>
  <c r="J241" i="44" s="1"/>
  <c r="J81" i="67"/>
  <c r="K81" i="67" s="1"/>
  <c r="D309" i="49"/>
  <c r="E309" i="49" s="1"/>
  <c r="F89" i="49"/>
  <c r="J10" i="67"/>
  <c r="K10" i="67" s="1"/>
  <c r="D97" i="49"/>
  <c r="H446" i="44" a="1"/>
  <c r="H446" i="44" s="1"/>
  <c r="I405" i="44" a="1"/>
  <c r="I405" i="44" s="1"/>
  <c r="G487" i="44" a="1"/>
  <c r="G487" i="44" s="1"/>
  <c r="I450" i="44" a="1"/>
  <c r="I450" i="44" s="1"/>
  <c r="G481" i="44" a="1"/>
  <c r="G481" i="44" s="1"/>
  <c r="H450" i="44" a="1"/>
  <c r="H450" i="44" s="1"/>
  <c r="K460" i="44" a="1"/>
  <c r="K460" i="44" s="1"/>
  <c r="I444" i="44" a="1"/>
  <c r="I444" i="44" s="1"/>
  <c r="H480" i="44" a="1"/>
  <c r="H480" i="44" s="1"/>
  <c r="K466" i="44" a="1"/>
  <c r="K466" i="44" s="1"/>
  <c r="H444" i="44" a="1"/>
  <c r="H444" i="44" s="1"/>
  <c r="H487" i="44" a="1"/>
  <c r="H487" i="44" s="1"/>
  <c r="J467" i="44" a="1"/>
  <c r="J467" i="44" s="1"/>
  <c r="K446" i="44" a="1"/>
  <c r="K446" i="44" s="1"/>
  <c r="J453" i="44" a="1"/>
  <c r="J453" i="44" s="1"/>
  <c r="J374" i="44" s="1"/>
  <c r="J461" i="44" a="1"/>
  <c r="J461" i="44" s="1"/>
  <c r="I439" i="44" a="1"/>
  <c r="I439" i="44" s="1"/>
  <c r="I288" i="44" s="1"/>
  <c r="G235" i="44" a="1"/>
  <c r="G235" i="44" s="1"/>
  <c r="Q82" i="67"/>
  <c r="R82" i="67" s="1"/>
  <c r="D328" i="49"/>
  <c r="D99" i="49"/>
  <c r="H474" i="44" a="1"/>
  <c r="H474" i="44" s="1"/>
  <c r="I440" i="44" a="1"/>
  <c r="I440" i="44" s="1"/>
  <c r="G404" i="44" a="1"/>
  <c r="G404" i="44" s="1"/>
  <c r="H481" i="44" a="1"/>
  <c r="H481" i="44" s="1"/>
  <c r="G449" i="44" a="1"/>
  <c r="G449" i="44" s="1"/>
  <c r="G343" i="44" s="1"/>
  <c r="H405" i="44" a="1"/>
  <c r="H405" i="44" s="1"/>
  <c r="K475" i="44" a="1"/>
  <c r="K475" i="44" s="1"/>
  <c r="K448" i="44" a="1"/>
  <c r="K448" i="44" s="1"/>
  <c r="K336" i="44" s="1"/>
  <c r="G410" i="44" a="1"/>
  <c r="G410" i="44" s="1"/>
  <c r="I454" i="44" a="1"/>
  <c r="I454" i="44" s="1"/>
  <c r="I381" i="44" s="1"/>
  <c r="K439" i="44" a="1"/>
  <c r="K439" i="44" s="1"/>
  <c r="K288" i="44" s="1"/>
  <c r="J460" i="44" a="1"/>
  <c r="J460" i="44" s="1"/>
  <c r="I438" i="44" a="1"/>
  <c r="I438" i="44" s="1"/>
  <c r="I271" i="44" s="1"/>
  <c r="H452" i="44" a="1"/>
  <c r="H452" i="44" s="1"/>
  <c r="K461" i="44" a="1"/>
  <c r="K461" i="44" s="1"/>
  <c r="I445" i="44" a="1"/>
  <c r="I445" i="44" s="1"/>
  <c r="G445" i="44" a="1"/>
  <c r="G445" i="44" s="1"/>
  <c r="H460" i="44" a="1"/>
  <c r="H460" i="44" s="1"/>
  <c r="H438" i="44" a="1"/>
  <c r="H438" i="44" s="1"/>
  <c r="H271" i="44" s="1"/>
  <c r="K235" i="44" a="1"/>
  <c r="K235" i="44" s="1"/>
  <c r="Q81" i="67"/>
  <c r="R81" i="67" s="1"/>
  <c r="D310" i="49"/>
  <c r="E310" i="49" s="1"/>
  <c r="F86" i="49"/>
  <c r="I466" i="44" a="1"/>
  <c r="I466" i="44" s="1"/>
  <c r="G439" i="44" a="1"/>
  <c r="G439" i="44" s="1"/>
  <c r="G288" i="44" s="1"/>
  <c r="J410" i="44" a="1"/>
  <c r="J410" i="44" s="1"/>
  <c r="G475" i="44" a="1"/>
  <c r="G475" i="44" s="1"/>
  <c r="J447" i="44" a="1"/>
  <c r="J447" i="44" s="1"/>
  <c r="J329" i="44" s="1"/>
  <c r="K405" i="44" a="1"/>
  <c r="K405" i="44" s="1"/>
  <c r="G474" i="44" a="1"/>
  <c r="G474" i="44" s="1"/>
  <c r="I447" i="44" a="1"/>
  <c r="I447" i="44" s="1"/>
  <c r="I329" i="44" s="1"/>
  <c r="I404" i="44" a="1"/>
  <c r="I404" i="44" s="1"/>
  <c r="K452" i="44" a="1"/>
  <c r="K452" i="44" s="1"/>
  <c r="J438" i="44" a="1"/>
  <c r="J438" i="44" s="1"/>
  <c r="J271" i="44" s="1"/>
  <c r="G448" i="44" a="1"/>
  <c r="G448" i="44" s="1"/>
  <c r="G336" i="44" s="1"/>
  <c r="H454" i="44" a="1"/>
  <c r="H454" i="44" s="1"/>
  <c r="H381" i="44" s="1"/>
  <c r="I437" i="44" a="1"/>
  <c r="I437" i="44" s="1"/>
  <c r="I446" i="44" a="1"/>
  <c r="I446" i="44" s="1"/>
  <c r="I460" i="44" a="1"/>
  <c r="I460" i="44" s="1"/>
  <c r="G444" i="44" a="1"/>
  <c r="G444" i="44" s="1"/>
  <c r="I487" i="44" a="1"/>
  <c r="I487" i="44" s="1"/>
  <c r="K453" i="44" a="1"/>
  <c r="K453" i="44" s="1"/>
  <c r="K374" i="44" s="1"/>
  <c r="G437" i="44" a="1"/>
  <c r="G437" i="44" s="1"/>
  <c r="J235" i="44" a="1"/>
  <c r="J235" i="44" s="1"/>
  <c r="K241" i="44" a="1"/>
  <c r="K241" i="44" s="1"/>
  <c r="J82" i="67"/>
  <c r="K82" i="67" s="1"/>
  <c r="D77" i="49"/>
  <c r="E77" i="49" s="1"/>
  <c r="F85" i="49"/>
  <c r="K454" i="44" a="1"/>
  <c r="K454" i="44" s="1"/>
  <c r="K381" i="44" s="1"/>
  <c r="G438" i="44" a="1"/>
  <c r="G438" i="44" s="1"/>
  <c r="G271" i="44" s="1"/>
  <c r="I467" i="44" a="1"/>
  <c r="I467" i="44" s="1"/>
  <c r="H467" i="44" a="1"/>
  <c r="H467" i="44" s="1"/>
  <c r="G446" i="44" a="1"/>
  <c r="G446" i="44" s="1"/>
  <c r="I461" i="44" a="1"/>
  <c r="I461" i="44" s="1"/>
  <c r="G467" i="44" a="1"/>
  <c r="G467" i="44" s="1"/>
  <c r="J444" i="44" a="1"/>
  <c r="J444" i="44" s="1"/>
  <c r="K486" i="44" a="1"/>
  <c r="K486" i="44" s="1"/>
  <c r="I451" i="44" a="1"/>
  <c r="I451" i="44" s="1"/>
  <c r="J437" i="44" a="1"/>
  <c r="J437" i="44" s="1"/>
  <c r="H439" i="44" a="1"/>
  <c r="H439" i="44" s="1"/>
  <c r="H288" i="44" s="1"/>
  <c r="J452" i="44" a="1"/>
  <c r="J452" i="44" s="1"/>
  <c r="H436" i="44" a="1"/>
  <c r="H436" i="44" s="1"/>
  <c r="G454" i="44" a="1"/>
  <c r="G454" i="44" s="1"/>
  <c r="G381" i="44" s="1"/>
  <c r="J439" i="44" a="1"/>
  <c r="J439" i="44" s="1"/>
  <c r="J288" i="44" s="1"/>
  <c r="I486" i="44" a="1"/>
  <c r="I486" i="44" s="1"/>
  <c r="G451" i="44" a="1"/>
  <c r="G451" i="44" s="1"/>
  <c r="I235" i="44" a="1"/>
  <c r="I235" i="44" s="1"/>
  <c r="I241" i="44" a="1"/>
  <c r="I241" i="44" s="1"/>
  <c r="J9" i="67"/>
  <c r="K9" i="67" s="1"/>
  <c r="D76" i="49"/>
  <c r="E76" i="49" s="1"/>
  <c r="J405" i="44" a="1"/>
  <c r="J405" i="44" s="1"/>
  <c r="I453" i="44" a="1"/>
  <c r="I453" i="44" s="1"/>
  <c r="I374" i="44" s="1"/>
  <c r="J436" i="44" a="1"/>
  <c r="J436" i="44" s="1"/>
  <c r="K450" i="44" a="1"/>
  <c r="K450" i="44" s="1"/>
  <c r="H466" i="44" a="1"/>
  <c r="H466" i="44" s="1"/>
  <c r="K444" i="44" a="1"/>
  <c r="K444" i="44" s="1"/>
  <c r="H449" i="44" a="1"/>
  <c r="H449" i="44" s="1"/>
  <c r="H343" i="44" s="1"/>
  <c r="G461" i="44" a="1"/>
  <c r="G461" i="44" s="1"/>
  <c r="G462" i="44" s="1"/>
  <c r="G440" i="44" a="1"/>
  <c r="G440" i="44" s="1"/>
  <c r="K480" i="44" a="1"/>
  <c r="K480" i="44" s="1"/>
  <c r="G450" i="44" a="1"/>
  <c r="G450" i="44" s="1"/>
  <c r="H404" i="44" a="1"/>
  <c r="H404" i="44" s="1"/>
  <c r="K449" i="44" a="1"/>
  <c r="K449" i="44" s="1"/>
  <c r="K343" i="44" s="1"/>
  <c r="J486" i="44" a="1"/>
  <c r="J486" i="44" s="1"/>
  <c r="I452" i="44" a="1"/>
  <c r="I452" i="44" s="1"/>
  <c r="H437" i="44" a="1"/>
  <c r="H437" i="44" s="1"/>
  <c r="J481" i="44" a="1"/>
  <c r="J481" i="44" s="1"/>
  <c r="I449" i="44" a="1"/>
  <c r="I449" i="44" s="1"/>
  <c r="I343" i="44" s="1"/>
  <c r="H235" i="44" a="1"/>
  <c r="H235" i="44" s="1"/>
  <c r="Q10" i="67"/>
  <c r="R10" i="67" s="1"/>
  <c r="D100" i="49"/>
  <c r="D98" i="49"/>
  <c r="G452" i="44" a="1"/>
  <c r="G452" i="44" s="1"/>
  <c r="J440" i="44" a="1"/>
  <c r="J440" i="44" s="1"/>
  <c r="H461" i="44" a="1"/>
  <c r="H461" i="44" s="1"/>
  <c r="H440" i="44" a="1"/>
  <c r="H440" i="44" s="1"/>
  <c r="K436" i="44" a="1"/>
  <c r="K436" i="44" s="1"/>
  <c r="J454" i="44" a="1"/>
  <c r="J454" i="44" s="1"/>
  <c r="J381" i="44" s="1"/>
  <c r="K437" i="44" a="1"/>
  <c r="K437" i="44" s="1"/>
  <c r="K474" i="44" a="1"/>
  <c r="K474" i="44" s="1"/>
  <c r="J448" i="44" a="1"/>
  <c r="J448" i="44" s="1"/>
  <c r="J336" i="44" s="1"/>
  <c r="J487" i="44" a="1"/>
  <c r="J487" i="44" s="1"/>
  <c r="I448" i="44" a="1"/>
  <c r="I448" i="44" s="1"/>
  <c r="I336" i="44" s="1"/>
  <c r="K404" i="44" a="1"/>
  <c r="K404" i="44" s="1"/>
  <c r="K481" i="44" a="1"/>
  <c r="K481" i="44" s="1"/>
  <c r="H451" i="44" a="1"/>
  <c r="H451" i="44" s="1"/>
  <c r="G436" i="44" a="1"/>
  <c r="G436" i="44" s="1"/>
  <c r="G263" i="44" s="1"/>
  <c r="I480" i="44" a="1"/>
  <c r="I480" i="44" s="1"/>
  <c r="I482" i="44" s="1"/>
  <c r="J446" i="44" a="1"/>
  <c r="J446" i="44" s="1"/>
  <c r="H241" i="44" a="1"/>
  <c r="H241" i="44" s="1"/>
  <c r="Q9" i="67"/>
  <c r="R9" i="67" s="1"/>
  <c r="F88" i="49"/>
  <c r="D95" i="49"/>
  <c r="H486" i="44" a="1"/>
  <c r="H486" i="44" s="1"/>
  <c r="J450" i="44" a="1"/>
  <c r="J450" i="44" s="1"/>
  <c r="H453" i="44" a="1"/>
  <c r="H453" i="44" s="1"/>
  <c r="H374" i="44" s="1"/>
  <c r="K438" i="44" a="1"/>
  <c r="K438" i="44" s="1"/>
  <c r="K271" i="44" s="1"/>
  <c r="K487" i="44" a="1"/>
  <c r="K487" i="44" s="1"/>
  <c r="G453" i="44" a="1"/>
  <c r="G453" i="44" s="1"/>
  <c r="G374" i="44" s="1"/>
  <c r="I436" i="44" a="1"/>
  <c r="I436" i="44" s="1"/>
  <c r="K467" i="44" a="1"/>
  <c r="K467" i="44" s="1"/>
  <c r="H447" i="44" a="1"/>
  <c r="H447" i="44" s="1"/>
  <c r="H329" i="44" s="1"/>
  <c r="G405" i="44" a="1"/>
  <c r="G405" i="44" s="1"/>
  <c r="J475" i="44" a="1"/>
  <c r="J475" i="44" s="1"/>
  <c r="G447" i="44" a="1"/>
  <c r="G447" i="44" s="1"/>
  <c r="G329" i="44" s="1"/>
  <c r="I410" i="44" a="1"/>
  <c r="I410" i="44" s="1"/>
  <c r="J480" i="44" a="1"/>
  <c r="J480" i="44" s="1"/>
  <c r="J449" i="44" a="1"/>
  <c r="J449" i="44" s="1"/>
  <c r="J343" i="44" s="1"/>
  <c r="I474" i="44" a="1"/>
  <c r="I474" i="44" s="1"/>
  <c r="H445" i="44" a="1"/>
  <c r="H445" i="44" s="1"/>
  <c r="D96" i="49"/>
  <c r="G83" i="67" a="1"/>
  <c r="G83" i="67" s="1"/>
  <c r="N83" i="67" a="1"/>
  <c r="N83" i="67" s="1"/>
  <c r="N82" i="67" a="1"/>
  <c r="N82" i="67" s="1"/>
  <c r="N81" i="67" a="1"/>
  <c r="N81" i="67" s="1"/>
  <c r="G81" i="67" a="1"/>
  <c r="G81" i="67" s="1"/>
  <c r="G82" i="67" a="1"/>
  <c r="G82" i="67" s="1"/>
  <c r="G12" i="67" a="1"/>
  <c r="G12" i="67" s="1"/>
  <c r="G10" i="67" a="1"/>
  <c r="G10" i="67" s="1"/>
  <c r="N12" i="67" a="1"/>
  <c r="N12" i="67" s="1"/>
  <c r="G9" i="67" a="1"/>
  <c r="G9" i="67" s="1"/>
  <c r="N11" i="67" a="1"/>
  <c r="N11" i="67" s="1"/>
  <c r="G11" i="67" a="1"/>
  <c r="G11" i="67" s="1"/>
  <c r="N9" i="67" a="1"/>
  <c r="N9" i="67" s="1"/>
  <c r="N10" i="67" a="1"/>
  <c r="N10" i="67" s="1"/>
  <c r="D332" i="49"/>
  <c r="D331" i="49"/>
  <c r="D333" i="49"/>
  <c r="D329" i="49"/>
  <c r="D330" i="49"/>
  <c r="D151" i="63"/>
  <c r="E151" i="63" s="1"/>
  <c r="D152" i="63"/>
  <c r="E152" i="63" s="1"/>
  <c r="D22" i="63"/>
  <c r="E22" i="63" s="1"/>
  <c r="D21" i="63"/>
  <c r="E21" i="63" s="1"/>
  <c r="F193" i="49"/>
  <c r="O193" i="49" s="1" a="1"/>
  <c r="O193" i="49" s="1"/>
  <c r="D319" i="49"/>
  <c r="F319" i="49" s="1"/>
  <c r="F196" i="49"/>
  <c r="D318" i="49"/>
  <c r="F318" i="49" s="1"/>
  <c r="D323" i="49"/>
  <c r="F185" i="49"/>
  <c r="F165" i="49"/>
  <c r="O165" i="49" s="1" a="1"/>
  <c r="O165" i="49" s="1"/>
  <c r="F111" i="49"/>
  <c r="D322" i="49"/>
  <c r="F322" i="49" s="1"/>
  <c r="D321" i="49"/>
  <c r="F321" i="49" s="1"/>
  <c r="F227" i="49"/>
  <c r="D320" i="49"/>
  <c r="F137" i="49"/>
  <c r="O137" i="49" s="1"/>
  <c r="F164" i="49"/>
  <c r="O164" i="49" s="1" a="1"/>
  <c r="O164" i="49" s="1"/>
  <c r="F147" i="49"/>
  <c r="F167" i="49"/>
  <c r="F135" i="49"/>
  <c r="O135" i="49" s="1" a="1"/>
  <c r="O135" i="49" s="1"/>
  <c r="F112" i="49"/>
  <c r="F148" i="49"/>
  <c r="F125" i="49"/>
  <c r="O125" i="49" s="1" a="1"/>
  <c r="O125" i="49" s="1"/>
  <c r="F163" i="49"/>
  <c r="F115" i="49"/>
  <c r="F223" i="49"/>
  <c r="O223" i="49" s="1" a="1"/>
  <c r="O223" i="49" s="1"/>
  <c r="F178" i="49"/>
  <c r="F192" i="49"/>
  <c r="F123" i="49"/>
  <c r="F127" i="49"/>
  <c r="F155" i="49"/>
  <c r="F170" i="49"/>
  <c r="F108" i="49"/>
  <c r="F138" i="49"/>
  <c r="F220" i="49"/>
  <c r="F136" i="49"/>
  <c r="F213" i="49"/>
  <c r="F194" i="49"/>
  <c r="O194" i="49" s="1" a="1"/>
  <c r="O194" i="49" s="1"/>
  <c r="F179" i="49"/>
  <c r="F109" i="49"/>
  <c r="F199" i="49"/>
  <c r="F190" i="49"/>
  <c r="O190" i="49" s="1" a="1"/>
  <c r="O190" i="49" s="1"/>
  <c r="F191" i="49"/>
  <c r="O191" i="49" s="1" a="1"/>
  <c r="O191" i="49" s="1"/>
  <c r="F222" i="49"/>
  <c r="O222" i="49" s="1" a="1"/>
  <c r="O222" i="49" s="1"/>
  <c r="F177" i="49"/>
  <c r="F107" i="49"/>
  <c r="F130" i="49"/>
  <c r="F120" i="49"/>
  <c r="O120" i="49" s="1" a="1"/>
  <c r="O120" i="49" s="1"/>
  <c r="F149" i="49"/>
  <c r="F160" i="49"/>
  <c r="O160" i="49" s="1" a="1"/>
  <c r="O160" i="49" s="1"/>
  <c r="F161" i="49"/>
  <c r="O161" i="49" s="1" a="1"/>
  <c r="O161" i="49" s="1"/>
  <c r="F206" i="49"/>
  <c r="F124" i="49"/>
  <c r="O124" i="49" s="1" a="1"/>
  <c r="O124" i="49" s="1"/>
  <c r="F162" i="49"/>
  <c r="O162" i="49" s="1" a="1"/>
  <c r="O162" i="49" s="1"/>
  <c r="F205" i="49"/>
  <c r="F208" i="49"/>
  <c r="F121" i="49"/>
  <c r="O121" i="49" s="1" a="1"/>
  <c r="O121" i="49" s="1"/>
  <c r="F110" i="49"/>
  <c r="F195" i="49"/>
  <c r="O195" i="49" s="1" a="1"/>
  <c r="O195" i="49" s="1"/>
  <c r="F151" i="49"/>
  <c r="F166" i="49"/>
  <c r="O166" i="49" s="1" a="1"/>
  <c r="O166" i="49" s="1"/>
  <c r="F207" i="49"/>
  <c r="F224" i="49"/>
  <c r="F209" i="49"/>
  <c r="F122" i="49"/>
  <c r="O122" i="49" s="1" a="1"/>
  <c r="O122" i="49" s="1"/>
  <c r="F218" i="49"/>
  <c r="O218" i="49" s="1" a="1"/>
  <c r="O218" i="49" s="1"/>
  <c r="F126" i="49"/>
  <c r="O126" i="49" s="1" a="1"/>
  <c r="O126" i="49" s="1"/>
  <c r="F180" i="49"/>
  <c r="F150" i="49"/>
  <c r="F182" i="49"/>
  <c r="F141" i="49"/>
  <c r="F210" i="49"/>
  <c r="F219" i="49"/>
  <c r="O219" i="49" s="1" a="1"/>
  <c r="O219" i="49" s="1"/>
  <c r="F221" i="49"/>
  <c r="O221" i="49" s="1" a="1"/>
  <c r="O221" i="49" s="1"/>
  <c r="F152" i="49"/>
  <c r="F181" i="49"/>
  <c r="H204" i="44" a="1"/>
  <c r="H204" i="44" s="1"/>
  <c r="I205" i="44" a="1"/>
  <c r="I205" i="44" s="1"/>
  <c r="G194" i="44" a="1"/>
  <c r="G194" i="44" s="1"/>
  <c r="I198" i="44" a="1"/>
  <c r="I198" i="44" s="1"/>
  <c r="J206" i="44" a="1"/>
  <c r="J206" i="44" s="1"/>
  <c r="H194" i="44" a="1"/>
  <c r="H194" i="44" s="1"/>
  <c r="K208" i="44" a="1"/>
  <c r="K208" i="44" s="1"/>
  <c r="I199" i="44" a="1"/>
  <c r="I199" i="44" s="1"/>
  <c r="K191" i="44" a="1"/>
  <c r="K191" i="44" s="1"/>
  <c r="L114" i="67" s="1" a="1"/>
  <c r="L114" i="67" s="1"/>
  <c r="I190" i="44" a="1"/>
  <c r="I190" i="44" s="1"/>
  <c r="F369" i="49"/>
  <c r="F370" i="49"/>
  <c r="G203" i="44" a="1"/>
  <c r="G203" i="44" s="1"/>
  <c r="J204" i="44" a="1"/>
  <c r="J204" i="44" s="1"/>
  <c r="H206" i="44" a="1"/>
  <c r="H206" i="44" s="1"/>
  <c r="I200" i="44" a="1"/>
  <c r="I200" i="44" s="1"/>
  <c r="G190" i="44" a="1"/>
  <c r="G190" i="44" s="1"/>
  <c r="J208" i="44" a="1"/>
  <c r="J208" i="44" s="1"/>
  <c r="J191" i="44" a="1"/>
  <c r="J191" i="44" s="1"/>
  <c r="K114" i="67" s="1" a="1"/>
  <c r="K114" i="67" s="1"/>
  <c r="G201" i="44" a="1"/>
  <c r="G201" i="44" s="1"/>
  <c r="G207" i="44" a="1"/>
  <c r="G207" i="44" s="1"/>
  <c r="K193" i="44" a="1"/>
  <c r="K193" i="44" s="1"/>
  <c r="I192" i="44" a="1"/>
  <c r="I192" i="44" s="1"/>
  <c r="F368" i="49"/>
  <c r="F371" i="49"/>
  <c r="J192" i="44" a="1"/>
  <c r="J192" i="44" s="1"/>
  <c r="J202" i="44" a="1"/>
  <c r="J202" i="44" s="1"/>
  <c r="J207" i="44" a="1"/>
  <c r="J207" i="44" s="1"/>
  <c r="H193" i="44" a="1"/>
  <c r="H193" i="44" s="1"/>
  <c r="H203" i="44" a="1"/>
  <c r="H203" i="44" s="1"/>
  <c r="K206" i="44" a="1"/>
  <c r="K206" i="44" s="1"/>
  <c r="H208" i="44" a="1"/>
  <c r="H208" i="44" s="1"/>
  <c r="K201" i="44" a="1"/>
  <c r="K201" i="44" s="1"/>
  <c r="I202" i="44" a="1"/>
  <c r="I202" i="44" s="1"/>
  <c r="I191" i="44" a="1"/>
  <c r="I191" i="44" s="1"/>
  <c r="J114" i="67" s="1" a="1"/>
  <c r="J114" i="67" s="1"/>
  <c r="G202" i="44" a="1"/>
  <c r="G202" i="44" s="1"/>
  <c r="I201" i="44" a="1"/>
  <c r="I201" i="44" s="1"/>
  <c r="J193" i="44" a="1"/>
  <c r="J193" i="44" s="1"/>
  <c r="G191" i="44" a="1"/>
  <c r="G191" i="44" s="1"/>
  <c r="H114" i="67" s="1" a="1"/>
  <c r="H114" i="67" s="1"/>
  <c r="I207" i="44" a="1"/>
  <c r="I207" i="44" s="1"/>
  <c r="I194" i="44" a="1"/>
  <c r="I194" i="44" s="1"/>
  <c r="J199" i="44" a="1"/>
  <c r="J199" i="44" s="1"/>
  <c r="F374" i="49"/>
  <c r="H191" i="44" a="1"/>
  <c r="H191" i="44" s="1"/>
  <c r="I114" i="67" s="1" a="1"/>
  <c r="I114" i="67" s="1"/>
  <c r="H192" i="44" a="1"/>
  <c r="H192" i="44" s="1"/>
  <c r="K190" i="44" a="1"/>
  <c r="K190" i="44" s="1"/>
  <c r="G204" i="44" a="1"/>
  <c r="G204" i="44" s="1"/>
  <c r="I204" i="44" a="1"/>
  <c r="I204" i="44" s="1"/>
  <c r="I203" i="44" a="1"/>
  <c r="I203" i="44" s="1"/>
  <c r="I193" i="44" a="1"/>
  <c r="I193" i="44" s="1"/>
  <c r="G199" i="44" a="1"/>
  <c r="G199" i="44" s="1"/>
  <c r="G192" i="44" a="1"/>
  <c r="G192" i="44" s="1"/>
  <c r="K198" i="44" a="1"/>
  <c r="K198" i="44" s="1"/>
  <c r="K207" i="44" a="1"/>
  <c r="K207" i="44" s="1"/>
  <c r="J201" i="44" a="1"/>
  <c r="J201" i="44" s="1"/>
  <c r="J190" i="44" a="1"/>
  <c r="J190" i="44" s="1"/>
  <c r="F21" i="49"/>
  <c r="K21" i="49" s="1"/>
  <c r="J203" i="44" a="1"/>
  <c r="J203" i="44" s="1"/>
  <c r="H207" i="44" a="1"/>
  <c r="H207" i="44" s="1"/>
  <c r="G206" i="44" a="1"/>
  <c r="G206" i="44" s="1"/>
  <c r="K192" i="44" a="1"/>
  <c r="K192" i="44" s="1"/>
  <c r="H205" i="44" a="1"/>
  <c r="H205" i="44" s="1"/>
  <c r="I206" i="44" a="1"/>
  <c r="I206" i="44" s="1"/>
  <c r="G193" i="44" a="1"/>
  <c r="G193" i="44" s="1"/>
  <c r="J198" i="44" a="1"/>
  <c r="J198" i="44" s="1"/>
  <c r="K200" i="44" a="1"/>
  <c r="K200" i="44" s="1"/>
  <c r="K203" i="44" a="1"/>
  <c r="K203" i="44" s="1"/>
  <c r="G200" i="44" a="1"/>
  <c r="G200" i="44" s="1"/>
  <c r="H202" i="44" a="1"/>
  <c r="H202" i="44" s="1"/>
  <c r="K199" i="44" a="1"/>
  <c r="K199" i="44" s="1"/>
  <c r="K194" i="44" a="1"/>
  <c r="K194" i="44" s="1"/>
  <c r="H198" i="44" a="1"/>
  <c r="H198" i="44" s="1"/>
  <c r="H190" i="44" a="1"/>
  <c r="H190" i="44" s="1"/>
  <c r="I208" i="44" a="1"/>
  <c r="I208" i="44" s="1"/>
  <c r="G198" i="44" a="1"/>
  <c r="G198" i="44" s="1"/>
  <c r="J200" i="44" a="1"/>
  <c r="J200" i="44" s="1"/>
  <c r="H201" i="44" a="1"/>
  <c r="H201" i="44" s="1"/>
  <c r="K205" i="44" a="1"/>
  <c r="K205" i="44" s="1"/>
  <c r="K202" i="44" a="1"/>
  <c r="K202" i="44" s="1"/>
  <c r="G208" i="44" a="1"/>
  <c r="G208" i="44" s="1"/>
  <c r="H199" i="44" a="1"/>
  <c r="H199" i="44" s="1"/>
  <c r="J205" i="44" a="1"/>
  <c r="J205" i="44" s="1"/>
  <c r="J194" i="44" a="1"/>
  <c r="J194" i="44" s="1"/>
  <c r="H200" i="44" a="1"/>
  <c r="H200" i="44" s="1"/>
  <c r="G205" i="44" a="1"/>
  <c r="G205" i="44" s="1"/>
  <c r="K204" i="44" a="1"/>
  <c r="K204" i="44" s="1"/>
  <c r="F33" i="49"/>
  <c r="F453" i="49"/>
  <c r="F48" i="49"/>
  <c r="F452" i="49"/>
  <c r="F18" i="49"/>
  <c r="K18" i="49" s="1"/>
  <c r="F279" i="49"/>
  <c r="F429" i="49"/>
  <c r="F287" i="49"/>
  <c r="F268" i="49"/>
  <c r="K268" i="49" s="1"/>
  <c r="F460" i="49"/>
  <c r="F441" i="49"/>
  <c r="F403" i="49"/>
  <c r="F271" i="49"/>
  <c r="F53" i="49"/>
  <c r="F396" i="49"/>
  <c r="F353" i="49"/>
  <c r="F411" i="49"/>
  <c r="F400" i="49"/>
  <c r="F269" i="49"/>
  <c r="F432" i="49"/>
  <c r="F442" i="49"/>
  <c r="F388" i="49"/>
  <c r="F384" i="49"/>
  <c r="F253" i="49"/>
  <c r="F410" i="49"/>
  <c r="F439" i="49"/>
  <c r="F394" i="49"/>
  <c r="F265" i="49"/>
  <c r="F360" i="49"/>
  <c r="F255" i="49"/>
  <c r="F414" i="49"/>
  <c r="F415" i="49"/>
  <c r="F348" i="49"/>
  <c r="F357" i="49"/>
  <c r="F46" i="49"/>
  <c r="F32" i="49"/>
  <c r="F425" i="49"/>
  <c r="F264" i="49"/>
  <c r="F342" i="49"/>
  <c r="F395" i="49"/>
  <c r="F443" i="49"/>
  <c r="F418" i="49"/>
  <c r="F385" i="49"/>
  <c r="F397" i="49"/>
  <c r="F282" i="49"/>
  <c r="K282" i="49" s="1"/>
  <c r="F273" i="49"/>
  <c r="F51" i="49"/>
  <c r="F50" i="49"/>
  <c r="F49" i="49"/>
  <c r="F251" i="49"/>
  <c r="F266" i="49"/>
  <c r="F451" i="49"/>
  <c r="F252" i="49"/>
  <c r="F19" i="49"/>
  <c r="K19" i="49" s="1"/>
  <c r="F426" i="49"/>
  <c r="F398" i="49"/>
  <c r="F359" i="49"/>
  <c r="F283" i="49"/>
  <c r="F259" i="49"/>
  <c r="F254" i="49"/>
  <c r="K254" i="49" s="1"/>
  <c r="F55" i="49"/>
  <c r="F35" i="49"/>
  <c r="F41" i="49"/>
  <c r="F39" i="49"/>
  <c r="F27" i="49"/>
  <c r="F423" i="49"/>
  <c r="F412" i="49"/>
  <c r="F440" i="49"/>
  <c r="F47" i="49"/>
  <c r="F355" i="49"/>
  <c r="F344" i="49"/>
  <c r="F358" i="49"/>
  <c r="F454" i="49"/>
  <c r="F438" i="49"/>
  <c r="F340" i="49"/>
  <c r="F354" i="49"/>
  <c r="F250" i="49"/>
  <c r="F34" i="49"/>
  <c r="F341" i="49"/>
  <c r="F20" i="49"/>
  <c r="F399" i="49"/>
  <c r="F363" i="49"/>
  <c r="F455" i="49"/>
  <c r="F267" i="49"/>
  <c r="F428" i="49"/>
  <c r="F446" i="49"/>
  <c r="F25" i="49"/>
  <c r="F356" i="49"/>
  <c r="F278" i="49"/>
  <c r="F457" i="49"/>
  <c r="F285" i="49"/>
  <c r="F456" i="49"/>
  <c r="F345" i="49"/>
  <c r="F23" i="49"/>
  <c r="F382" i="49"/>
  <c r="F381" i="49"/>
  <c r="F280" i="49"/>
  <c r="F380" i="49"/>
  <c r="F424" i="49"/>
  <c r="F393" i="49"/>
  <c r="F383" i="49"/>
  <c r="F343" i="49"/>
  <c r="F413" i="49"/>
  <c r="F257" i="49"/>
  <c r="F281" i="49"/>
  <c r="F427" i="49"/>
  <c r="F36" i="49"/>
  <c r="F37" i="49"/>
  <c r="F22" i="49"/>
  <c r="K22" i="49" s="1"/>
  <c r="G406" i="44" l="1"/>
  <c r="G476" i="44"/>
  <c r="G468" i="44"/>
  <c r="E33" i="63"/>
  <c r="E34" i="63" s="1"/>
  <c r="I102" i="67" a="1"/>
  <c r="I102" i="67" s="1"/>
  <c r="L102" i="67" a="1"/>
  <c r="L102" i="67" s="1"/>
  <c r="K102" i="67" a="1"/>
  <c r="K102" i="67" s="1"/>
  <c r="J102" i="67" a="1"/>
  <c r="J102" i="67" s="1"/>
  <c r="H104" i="67" a="1"/>
  <c r="H104" i="67" s="1"/>
  <c r="K31" i="67" a="1"/>
  <c r="K31" i="67" s="1"/>
  <c r="L31" i="67" a="1"/>
  <c r="L31" i="67" s="1"/>
  <c r="J31" i="67" a="1"/>
  <c r="J31" i="67" s="1"/>
  <c r="I31" i="67" a="1"/>
  <c r="I31" i="67" s="1"/>
  <c r="H32" i="67" a="1"/>
  <c r="H32" i="67" s="1"/>
  <c r="J103" i="67" a="1"/>
  <c r="J103" i="67" s="1"/>
  <c r="I103" i="67" a="1"/>
  <c r="I103" i="67" s="1"/>
  <c r="L103" i="67" a="1"/>
  <c r="L103" i="67" s="1"/>
  <c r="K103" i="67" a="1"/>
  <c r="K103" i="67" s="1"/>
  <c r="K30" i="67" a="1"/>
  <c r="K30" i="67" s="1"/>
  <c r="L30" i="67" a="1"/>
  <c r="L30" i="67" s="1"/>
  <c r="J30" i="67" a="1"/>
  <c r="J30" i="67" s="1"/>
  <c r="I30" i="67" a="1"/>
  <c r="I30" i="67" s="1"/>
  <c r="S138" i="67"/>
  <c r="S66" i="67"/>
  <c r="K67" i="67"/>
  <c r="K139" i="67"/>
  <c r="L139" i="67"/>
  <c r="L67" i="67"/>
  <c r="H69" i="67"/>
  <c r="H141" i="67"/>
  <c r="H66" i="67"/>
  <c r="H138" i="67"/>
  <c r="K141" i="67"/>
  <c r="K69" i="67"/>
  <c r="H140" i="67"/>
  <c r="H68" i="67"/>
  <c r="J68" i="67"/>
  <c r="J140" i="67"/>
  <c r="O69" i="67"/>
  <c r="O141" i="67"/>
  <c r="J67" i="67"/>
  <c r="J139" i="67"/>
  <c r="I138" i="67"/>
  <c r="I66" i="67"/>
  <c r="O139" i="67"/>
  <c r="O67" i="67"/>
  <c r="O140" i="67"/>
  <c r="O68" i="67"/>
  <c r="S68" i="67"/>
  <c r="S140" i="67"/>
  <c r="I67" i="67"/>
  <c r="I139" i="67"/>
  <c r="Q67" i="67"/>
  <c r="Q139" i="67"/>
  <c r="J138" i="67"/>
  <c r="J66" i="67"/>
  <c r="Q140" i="67"/>
  <c r="Q68" i="67"/>
  <c r="R140" i="67"/>
  <c r="R68" i="67"/>
  <c r="R138" i="67"/>
  <c r="R66" i="67"/>
  <c r="L66" i="67"/>
  <c r="L138" i="67"/>
  <c r="O66" i="67"/>
  <c r="O138" i="67"/>
  <c r="P140" i="67"/>
  <c r="P68" i="67"/>
  <c r="Q138" i="67"/>
  <c r="Q66" i="67"/>
  <c r="J141" i="67"/>
  <c r="J69" i="67"/>
  <c r="I68" i="67"/>
  <c r="I140" i="67"/>
  <c r="S67" i="67"/>
  <c r="S139" i="67"/>
  <c r="P66" i="67"/>
  <c r="P138" i="67"/>
  <c r="I69" i="67"/>
  <c r="I141" i="67"/>
  <c r="Q69" i="67"/>
  <c r="Q141" i="67"/>
  <c r="P139" i="67"/>
  <c r="P67" i="67"/>
  <c r="H67" i="67"/>
  <c r="H139" i="67"/>
  <c r="S69" i="67"/>
  <c r="S141" i="67"/>
  <c r="L68" i="67"/>
  <c r="L140" i="67"/>
  <c r="P69" i="67"/>
  <c r="P141" i="67"/>
  <c r="L69" i="67"/>
  <c r="L141" i="67"/>
  <c r="R141" i="67"/>
  <c r="R69" i="67"/>
  <c r="R67" i="67"/>
  <c r="R139" i="67"/>
  <c r="K68" i="67"/>
  <c r="K140" i="67"/>
  <c r="K66" i="67"/>
  <c r="K138" i="67"/>
  <c r="O104" i="67" a="1"/>
  <c r="O104" i="67" s="1"/>
  <c r="S31" i="67" a="1"/>
  <c r="S31" i="67" s="1"/>
  <c r="R31" i="67" a="1"/>
  <c r="R31" i="67" s="1"/>
  <c r="P31" i="67" a="1"/>
  <c r="P31" i="67" s="1"/>
  <c r="Q31" i="67" a="1"/>
  <c r="Q31" i="67" s="1"/>
  <c r="R102" i="67" a="1"/>
  <c r="R102" i="67" s="1"/>
  <c r="S102" i="67" a="1"/>
  <c r="S102" i="67" s="1"/>
  <c r="P102" i="67" a="1"/>
  <c r="P102" i="67" s="1"/>
  <c r="Q102" i="67" a="1"/>
  <c r="Q102" i="67" s="1"/>
  <c r="P103" i="67" a="1"/>
  <c r="P103" i="67" s="1"/>
  <c r="Q103" i="67" a="1"/>
  <c r="Q103" i="67" s="1"/>
  <c r="R103" i="67" a="1"/>
  <c r="R103" i="67" s="1"/>
  <c r="S103" i="67" a="1"/>
  <c r="S103" i="67" s="1"/>
  <c r="O32" i="67" a="1"/>
  <c r="O32" i="67" s="1"/>
  <c r="P30" i="67" a="1"/>
  <c r="P30" i="67" s="1"/>
  <c r="Q30" i="67" a="1"/>
  <c r="Q30" i="67" s="1"/>
  <c r="R30" i="67" a="1"/>
  <c r="R30" i="67" s="1"/>
  <c r="S30" i="67" a="1"/>
  <c r="S30" i="67" s="1"/>
  <c r="H488" i="44"/>
  <c r="P53" i="67" s="1"/>
  <c r="H476" i="44"/>
  <c r="P51" i="67" s="1"/>
  <c r="K476" i="44"/>
  <c r="S123" i="67" s="1"/>
  <c r="I115" i="67"/>
  <c r="E78" i="53"/>
  <c r="L115" i="67"/>
  <c r="H78" i="53"/>
  <c r="I131" i="67" a="1"/>
  <c r="I131" i="67" s="1"/>
  <c r="E94" i="53"/>
  <c r="H130" i="67" a="1"/>
  <c r="H130" i="67" s="1"/>
  <c r="D93" i="53"/>
  <c r="K131" i="67" a="1"/>
  <c r="K131" i="67" s="1"/>
  <c r="G94" i="53"/>
  <c r="L131" i="67" a="1"/>
  <c r="L131" i="67" s="1"/>
  <c r="H94" i="53"/>
  <c r="H131" i="67" a="1"/>
  <c r="H131" i="67" s="1"/>
  <c r="D94" i="53"/>
  <c r="H129" i="67" a="1"/>
  <c r="H129" i="67" s="1"/>
  <c r="D92" i="53"/>
  <c r="L130" i="67" a="1"/>
  <c r="L130" i="67" s="1"/>
  <c r="H93" i="53"/>
  <c r="K115" i="67"/>
  <c r="G78" i="53"/>
  <c r="H115" i="67"/>
  <c r="D78" i="53"/>
  <c r="G482" i="44"/>
  <c r="J131" i="67" a="1"/>
  <c r="J131" i="67" s="1"/>
  <c r="F94" i="53"/>
  <c r="I130" i="67" a="1"/>
  <c r="I130" i="67" s="1"/>
  <c r="E93" i="53"/>
  <c r="K130" i="67" a="1"/>
  <c r="K130" i="67" s="1"/>
  <c r="G93" i="53"/>
  <c r="J130" i="67" a="1"/>
  <c r="J130" i="67" s="1"/>
  <c r="F93" i="53"/>
  <c r="J482" i="44"/>
  <c r="K129" i="67" a="1"/>
  <c r="K129" i="67" s="1"/>
  <c r="G92" i="53"/>
  <c r="J115" i="67"/>
  <c r="F78" i="53"/>
  <c r="I129" i="67" a="1"/>
  <c r="I129" i="67" s="1"/>
  <c r="E92" i="53"/>
  <c r="L129" i="67" a="1"/>
  <c r="L129" i="67" s="1"/>
  <c r="H92" i="53"/>
  <c r="J129" i="67" a="1"/>
  <c r="J129" i="67" s="1"/>
  <c r="F92" i="53"/>
  <c r="K84" i="67"/>
  <c r="D78" i="49"/>
  <c r="D79" i="49" s="1"/>
  <c r="O177" i="49" s="1" a="1"/>
  <c r="O177" i="49" s="1"/>
  <c r="D311" i="49"/>
  <c r="D312" i="49" s="1"/>
  <c r="M438" i="49" s="1" a="1"/>
  <c r="M438" i="49" s="1"/>
  <c r="I488" i="44"/>
  <c r="Q125" i="67" s="1"/>
  <c r="J96" i="49"/>
  <c r="J98" i="49" s="1"/>
  <c r="I96" i="49"/>
  <c r="I98" i="49" s="1"/>
  <c r="H96" i="49"/>
  <c r="H98" i="49" s="1"/>
  <c r="G96" i="49"/>
  <c r="G98" i="49" s="1"/>
  <c r="K352" i="44"/>
  <c r="K354" i="44" s="1" a="1"/>
  <c r="K354" i="44" s="1"/>
  <c r="S129" i="67" a="1"/>
  <c r="S129" i="67" s="1"/>
  <c r="K366" i="44"/>
  <c r="S131" i="67" a="1"/>
  <c r="S131" i="67" s="1"/>
  <c r="H321" i="44"/>
  <c r="P59" i="67" a="1"/>
  <c r="P59" i="67" s="1"/>
  <c r="G488" i="44"/>
  <c r="O53" i="67" s="1"/>
  <c r="H314" i="44"/>
  <c r="H316" i="44" s="1" a="1"/>
  <c r="H316" i="44" s="1"/>
  <c r="P58" i="67" a="1"/>
  <c r="P58" i="67" s="1"/>
  <c r="S42" i="67" a="1"/>
  <c r="S42" i="67" s="1"/>
  <c r="K263" i="44"/>
  <c r="G352" i="44"/>
  <c r="O129" i="67" a="1"/>
  <c r="O129" i="67" s="1"/>
  <c r="R42" i="67" a="1"/>
  <c r="R42" i="67" s="1"/>
  <c r="J263" i="44"/>
  <c r="P42" i="67" a="1"/>
  <c r="P42" i="67" s="1"/>
  <c r="H263" i="44"/>
  <c r="G307" i="44"/>
  <c r="O57" i="67" a="1"/>
  <c r="O57" i="67" s="1"/>
  <c r="H328" i="49"/>
  <c r="H330" i="49" s="1"/>
  <c r="G328" i="49"/>
  <c r="G330" i="49" s="1"/>
  <c r="I328" i="49"/>
  <c r="I330" i="49" s="1"/>
  <c r="J328" i="49"/>
  <c r="J330" i="49" s="1"/>
  <c r="K321" i="44"/>
  <c r="S59" i="67" a="1"/>
  <c r="S59" i="67" s="1"/>
  <c r="P110" i="67"/>
  <c r="P38" i="67"/>
  <c r="J314" i="44"/>
  <c r="J316" i="44" s="1" a="1"/>
  <c r="J316" i="44" s="1"/>
  <c r="R58" i="67" a="1"/>
  <c r="R58" i="67" s="1"/>
  <c r="R110" i="67"/>
  <c r="R38" i="67"/>
  <c r="H259" i="44"/>
  <c r="P43" i="67"/>
  <c r="P115" i="67"/>
  <c r="P114" i="67" a="1"/>
  <c r="P114" i="67" s="1"/>
  <c r="H280" i="44"/>
  <c r="K482" i="44"/>
  <c r="J366" i="44"/>
  <c r="R131" i="67" a="1"/>
  <c r="R131" i="67" s="1"/>
  <c r="G321" i="44"/>
  <c r="G323" i="44" s="1" a="1"/>
  <c r="G323" i="44" s="1"/>
  <c r="O59" i="67" a="1"/>
  <c r="O59" i="67" s="1"/>
  <c r="R84" i="67"/>
  <c r="H352" i="44"/>
  <c r="H354" i="44" s="1" a="1"/>
  <c r="H354" i="44" s="1"/>
  <c r="P129" i="67" a="1"/>
  <c r="P129" i="67" s="1"/>
  <c r="J476" i="44"/>
  <c r="R51" i="67" s="1"/>
  <c r="K359" i="44"/>
  <c r="K361" i="44" s="1" a="1"/>
  <c r="K361" i="44" s="1"/>
  <c r="S130" i="67" a="1"/>
  <c r="S130" i="67" s="1"/>
  <c r="Q52" i="67"/>
  <c r="J352" i="44"/>
  <c r="J354" i="44" s="1" a="1"/>
  <c r="J354" i="44" s="1"/>
  <c r="R129" i="67" a="1"/>
  <c r="R129" i="67" s="1"/>
  <c r="S110" i="67"/>
  <c r="S38" i="67"/>
  <c r="R12" i="67"/>
  <c r="I366" i="44"/>
  <c r="Q131" i="67" a="1"/>
  <c r="Q131" i="67" s="1"/>
  <c r="G259" i="44"/>
  <c r="O43" i="67"/>
  <c r="O115" i="67"/>
  <c r="I321" i="44"/>
  <c r="Q59" i="67" a="1"/>
  <c r="Q59" i="67" s="1"/>
  <c r="O51" i="67"/>
  <c r="K259" i="44"/>
  <c r="S115" i="67"/>
  <c r="S43" i="67"/>
  <c r="Q124" i="67"/>
  <c r="Q42" i="67" a="1"/>
  <c r="Q42" i="67" s="1"/>
  <c r="I263" i="44"/>
  <c r="J321" i="44"/>
  <c r="R59" i="67" a="1"/>
  <c r="R59" i="67" s="1"/>
  <c r="O110" i="67"/>
  <c r="O38" i="67"/>
  <c r="R115" i="67"/>
  <c r="R43" i="67"/>
  <c r="J259" i="44"/>
  <c r="J488" i="44"/>
  <c r="R125" i="67" s="1"/>
  <c r="G359" i="44"/>
  <c r="O130" i="67" a="1"/>
  <c r="O130" i="67" s="1"/>
  <c r="R114" i="67" a="1"/>
  <c r="R114" i="67" s="1"/>
  <c r="J280" i="44"/>
  <c r="Q114" i="67" a="1"/>
  <c r="Q114" i="67" s="1"/>
  <c r="I280" i="44"/>
  <c r="G314" i="44"/>
  <c r="O58" i="67" a="1"/>
  <c r="O58" i="67" s="1"/>
  <c r="I259" i="44"/>
  <c r="Q115" i="67"/>
  <c r="Q43" i="67"/>
  <c r="H307" i="44"/>
  <c r="H309" i="44" s="1" a="1"/>
  <c r="H309" i="44" s="1"/>
  <c r="P57" i="67" a="1"/>
  <c r="P57" i="67" s="1"/>
  <c r="Q110" i="67"/>
  <c r="Q38" i="67"/>
  <c r="K12" i="67"/>
  <c r="K314" i="44"/>
  <c r="K316" i="44" s="1" a="1"/>
  <c r="K316" i="44" s="1"/>
  <c r="S58" i="67" a="1"/>
  <c r="S58" i="67" s="1"/>
  <c r="Q129" i="67" a="1"/>
  <c r="Q129" i="67" s="1"/>
  <c r="H95" i="49"/>
  <c r="H97" i="49" s="1"/>
  <c r="I95" i="49"/>
  <c r="I97" i="49" s="1"/>
  <c r="J95" i="49"/>
  <c r="J97" i="49" s="1"/>
  <c r="G95" i="49"/>
  <c r="G97" i="49" s="1"/>
  <c r="I359" i="44"/>
  <c r="I361" i="44" s="1" a="1"/>
  <c r="I361" i="44" s="1"/>
  <c r="Q130" i="67" a="1"/>
  <c r="Q130" i="67" s="1"/>
  <c r="I314" i="44"/>
  <c r="I316" i="44" s="1" a="1"/>
  <c r="I316" i="44" s="1"/>
  <c r="Q58" i="67" a="1"/>
  <c r="Q58" i="67" s="1"/>
  <c r="I352" i="44"/>
  <c r="I354" i="44" s="1" a="1"/>
  <c r="I354" i="44" s="1"/>
  <c r="O42" i="67" a="1"/>
  <c r="O42" i="67" s="1"/>
  <c r="G366" i="44"/>
  <c r="G368" i="44" s="1" a="1"/>
  <c r="G368" i="44" s="1"/>
  <c r="O131" i="67" a="1"/>
  <c r="O131" i="67" s="1"/>
  <c r="K307" i="44"/>
  <c r="K309" i="44" s="1" a="1"/>
  <c r="K309" i="44" s="1"/>
  <c r="S57" i="67" a="1"/>
  <c r="S57" i="67" s="1"/>
  <c r="K488" i="44"/>
  <c r="S53" i="67" s="1"/>
  <c r="O114" i="67" a="1"/>
  <c r="O114" i="67" s="1"/>
  <c r="G280" i="44"/>
  <c r="H482" i="44"/>
  <c r="H359" i="44"/>
  <c r="H361" i="44" s="1" a="1"/>
  <c r="H361" i="44" s="1"/>
  <c r="P130" i="67" a="1"/>
  <c r="P130" i="67" s="1"/>
  <c r="S114" i="67" a="1"/>
  <c r="S114" i="67" s="1"/>
  <c r="K280" i="44"/>
  <c r="J307" i="44"/>
  <c r="J309" i="44" s="1" a="1"/>
  <c r="J309" i="44" s="1"/>
  <c r="R57" i="67" a="1"/>
  <c r="R57" i="67" s="1"/>
  <c r="H366" i="44"/>
  <c r="P131" i="67" a="1"/>
  <c r="P131" i="67" s="1"/>
  <c r="I307" i="44"/>
  <c r="I309" i="44" s="1" a="1"/>
  <c r="I309" i="44" s="1"/>
  <c r="Q57" i="67" a="1"/>
  <c r="Q57" i="67" s="1"/>
  <c r="I476" i="44"/>
  <c r="Q51" i="67" s="1"/>
  <c r="J359" i="44"/>
  <c r="J361" i="44" s="1" a="1"/>
  <c r="J361" i="44" s="1"/>
  <c r="R130" i="67" a="1"/>
  <c r="R130" i="67" s="1"/>
  <c r="E163" i="63"/>
  <c r="E154" i="63"/>
  <c r="M454" i="49" a="1"/>
  <c r="M454" i="49" s="1"/>
  <c r="L454" i="49" a="1"/>
  <c r="L454" i="49" s="1"/>
  <c r="K454" i="49" a="1"/>
  <c r="K454" i="49" s="1"/>
  <c r="N454" i="49" a="1"/>
  <c r="N454" i="49" s="1"/>
  <c r="O454" i="49" a="1"/>
  <c r="O454" i="49" s="1"/>
  <c r="O358" i="49" a="1"/>
  <c r="O358" i="49" s="1"/>
  <c r="N358" i="49" a="1"/>
  <c r="N358" i="49" s="1"/>
  <c r="M358" i="49" a="1"/>
  <c r="M358" i="49" s="1"/>
  <c r="L358" i="49" a="1"/>
  <c r="L358" i="49" s="1"/>
  <c r="K358" i="49" a="1"/>
  <c r="K358" i="49" s="1"/>
  <c r="N398" i="49" a="1"/>
  <c r="N398" i="49" s="1"/>
  <c r="M398" i="49" a="1"/>
  <c r="M398" i="49" s="1"/>
  <c r="L398" i="49" a="1"/>
  <c r="L398" i="49" s="1"/>
  <c r="O398" i="49" a="1"/>
  <c r="O398" i="49" s="1"/>
  <c r="K398" i="49" a="1"/>
  <c r="K398" i="49" s="1"/>
  <c r="L395" i="49" a="1"/>
  <c r="L395" i="49" s="1"/>
  <c r="K395" i="49" a="1"/>
  <c r="K395" i="49" s="1"/>
  <c r="O395" i="49" a="1"/>
  <c r="O395" i="49" s="1"/>
  <c r="N395" i="49" a="1"/>
  <c r="N395" i="49" s="1"/>
  <c r="M395" i="49" a="1"/>
  <c r="M395" i="49" s="1"/>
  <c r="N353" i="49" a="1"/>
  <c r="N353" i="49" s="1"/>
  <c r="M353" i="49" a="1"/>
  <c r="M353" i="49" s="1"/>
  <c r="L353" i="49" a="1"/>
  <c r="L353" i="49" s="1"/>
  <c r="K353" i="49" a="1"/>
  <c r="K353" i="49" s="1"/>
  <c r="O353" i="49" a="1"/>
  <c r="O353" i="49" s="1"/>
  <c r="M423" i="49" a="1"/>
  <c r="M423" i="49" s="1"/>
  <c r="L423" i="49" a="1"/>
  <c r="L423" i="49" s="1"/>
  <c r="K423" i="49" a="1"/>
  <c r="K423" i="49" s="1"/>
  <c r="O423" i="49" a="1"/>
  <c r="O423" i="49" s="1"/>
  <c r="N423" i="49" a="1"/>
  <c r="N423" i="49" s="1"/>
  <c r="O399" i="49" a="1"/>
  <c r="O399" i="49" s="1"/>
  <c r="N399" i="49" a="1"/>
  <c r="N399" i="49" s="1"/>
  <c r="M399" i="49" a="1"/>
  <c r="M399" i="49" s="1"/>
  <c r="L399" i="49" a="1"/>
  <c r="L399" i="49" s="1"/>
  <c r="K399" i="49" a="1"/>
  <c r="K399" i="49" s="1"/>
  <c r="O359" i="49" a="1"/>
  <c r="O359" i="49" s="1"/>
  <c r="N359" i="49" a="1"/>
  <c r="N359" i="49" s="1"/>
  <c r="M359" i="49" a="1"/>
  <c r="M359" i="49" s="1"/>
  <c r="L359" i="49" a="1"/>
  <c r="L359" i="49" s="1"/>
  <c r="K359" i="49" a="1"/>
  <c r="K359" i="49" s="1"/>
  <c r="L426" i="49" a="1"/>
  <c r="L426" i="49" s="1"/>
  <c r="K426" i="49" a="1"/>
  <c r="K426" i="49" s="1"/>
  <c r="O426" i="49" a="1"/>
  <c r="O426" i="49" s="1"/>
  <c r="N426" i="49" a="1"/>
  <c r="N426" i="49" s="1"/>
  <c r="M426" i="49" a="1"/>
  <c r="M426" i="49" s="1"/>
  <c r="K368" i="49" a="1"/>
  <c r="K368" i="49" s="1"/>
  <c r="K369" i="49" s="1" a="1"/>
  <c r="K369" i="49" s="1"/>
  <c r="O368" i="49" a="1"/>
  <c r="O368" i="49" s="1"/>
  <c r="O369" i="49" s="1" a="1"/>
  <c r="O369" i="49" s="1"/>
  <c r="L368" i="49" a="1"/>
  <c r="L368" i="49" s="1"/>
  <c r="L369" i="49" s="1" a="1"/>
  <c r="L369" i="49" s="1"/>
  <c r="N368" i="49" a="1"/>
  <c r="N368" i="49" s="1"/>
  <c r="N369" i="49" s="1" a="1"/>
  <c r="N369" i="49" s="1"/>
  <c r="M368" i="49" a="1"/>
  <c r="M368" i="49" s="1"/>
  <c r="M369" i="49" s="1" a="1"/>
  <c r="M369" i="49" s="1"/>
  <c r="J329" i="49"/>
  <c r="J331" i="49" s="1"/>
  <c r="I329" i="49"/>
  <c r="I331" i="49" s="1"/>
  <c r="H329" i="49"/>
  <c r="H331" i="49" s="1"/>
  <c r="G329" i="49"/>
  <c r="G331" i="49" s="1"/>
  <c r="M357" i="49" a="1"/>
  <c r="M357" i="49" s="1"/>
  <c r="L357" i="49" a="1"/>
  <c r="L357" i="49" s="1"/>
  <c r="K357" i="49" a="1"/>
  <c r="K357" i="49" s="1"/>
  <c r="N357" i="49" a="1"/>
  <c r="N357" i="49" s="1"/>
  <c r="O357" i="49" a="1"/>
  <c r="O357" i="49" s="1"/>
  <c r="O428" i="49" a="1"/>
  <c r="O428" i="49" s="1"/>
  <c r="N428" i="49" a="1"/>
  <c r="N428" i="49" s="1"/>
  <c r="M428" i="49" a="1"/>
  <c r="M428" i="49" s="1"/>
  <c r="L428" i="49" a="1"/>
  <c r="L428" i="49" s="1"/>
  <c r="K428" i="49" a="1"/>
  <c r="K428" i="49" s="1"/>
  <c r="O456" i="49" a="1"/>
  <c r="O456" i="49" s="1"/>
  <c r="N456" i="49" a="1"/>
  <c r="N456" i="49" s="1"/>
  <c r="M456" i="49" a="1"/>
  <c r="M456" i="49" s="1"/>
  <c r="L456" i="49" a="1"/>
  <c r="L456" i="49" s="1"/>
  <c r="K456" i="49" a="1"/>
  <c r="K456" i="49" s="1"/>
  <c r="M354" i="49" a="1"/>
  <c r="M354" i="49" s="1"/>
  <c r="L354" i="49" a="1"/>
  <c r="L354" i="49" s="1"/>
  <c r="K354" i="49" a="1"/>
  <c r="K354" i="49" s="1"/>
  <c r="N354" i="49" a="1"/>
  <c r="N354" i="49" s="1"/>
  <c r="O354" i="49" a="1"/>
  <c r="O354" i="49" s="1"/>
  <c r="M451" i="49" a="1"/>
  <c r="M451" i="49" s="1"/>
  <c r="L451" i="49" a="1"/>
  <c r="L451" i="49" s="1"/>
  <c r="K451" i="49" a="1"/>
  <c r="K451" i="49" s="1"/>
  <c r="O451" i="49" a="1"/>
  <c r="O451" i="49" s="1"/>
  <c r="N451" i="49" a="1"/>
  <c r="N451" i="49" s="1"/>
  <c r="N427" i="49" a="1"/>
  <c r="N427" i="49" s="1"/>
  <c r="M427" i="49" a="1"/>
  <c r="M427" i="49" s="1"/>
  <c r="L427" i="49" a="1"/>
  <c r="L427" i="49" s="1"/>
  <c r="K427" i="49" a="1"/>
  <c r="K427" i="49" s="1"/>
  <c r="O427" i="49" a="1"/>
  <c r="O427" i="49" s="1"/>
  <c r="M355" i="49" a="1"/>
  <c r="M355" i="49" s="1"/>
  <c r="L355" i="49" a="1"/>
  <c r="L355" i="49" s="1"/>
  <c r="K355" i="49" a="1"/>
  <c r="K355" i="49" s="1"/>
  <c r="O355" i="49" a="1"/>
  <c r="O355" i="49" s="1"/>
  <c r="N355" i="49" a="1"/>
  <c r="N355" i="49" s="1"/>
  <c r="M393" i="49" a="1"/>
  <c r="M393" i="49" s="1"/>
  <c r="L393" i="49" a="1"/>
  <c r="L393" i="49" s="1"/>
  <c r="K393" i="49" a="1"/>
  <c r="K393" i="49" s="1"/>
  <c r="O393" i="49" a="1"/>
  <c r="O393" i="49" s="1"/>
  <c r="N393" i="49" a="1"/>
  <c r="N393" i="49" s="1"/>
  <c r="M397" i="49" a="1"/>
  <c r="M397" i="49" s="1"/>
  <c r="L397" i="49" a="1"/>
  <c r="L397" i="49" s="1"/>
  <c r="K397" i="49" a="1"/>
  <c r="K397" i="49" s="1"/>
  <c r="O397" i="49" a="1"/>
  <c r="O397" i="49" s="1"/>
  <c r="N397" i="49" a="1"/>
  <c r="N397" i="49" s="1"/>
  <c r="L452" i="49" a="1"/>
  <c r="L452" i="49" s="1"/>
  <c r="K452" i="49" a="1"/>
  <c r="K452" i="49" s="1"/>
  <c r="O452" i="49" a="1"/>
  <c r="O452" i="49" s="1"/>
  <c r="M452" i="49" a="1"/>
  <c r="M452" i="49" s="1"/>
  <c r="N452" i="49" a="1"/>
  <c r="N452" i="49" s="1"/>
  <c r="M424" i="49" a="1"/>
  <c r="M424" i="49" s="1"/>
  <c r="L424" i="49" a="1"/>
  <c r="L424" i="49" s="1"/>
  <c r="K424" i="49" a="1"/>
  <c r="K424" i="49" s="1"/>
  <c r="O424" i="49" a="1"/>
  <c r="O424" i="49" s="1"/>
  <c r="N424" i="49" a="1"/>
  <c r="N424" i="49" s="1"/>
  <c r="N455" i="49" a="1"/>
  <c r="N455" i="49" s="1"/>
  <c r="M455" i="49" a="1"/>
  <c r="M455" i="49" s="1"/>
  <c r="L455" i="49" a="1"/>
  <c r="L455" i="49" s="1"/>
  <c r="K455" i="49" a="1"/>
  <c r="K455" i="49" s="1"/>
  <c r="O455" i="49" a="1"/>
  <c r="O455" i="49" s="1"/>
  <c r="L394" i="49" a="1"/>
  <c r="L394" i="49" s="1"/>
  <c r="K394" i="49" a="1"/>
  <c r="K394" i="49" s="1"/>
  <c r="O394" i="49" a="1"/>
  <c r="O394" i="49" s="1"/>
  <c r="M394" i="49" a="1"/>
  <c r="M394" i="49" s="1"/>
  <c r="N394" i="49" a="1"/>
  <c r="N394" i="49" s="1"/>
  <c r="E24" i="63"/>
  <c r="G114" i="67"/>
  <c r="L43" i="67"/>
  <c r="H43" i="67"/>
  <c r="K42" i="67" a="1"/>
  <c r="K42" i="67" s="1"/>
  <c r="J43" i="67"/>
  <c r="H42" i="67" a="1"/>
  <c r="H42" i="67" s="1"/>
  <c r="I43" i="67"/>
  <c r="J42" i="67" a="1"/>
  <c r="J42" i="67" s="1"/>
  <c r="K43" i="67"/>
  <c r="L42" i="67" a="1"/>
  <c r="L42" i="67" s="1"/>
  <c r="I42" i="67" a="1"/>
  <c r="I42" i="67" s="1"/>
  <c r="G92" i="52"/>
  <c r="D93" i="52"/>
  <c r="G17" i="44"/>
  <c r="M166" i="49" a="1"/>
  <c r="M166" i="49" s="1"/>
  <c r="N166" i="49" a="1"/>
  <c r="N166" i="49" s="1"/>
  <c r="M124" i="49" a="1"/>
  <c r="M124" i="49" s="1"/>
  <c r="N124" i="49" a="1"/>
  <c r="N124" i="49" s="1"/>
  <c r="N177" i="49" a="1"/>
  <c r="N177" i="49" s="1"/>
  <c r="N180" i="49" a="1"/>
  <c r="N180" i="49" s="1"/>
  <c r="M222" i="49" a="1"/>
  <c r="M222" i="49" s="1"/>
  <c r="N222" i="49" a="1"/>
  <c r="N222" i="49" s="1"/>
  <c r="M135" i="49" a="1"/>
  <c r="M135" i="49" s="1"/>
  <c r="N135" i="49" a="1"/>
  <c r="N135" i="49" s="1"/>
  <c r="M126" i="49" a="1"/>
  <c r="M126" i="49" s="1"/>
  <c r="N126" i="49" a="1"/>
  <c r="N126" i="49" s="1"/>
  <c r="M195" i="49" a="1"/>
  <c r="M195" i="49" s="1"/>
  <c r="N195" i="49" a="1"/>
  <c r="N195" i="49" s="1"/>
  <c r="M161" i="49" a="1"/>
  <c r="M161" i="49" s="1"/>
  <c r="N161" i="49" a="1"/>
  <c r="N161" i="49" s="1"/>
  <c r="M191" i="49" a="1"/>
  <c r="M191" i="49" s="1"/>
  <c r="N191" i="49" a="1"/>
  <c r="N191" i="49" s="1"/>
  <c r="M221" i="49" a="1"/>
  <c r="M221" i="49" s="1"/>
  <c r="N221" i="49" a="1"/>
  <c r="N221" i="49" s="1"/>
  <c r="M218" i="49" a="1"/>
  <c r="M218" i="49" s="1"/>
  <c r="N218" i="49" a="1"/>
  <c r="N218" i="49" s="1"/>
  <c r="M160" i="49" a="1"/>
  <c r="M160" i="49" s="1"/>
  <c r="N160" i="49" a="1"/>
  <c r="N160" i="49" s="1"/>
  <c r="M190" i="49" a="1"/>
  <c r="M190" i="49" s="1"/>
  <c r="N190" i="49" a="1"/>
  <c r="N190" i="49" s="1"/>
  <c r="M223" i="49" a="1"/>
  <c r="M223" i="49" s="1"/>
  <c r="N223" i="49" a="1"/>
  <c r="N223" i="49" s="1"/>
  <c r="M219" i="49" a="1"/>
  <c r="M219" i="49" s="1"/>
  <c r="N219" i="49" a="1"/>
  <c r="N219" i="49" s="1"/>
  <c r="M122" i="49" a="1"/>
  <c r="M122" i="49" s="1"/>
  <c r="N122" i="49" a="1"/>
  <c r="N122" i="49" s="1"/>
  <c r="M121" i="49" a="1"/>
  <c r="M121" i="49" s="1"/>
  <c r="N121" i="49" a="1"/>
  <c r="N121" i="49" s="1"/>
  <c r="M164" i="49" a="1"/>
  <c r="M164" i="49" s="1"/>
  <c r="N164" i="49" a="1"/>
  <c r="N164" i="49" s="1"/>
  <c r="M120" i="49" a="1"/>
  <c r="M120" i="49" s="1"/>
  <c r="N120" i="49" a="1"/>
  <c r="N120" i="49" s="1"/>
  <c r="M137" i="49"/>
  <c r="N137" i="49"/>
  <c r="M165" i="49" a="1"/>
  <c r="M165" i="49" s="1"/>
  <c r="N165" i="49" a="1"/>
  <c r="N165" i="49" s="1"/>
  <c r="M125" i="49" a="1"/>
  <c r="M125" i="49" s="1"/>
  <c r="N125" i="49" a="1"/>
  <c r="N125" i="49" s="1"/>
  <c r="M162" i="49" a="1"/>
  <c r="M162" i="49" s="1"/>
  <c r="N162" i="49" a="1"/>
  <c r="N162" i="49" s="1"/>
  <c r="M194" i="49" a="1"/>
  <c r="M194" i="49" s="1"/>
  <c r="N194" i="49" a="1"/>
  <c r="N194" i="49" s="1"/>
  <c r="M193" i="49" a="1"/>
  <c r="M193" i="49" s="1"/>
  <c r="N193" i="49" a="1"/>
  <c r="N193" i="49" s="1"/>
  <c r="K166" i="49" a="1"/>
  <c r="K166" i="49" s="1"/>
  <c r="L166" i="49" a="1"/>
  <c r="L166" i="49" s="1"/>
  <c r="K124" i="49" a="1"/>
  <c r="K124" i="49" s="1"/>
  <c r="L124" i="49" a="1"/>
  <c r="L124" i="49" s="1"/>
  <c r="L180" i="49" a="1"/>
  <c r="L180" i="49" s="1"/>
  <c r="K222" i="49" a="1"/>
  <c r="K222" i="49" s="1"/>
  <c r="L222" i="49" a="1"/>
  <c r="L222" i="49" s="1"/>
  <c r="K135" i="49" a="1"/>
  <c r="K135" i="49" s="1"/>
  <c r="L135" i="49" a="1"/>
  <c r="L135" i="49" s="1"/>
  <c r="K126" i="49" a="1"/>
  <c r="K126" i="49" s="1"/>
  <c r="L126" i="49" a="1"/>
  <c r="L126" i="49" s="1"/>
  <c r="K195" i="49" a="1"/>
  <c r="K195" i="49" s="1"/>
  <c r="L195" i="49" a="1"/>
  <c r="L195" i="49" s="1"/>
  <c r="K161" i="49" a="1"/>
  <c r="K161" i="49" s="1"/>
  <c r="L161" i="49" a="1"/>
  <c r="L161" i="49" s="1"/>
  <c r="K191" i="49" a="1"/>
  <c r="K191" i="49" s="1"/>
  <c r="L191" i="49" a="1"/>
  <c r="L191" i="49" s="1"/>
  <c r="K221" i="49" a="1"/>
  <c r="K221" i="49" s="1"/>
  <c r="L221" i="49" a="1"/>
  <c r="L221" i="49" s="1"/>
  <c r="K218" i="49" a="1"/>
  <c r="K218" i="49" s="1"/>
  <c r="L218" i="49" a="1"/>
  <c r="L218" i="49" s="1"/>
  <c r="K160" i="49" a="1"/>
  <c r="K160" i="49" s="1"/>
  <c r="L160" i="49" a="1"/>
  <c r="L160" i="49" s="1"/>
  <c r="K190" i="49" a="1"/>
  <c r="K190" i="49" s="1"/>
  <c r="L190" i="49" a="1"/>
  <c r="L190" i="49" s="1"/>
  <c r="K223" i="49" a="1"/>
  <c r="K223" i="49" s="1"/>
  <c r="L223" i="49" a="1"/>
  <c r="L223" i="49" s="1"/>
  <c r="L147" i="49" a="1"/>
  <c r="L147" i="49" s="1"/>
  <c r="K219" i="49" a="1"/>
  <c r="K219" i="49" s="1"/>
  <c r="L219" i="49" a="1"/>
  <c r="L219" i="49" s="1"/>
  <c r="K122" i="49" a="1"/>
  <c r="K122" i="49" s="1"/>
  <c r="L122" i="49" a="1"/>
  <c r="L122" i="49" s="1"/>
  <c r="K121" i="49" a="1"/>
  <c r="K121" i="49" s="1"/>
  <c r="L121" i="49" a="1"/>
  <c r="L121" i="49" s="1"/>
  <c r="K164" i="49" a="1"/>
  <c r="K164" i="49" s="1"/>
  <c r="L164" i="49" a="1"/>
  <c r="L164" i="49" s="1"/>
  <c r="K120" i="49" a="1"/>
  <c r="K120" i="49" s="1"/>
  <c r="L120" i="49" a="1"/>
  <c r="L120" i="49" s="1"/>
  <c r="K137" i="49"/>
  <c r="L137" i="49"/>
  <c r="K165" i="49" a="1"/>
  <c r="K165" i="49" s="1"/>
  <c r="L165" i="49" a="1"/>
  <c r="L165" i="49" s="1"/>
  <c r="K125" i="49" a="1"/>
  <c r="K125" i="49" s="1"/>
  <c r="L125" i="49" a="1"/>
  <c r="L125" i="49" s="1"/>
  <c r="K162" i="49" a="1"/>
  <c r="K162" i="49" s="1"/>
  <c r="L162" i="49" a="1"/>
  <c r="L162" i="49" s="1"/>
  <c r="K194" i="49" a="1"/>
  <c r="K194" i="49" s="1"/>
  <c r="L194" i="49" a="1"/>
  <c r="L194" i="49" s="1"/>
  <c r="L148" i="49" a="1"/>
  <c r="L148" i="49" s="1"/>
  <c r="K193" i="49" a="1"/>
  <c r="K193" i="49" s="1"/>
  <c r="L193" i="49" a="1"/>
  <c r="L193" i="49" s="1"/>
  <c r="F90" i="49"/>
  <c r="F96" i="49" s="1"/>
  <c r="F98" i="49" s="1"/>
  <c r="F87" i="49"/>
  <c r="F95" i="49" s="1"/>
  <c r="F97" i="49" s="1"/>
  <c r="F323" i="49"/>
  <c r="F333" i="49" s="1"/>
  <c r="F320" i="49"/>
  <c r="F332" i="49" s="1"/>
  <c r="O370" i="49"/>
  <c r="O371" i="49" s="1" a="1"/>
  <c r="O371" i="49" s="1"/>
  <c r="K370" i="49"/>
  <c r="K371" i="49" s="1" a="1"/>
  <c r="K371" i="49" s="1"/>
  <c r="L370" i="49"/>
  <c r="L371" i="49" s="1" a="1"/>
  <c r="L371" i="49" s="1"/>
  <c r="M370" i="49"/>
  <c r="M371" i="49" s="1" a="1"/>
  <c r="M371" i="49" s="1"/>
  <c r="N370" i="49"/>
  <c r="N371" i="49" s="1" a="1"/>
  <c r="N371" i="49" s="1"/>
  <c r="D92" i="52"/>
  <c r="G61" i="44"/>
  <c r="F78" i="52"/>
  <c r="D78" i="52"/>
  <c r="H78" i="52"/>
  <c r="G78" i="52"/>
  <c r="E78" i="52"/>
  <c r="M18" i="49"/>
  <c r="N18" i="49"/>
  <c r="L18" i="49"/>
  <c r="O18" i="49"/>
  <c r="M47" i="49"/>
  <c r="L47" i="49"/>
  <c r="K47" i="49"/>
  <c r="O47" i="49"/>
  <c r="N47" i="49"/>
  <c r="M35" i="49"/>
  <c r="O35" i="49"/>
  <c r="N35" i="49"/>
  <c r="L35" i="49"/>
  <c r="K35" i="49"/>
  <c r="M19" i="49"/>
  <c r="L19" i="49"/>
  <c r="N19" i="49"/>
  <c r="O19" i="49"/>
  <c r="M251" i="49"/>
  <c r="O251" i="49"/>
  <c r="K251" i="49"/>
  <c r="N251" i="49"/>
  <c r="L251" i="49"/>
  <c r="O282" i="49"/>
  <c r="L282" i="49"/>
  <c r="N282" i="49"/>
  <c r="M282" i="49"/>
  <c r="O264" i="49"/>
  <c r="K264" i="49"/>
  <c r="M264" i="49"/>
  <c r="L264" i="49"/>
  <c r="N264" i="49"/>
  <c r="L253" i="49"/>
  <c r="O253" i="49"/>
  <c r="N253" i="49"/>
  <c r="K253" i="49"/>
  <c r="M253" i="49"/>
  <c r="O22" i="49"/>
  <c r="M22" i="49"/>
  <c r="N22" i="49"/>
  <c r="L22" i="49"/>
  <c r="O21" i="49"/>
  <c r="M21" i="49"/>
  <c r="N21" i="49"/>
  <c r="L21" i="49"/>
  <c r="O278" i="49"/>
  <c r="N278" i="49"/>
  <c r="M278" i="49"/>
  <c r="L278" i="49"/>
  <c r="K278" i="49"/>
  <c r="L49" i="49"/>
  <c r="N49" i="49"/>
  <c r="O49" i="49"/>
  <c r="K49" i="49"/>
  <c r="M49" i="49"/>
  <c r="M268" i="49"/>
  <c r="L268" i="49"/>
  <c r="N268" i="49"/>
  <c r="O268" i="49"/>
  <c r="N265" i="49"/>
  <c r="M265" i="49"/>
  <c r="L265" i="49"/>
  <c r="K265" i="49"/>
  <c r="O265" i="49"/>
  <c r="N36" i="49"/>
  <c r="O36" i="49"/>
  <c r="M36" i="49"/>
  <c r="K36" i="49"/>
  <c r="L36" i="49"/>
  <c r="L254" i="49"/>
  <c r="M254" i="49"/>
  <c r="O254" i="49"/>
  <c r="N254" i="49"/>
  <c r="L50" i="49"/>
  <c r="M50" i="49"/>
  <c r="O50" i="49"/>
  <c r="N50" i="49"/>
  <c r="K50" i="49"/>
  <c r="K267" i="49"/>
  <c r="O267" i="49"/>
  <c r="N267" i="49"/>
  <c r="L267" i="49"/>
  <c r="M267" i="49"/>
  <c r="N32" i="49"/>
  <c r="K32" i="49"/>
  <c r="O32" i="49"/>
  <c r="L32" i="49"/>
  <c r="M32" i="49"/>
  <c r="K281" i="49"/>
  <c r="L281" i="49"/>
  <c r="O281" i="49"/>
  <c r="N281" i="49"/>
  <c r="M281" i="49"/>
  <c r="N250" i="49"/>
  <c r="K250" i="49"/>
  <c r="O250" i="49"/>
  <c r="L250" i="49"/>
  <c r="M250" i="49"/>
  <c r="M46" i="49"/>
  <c r="O46" i="49"/>
  <c r="K46" i="49"/>
  <c r="N46" i="49"/>
  <c r="L46" i="49"/>
  <c r="O279" i="49"/>
  <c r="M279" i="49"/>
  <c r="K279" i="49"/>
  <c r="L279" i="49"/>
  <c r="N279" i="49"/>
  <c r="O33" i="49"/>
  <c r="M33" i="49"/>
  <c r="K33" i="49"/>
  <c r="N33" i="49"/>
  <c r="L33" i="49"/>
  <c r="G25" i="44"/>
  <c r="G42" i="44"/>
  <c r="H25" i="44"/>
  <c r="H42" i="44"/>
  <c r="I25" i="44"/>
  <c r="I42" i="44"/>
  <c r="J25" i="44"/>
  <c r="J42" i="44"/>
  <c r="K25" i="44"/>
  <c r="K42" i="44"/>
  <c r="F396" i="44"/>
  <c r="F397" i="44"/>
  <c r="F398" i="44"/>
  <c r="F399" i="44"/>
  <c r="F400" i="44"/>
  <c r="F395" i="44"/>
  <c r="F154" i="44"/>
  <c r="F153" i="44"/>
  <c r="F152" i="44"/>
  <c r="F151" i="44"/>
  <c r="F150" i="44"/>
  <c r="F149" i="44"/>
  <c r="E150" i="44"/>
  <c r="E151" i="44"/>
  <c r="E152" i="44"/>
  <c r="E153" i="44"/>
  <c r="E154" i="44"/>
  <c r="E149" i="44"/>
  <c r="K181" i="49" l="1" a="1"/>
  <c r="K181" i="49" s="1"/>
  <c r="M107" i="49" a="1"/>
  <c r="M107" i="49" s="1"/>
  <c r="M178" i="49" a="1"/>
  <c r="M178" i="49" s="1"/>
  <c r="L107" i="49" a="1"/>
  <c r="L107" i="49" s="1"/>
  <c r="K178" i="49" a="1"/>
  <c r="K178" i="49" s="1"/>
  <c r="N208" i="49" a="1"/>
  <c r="N208" i="49" s="1"/>
  <c r="N110" i="49" a="1"/>
  <c r="N110" i="49" s="1"/>
  <c r="L208" i="49" a="1"/>
  <c r="L208" i="49" s="1"/>
  <c r="L110" i="49" a="1"/>
  <c r="L110" i="49" s="1"/>
  <c r="N147" i="49" a="1"/>
  <c r="N147" i="49" s="1"/>
  <c r="Z140" i="67"/>
  <c r="Z68" i="67"/>
  <c r="P125" i="67"/>
  <c r="S51" i="67"/>
  <c r="N51" i="67" s="1"/>
  <c r="G24" i="74" s="1" a="1"/>
  <c r="G24" i="74" s="1"/>
  <c r="Y140" i="67"/>
  <c r="P123" i="67"/>
  <c r="K148" i="49" a="1"/>
  <c r="K148" i="49" s="1"/>
  <c r="L205" i="49" a="1"/>
  <c r="L205" i="49" s="1"/>
  <c r="K209" i="49" a="1"/>
  <c r="K209" i="49" s="1"/>
  <c r="L108" i="49" a="1"/>
  <c r="L108" i="49" s="1"/>
  <c r="L109" i="49" s="1"/>
  <c r="L206" i="49" a="1"/>
  <c r="L206" i="49" s="1"/>
  <c r="L177" i="49" a="1"/>
  <c r="L177" i="49" s="1"/>
  <c r="M148" i="49" a="1"/>
  <c r="M148" i="49" s="1"/>
  <c r="N205" i="49" a="1"/>
  <c r="N205" i="49" s="1"/>
  <c r="M209" i="49" a="1"/>
  <c r="M209" i="49" s="1"/>
  <c r="N108" i="49" a="1"/>
  <c r="N108" i="49" s="1"/>
  <c r="N206" i="49" a="1"/>
  <c r="N206" i="49" s="1"/>
  <c r="M177" i="49" a="1"/>
  <c r="M177" i="49" s="1"/>
  <c r="M179" i="49" s="1"/>
  <c r="O180" i="49" a="1"/>
  <c r="O180" i="49" s="1"/>
  <c r="L111" i="49" a="1"/>
  <c r="L111" i="49" s="1"/>
  <c r="L112" i="49" s="1"/>
  <c r="K151" i="49" a="1"/>
  <c r="K151" i="49" s="1"/>
  <c r="K150" i="49" a="1"/>
  <c r="K150" i="49" s="1"/>
  <c r="N111" i="49" a="1"/>
  <c r="N111" i="49" s="1"/>
  <c r="N112" i="49" s="1"/>
  <c r="M151" i="49" a="1"/>
  <c r="M151" i="49" s="1"/>
  <c r="K205" i="49" a="1"/>
  <c r="K205" i="49" s="1"/>
  <c r="K208" i="49" a="1"/>
  <c r="K208" i="49" s="1"/>
  <c r="K111" i="49" a="1"/>
  <c r="K111" i="49" s="1"/>
  <c r="K108" i="49" a="1"/>
  <c r="K108" i="49" s="1"/>
  <c r="K206" i="49" a="1"/>
  <c r="K206" i="49" s="1"/>
  <c r="K180" i="49" a="1"/>
  <c r="K180" i="49" s="1"/>
  <c r="K182" i="49" s="1"/>
  <c r="K177" i="49" a="1"/>
  <c r="K177" i="49" s="1"/>
  <c r="K179" i="49" s="1"/>
  <c r="M205" i="49" a="1"/>
  <c r="M205" i="49" s="1"/>
  <c r="M208" i="49" a="1"/>
  <c r="M208" i="49" s="1"/>
  <c r="M111" i="49" a="1"/>
  <c r="M111" i="49" s="1"/>
  <c r="M108" i="49" a="1"/>
  <c r="M108" i="49" s="1"/>
  <c r="M109" i="49" s="1"/>
  <c r="M147" i="49" a="1"/>
  <c r="M147" i="49" s="1"/>
  <c r="M110" i="49" a="1"/>
  <c r="M110" i="49" s="1"/>
  <c r="M206" i="49" a="1"/>
  <c r="M206" i="49" s="1"/>
  <c r="M180" i="49" a="1"/>
  <c r="M180" i="49" s="1"/>
  <c r="O181" i="49" a="1"/>
  <c r="O181" i="49" s="1"/>
  <c r="K147" i="49" a="1"/>
  <c r="K147" i="49" s="1"/>
  <c r="K110" i="49" a="1"/>
  <c r="K110" i="49" s="1"/>
  <c r="L209" i="49" a="1"/>
  <c r="L209" i="49" s="1"/>
  <c r="L178" i="49" a="1"/>
  <c r="L178" i="49" s="1"/>
  <c r="L179" i="49" s="1"/>
  <c r="L151" i="49" a="1"/>
  <c r="L151" i="49" s="1"/>
  <c r="L181" i="49" a="1"/>
  <c r="L181" i="49" s="1"/>
  <c r="L182" i="49" s="1"/>
  <c r="L150" i="49" a="1"/>
  <c r="L150" i="49" s="1"/>
  <c r="N148" i="49" a="1"/>
  <c r="N148" i="49" s="1"/>
  <c r="N149" i="49" s="1"/>
  <c r="N107" i="49" a="1"/>
  <c r="N107" i="49" s="1"/>
  <c r="N209" i="49" a="1"/>
  <c r="N209" i="49" s="1"/>
  <c r="N210" i="49" s="1"/>
  <c r="N178" i="49" a="1"/>
  <c r="N178" i="49" s="1"/>
  <c r="N179" i="49" s="1"/>
  <c r="N151" i="49" a="1"/>
  <c r="N151" i="49" s="1"/>
  <c r="M181" i="49" a="1"/>
  <c r="M181" i="49" s="1"/>
  <c r="O442" i="49" a="1"/>
  <c r="O442" i="49" s="1"/>
  <c r="O441" i="49" a="1"/>
  <c r="O441" i="49" s="1"/>
  <c r="L344" i="49" a="1"/>
  <c r="L344" i="49" s="1"/>
  <c r="N380" i="49" a="1"/>
  <c r="N380" i="49" s="1"/>
  <c r="O340" i="49" a="1"/>
  <c r="O340" i="49" s="1"/>
  <c r="M343" i="49" a="1"/>
  <c r="M343" i="49" s="1"/>
  <c r="K384" i="49" a="1"/>
  <c r="K384" i="49" s="1"/>
  <c r="K413" i="49" a="1"/>
  <c r="K413" i="49" s="1"/>
  <c r="O381" i="49" a="1"/>
  <c r="O381" i="49" s="1"/>
  <c r="O411" i="49" a="1"/>
  <c r="O411" i="49" s="1"/>
  <c r="K414" i="49" a="1"/>
  <c r="K414" i="49" s="1"/>
  <c r="L410" i="49" a="1"/>
  <c r="L410" i="49" s="1"/>
  <c r="O438" i="49" a="1"/>
  <c r="O438" i="49" s="1"/>
  <c r="Y68" i="67"/>
  <c r="K340" i="49" a="1"/>
  <c r="K340" i="49" s="1"/>
  <c r="K383" i="49" a="1"/>
  <c r="K383" i="49" s="1"/>
  <c r="N343" i="49" a="1"/>
  <c r="N343" i="49" s="1"/>
  <c r="M384" i="49" a="1"/>
  <c r="M384" i="49" s="1"/>
  <c r="M344" i="49" a="1"/>
  <c r="M344" i="49" s="1"/>
  <c r="L413" i="49" a="1"/>
  <c r="L413" i="49" s="1"/>
  <c r="N381" i="49" a="1"/>
  <c r="N381" i="49" s="1"/>
  <c r="M410" i="49" a="1"/>
  <c r="M410" i="49" s="1"/>
  <c r="O380" i="49" a="1"/>
  <c r="O380" i="49" s="1"/>
  <c r="O439" i="49" a="1"/>
  <c r="O439" i="49" s="1"/>
  <c r="K438" i="49" a="1"/>
  <c r="K438" i="49" s="1"/>
  <c r="L340" i="49" a="1"/>
  <c r="L340" i="49" s="1"/>
  <c r="L383" i="49" a="1"/>
  <c r="L383" i="49" s="1"/>
  <c r="O343" i="49" a="1"/>
  <c r="O343" i="49" s="1"/>
  <c r="N384" i="49" a="1"/>
  <c r="N384" i="49" s="1"/>
  <c r="N344" i="49" a="1"/>
  <c r="N344" i="49" s="1"/>
  <c r="M413" i="49" a="1"/>
  <c r="M413" i="49" s="1"/>
  <c r="K381" i="49" a="1"/>
  <c r="K381" i="49" s="1"/>
  <c r="K380" i="49" a="1"/>
  <c r="K380" i="49" s="1"/>
  <c r="K439" i="49" a="1"/>
  <c r="K439" i="49" s="1"/>
  <c r="L438" i="49" a="1"/>
  <c r="L438" i="49" s="1"/>
  <c r="M383" i="49" a="1"/>
  <c r="M383" i="49" s="1"/>
  <c r="K343" i="49" a="1"/>
  <c r="K343" i="49" s="1"/>
  <c r="O384" i="49" a="1"/>
  <c r="O384" i="49" s="1"/>
  <c r="L341" i="49" a="1"/>
  <c r="L341" i="49" s="1"/>
  <c r="N413" i="49" a="1"/>
  <c r="N413" i="49" s="1"/>
  <c r="L381" i="49" a="1"/>
  <c r="L381" i="49" s="1"/>
  <c r="L380" i="49" a="1"/>
  <c r="L380" i="49" s="1"/>
  <c r="L439" i="49" a="1"/>
  <c r="L439" i="49" s="1"/>
  <c r="K441" i="49" a="1"/>
  <c r="K441" i="49" s="1"/>
  <c r="K442" i="49" a="1"/>
  <c r="K442" i="49" s="1"/>
  <c r="N383" i="49" a="1"/>
  <c r="N383" i="49" s="1"/>
  <c r="M414" i="49" a="1"/>
  <c r="M414" i="49" s="1"/>
  <c r="M341" i="49" a="1"/>
  <c r="M341" i="49" s="1"/>
  <c r="O413" i="49" a="1"/>
  <c r="O413" i="49" s="1"/>
  <c r="M381" i="49" a="1"/>
  <c r="M381" i="49" s="1"/>
  <c r="K411" i="49" a="1"/>
  <c r="K411" i="49" s="1"/>
  <c r="M439" i="49" a="1"/>
  <c r="M439" i="49" s="1"/>
  <c r="M440" i="49" s="1"/>
  <c r="L441" i="49" a="1"/>
  <c r="L441" i="49" s="1"/>
  <c r="L442" i="49" a="1"/>
  <c r="L442" i="49" s="1"/>
  <c r="O383" i="49" a="1"/>
  <c r="O383" i="49" s="1"/>
  <c r="N414" i="49" a="1"/>
  <c r="N414" i="49" s="1"/>
  <c r="N341" i="49" a="1"/>
  <c r="N341" i="49" s="1"/>
  <c r="O410" i="49" a="1"/>
  <c r="O410" i="49" s="1"/>
  <c r="O412" i="49" s="1"/>
  <c r="L411" i="49" a="1"/>
  <c r="L411" i="49" s="1"/>
  <c r="N439" i="49" a="1"/>
  <c r="N439" i="49" s="1"/>
  <c r="M441" i="49" a="1"/>
  <c r="M441" i="49" s="1"/>
  <c r="M340" i="49" a="1"/>
  <c r="M340" i="49" s="1"/>
  <c r="M442" i="49" a="1"/>
  <c r="M442" i="49" s="1"/>
  <c r="L414" i="49" a="1"/>
  <c r="L414" i="49" s="1"/>
  <c r="K344" i="49" a="1"/>
  <c r="K344" i="49" s="1"/>
  <c r="O341" i="49" a="1"/>
  <c r="O341" i="49" s="1"/>
  <c r="N410" i="49" a="1"/>
  <c r="N410" i="49" s="1"/>
  <c r="M411" i="49" a="1"/>
  <c r="M411" i="49" s="1"/>
  <c r="N438" i="49" a="1"/>
  <c r="N438" i="49" s="1"/>
  <c r="N441" i="49" a="1"/>
  <c r="N441" i="49" s="1"/>
  <c r="N340" i="49" a="1"/>
  <c r="N340" i="49" s="1"/>
  <c r="N442" i="49" a="1"/>
  <c r="N442" i="49" s="1"/>
  <c r="L343" i="49" a="1"/>
  <c r="L343" i="49" s="1"/>
  <c r="L384" i="49" a="1"/>
  <c r="L384" i="49" s="1"/>
  <c r="O414" i="49" a="1"/>
  <c r="O414" i="49" s="1"/>
  <c r="O344" i="49" a="1"/>
  <c r="O344" i="49" s="1"/>
  <c r="K341" i="49" a="1"/>
  <c r="K341" i="49" s="1"/>
  <c r="K410" i="49" a="1"/>
  <c r="K410" i="49" s="1"/>
  <c r="M380" i="49" a="1"/>
  <c r="M380" i="49" s="1"/>
  <c r="N411" i="49" a="1"/>
  <c r="N411" i="49" s="1"/>
  <c r="F60" i="74" a="1"/>
  <c r="F60" i="74" s="1"/>
  <c r="I60" i="74" s="1"/>
  <c r="N181" i="49" a="1"/>
  <c r="N181" i="49" s="1"/>
  <c r="N182" i="49" s="1"/>
  <c r="N150" i="49" a="1"/>
  <c r="N150" i="49" s="1"/>
  <c r="K107" i="49" a="1"/>
  <c r="K107" i="49" s="1"/>
  <c r="O206" i="49" a="1"/>
  <c r="O206" i="49" s="1"/>
  <c r="M150" i="49" a="1"/>
  <c r="M150" i="49" s="1"/>
  <c r="O107" i="49" a="1"/>
  <c r="O107" i="49" s="1"/>
  <c r="O178" i="49" a="1"/>
  <c r="O178" i="49" s="1"/>
  <c r="O179" i="49" s="1"/>
  <c r="O151" i="49" a="1"/>
  <c r="O151" i="49" s="1"/>
  <c r="O150" i="49" a="1"/>
  <c r="O150" i="49" s="1"/>
  <c r="X140" i="67"/>
  <c r="W139" i="67"/>
  <c r="V68" i="67"/>
  <c r="V140" i="67"/>
  <c r="X68" i="67"/>
  <c r="Z67" i="67"/>
  <c r="W67" i="67"/>
  <c r="Z139" i="67"/>
  <c r="W140" i="67"/>
  <c r="X139" i="67"/>
  <c r="Y139" i="67"/>
  <c r="W68" i="67"/>
  <c r="X67" i="67"/>
  <c r="Y67" i="67"/>
  <c r="G139" i="67"/>
  <c r="V139" i="67"/>
  <c r="G67" i="67"/>
  <c r="V67" i="67"/>
  <c r="N67" i="67"/>
  <c r="G33" i="74" s="1" a="1"/>
  <c r="G33" i="74" s="1"/>
  <c r="G141" i="67"/>
  <c r="N66" i="67"/>
  <c r="G32" i="74" s="1" a="1"/>
  <c r="G32" i="74" s="1"/>
  <c r="N139" i="67"/>
  <c r="G73" i="74" s="1" a="1"/>
  <c r="G73" i="74" s="1"/>
  <c r="G69" i="67"/>
  <c r="G68" i="67"/>
  <c r="G140" i="67"/>
  <c r="N138" i="67"/>
  <c r="G72" i="74" s="1" a="1"/>
  <c r="G72" i="74" s="1"/>
  <c r="N68" i="67"/>
  <c r="G34" i="74" s="1" a="1"/>
  <c r="G34" i="74" s="1"/>
  <c r="N141" i="67"/>
  <c r="G75" i="74" s="1" a="1"/>
  <c r="G75" i="74" s="1"/>
  <c r="G138" i="67"/>
  <c r="N69" i="67"/>
  <c r="G35" i="74" s="1" a="1"/>
  <c r="G35" i="74" s="1"/>
  <c r="N140" i="67"/>
  <c r="G74" i="74" s="1" a="1"/>
  <c r="G74" i="74" s="1"/>
  <c r="G66" i="67"/>
  <c r="P124" i="67"/>
  <c r="S52" i="67"/>
  <c r="R52" i="67"/>
  <c r="O124" i="67"/>
  <c r="O125" i="67"/>
  <c r="X115" i="67"/>
  <c r="Z115" i="67"/>
  <c r="N115" i="67"/>
  <c r="G61" i="74" s="1" a="1"/>
  <c r="G61" i="74" s="1"/>
  <c r="O52" i="67"/>
  <c r="O62" i="67" s="1"/>
  <c r="J332" i="49"/>
  <c r="O429" i="49" s="1"/>
  <c r="F328" i="49"/>
  <c r="F330" i="49" s="1"/>
  <c r="O110" i="49" a="1"/>
  <c r="O110" i="49" s="1"/>
  <c r="O148" i="49" a="1"/>
  <c r="O148" i="49" s="1"/>
  <c r="O209" i="49" a="1"/>
  <c r="O209" i="49" s="1"/>
  <c r="G115" i="67"/>
  <c r="G129" i="67"/>
  <c r="Q53" i="67"/>
  <c r="Q62" i="67" s="1"/>
  <c r="G128" i="67"/>
  <c r="R123" i="67"/>
  <c r="S124" i="67"/>
  <c r="G130" i="67"/>
  <c r="N130" i="67"/>
  <c r="N131" i="67"/>
  <c r="N129" i="67"/>
  <c r="G131" i="67"/>
  <c r="N128" i="67"/>
  <c r="G67" i="74" s="1" a="1"/>
  <c r="G67" i="74" s="1"/>
  <c r="O123" i="67"/>
  <c r="N114" i="67"/>
  <c r="G60" i="74" s="1" a="1"/>
  <c r="G60" i="74" s="1"/>
  <c r="R124" i="67"/>
  <c r="O205" i="49" a="1"/>
  <c r="O205" i="49" s="1"/>
  <c r="O208" i="49" a="1"/>
  <c r="O208" i="49" s="1"/>
  <c r="P85" i="53"/>
  <c r="M85" i="53"/>
  <c r="R53" i="67"/>
  <c r="P85" i="52"/>
  <c r="G297" i="44"/>
  <c r="L85" i="53"/>
  <c r="L85" i="52"/>
  <c r="O108" i="49" a="1"/>
  <c r="O108" i="49" s="1"/>
  <c r="K297" i="44"/>
  <c r="P52" i="67"/>
  <c r="P62" i="67" s="1"/>
  <c r="M85" i="52"/>
  <c r="Q123" i="67"/>
  <c r="Q134" i="67" s="1"/>
  <c r="H297" i="44"/>
  <c r="O85" i="52"/>
  <c r="J297" i="44"/>
  <c r="O85" i="53"/>
  <c r="I297" i="44"/>
  <c r="N85" i="53"/>
  <c r="N85" i="52"/>
  <c r="O111" i="49" a="1"/>
  <c r="O111" i="49" s="1"/>
  <c r="O147" i="49" a="1"/>
  <c r="O147" i="49" s="1"/>
  <c r="S125" i="67"/>
  <c r="O453" i="49"/>
  <c r="H332" i="49"/>
  <c r="M360" i="49" s="1"/>
  <c r="M425" i="49"/>
  <c r="I332" i="49"/>
  <c r="N360" i="49" s="1"/>
  <c r="K453" i="49"/>
  <c r="L425" i="49"/>
  <c r="L453" i="49"/>
  <c r="F329" i="49"/>
  <c r="F331" i="49" s="1"/>
  <c r="G333" i="49"/>
  <c r="L396" i="49" s="1"/>
  <c r="K425" i="49"/>
  <c r="H333" i="49"/>
  <c r="M396" i="49" s="1"/>
  <c r="N425" i="49"/>
  <c r="M453" i="49"/>
  <c r="I333" i="49"/>
  <c r="N400" i="49" s="1"/>
  <c r="O425" i="49"/>
  <c r="G332" i="49"/>
  <c r="L360" i="49" s="1"/>
  <c r="N453" i="49"/>
  <c r="J333" i="49"/>
  <c r="O400" i="49" s="1"/>
  <c r="K192" i="49"/>
  <c r="I100" i="49"/>
  <c r="N167" i="49" s="1"/>
  <c r="H100" i="49"/>
  <c r="M163" i="49" s="1"/>
  <c r="G100" i="49"/>
  <c r="L167" i="49" s="1"/>
  <c r="F100" i="49"/>
  <c r="J100" i="49"/>
  <c r="O163" i="49" s="1"/>
  <c r="H99" i="49"/>
  <c r="M127" i="49" s="1"/>
  <c r="G99" i="49"/>
  <c r="L127" i="49" s="1"/>
  <c r="F99" i="49"/>
  <c r="J99" i="49"/>
  <c r="O127" i="49" s="1"/>
  <c r="I99" i="49"/>
  <c r="N123" i="49" s="1"/>
  <c r="X43" i="67"/>
  <c r="Z43" i="67"/>
  <c r="Z42" i="67"/>
  <c r="W43" i="67"/>
  <c r="V114" i="67"/>
  <c r="Z114" i="67"/>
  <c r="W115" i="67"/>
  <c r="X42" i="67"/>
  <c r="W42" i="67"/>
  <c r="X114" i="67"/>
  <c r="W114" i="67"/>
  <c r="V42" i="67"/>
  <c r="N42" i="67"/>
  <c r="G20" i="74" s="1" a="1"/>
  <c r="G20" i="74" s="1"/>
  <c r="G42" i="67"/>
  <c r="N43" i="67"/>
  <c r="G21" i="74" s="1" a="1"/>
  <c r="G21" i="74" s="1"/>
  <c r="V43" i="67"/>
  <c r="Y43" i="67"/>
  <c r="G43" i="67"/>
  <c r="Y42" i="67"/>
  <c r="V115" i="67"/>
  <c r="Y115" i="67"/>
  <c r="Y114" i="67"/>
  <c r="M196" i="49"/>
  <c r="O196" i="49"/>
  <c r="M192" i="49"/>
  <c r="L224" i="49"/>
  <c r="L196" i="49"/>
  <c r="M224" i="49"/>
  <c r="N224" i="49"/>
  <c r="N220" i="49"/>
  <c r="K224" i="49"/>
  <c r="L149" i="49"/>
  <c r="M220" i="49"/>
  <c r="O224" i="49"/>
  <c r="O192" i="49"/>
  <c r="K220" i="49"/>
  <c r="N196" i="49"/>
  <c r="N192" i="49"/>
  <c r="O220" i="49"/>
  <c r="K196" i="49"/>
  <c r="L192" i="49"/>
  <c r="L220" i="49"/>
  <c r="N252" i="49"/>
  <c r="L283" i="49"/>
  <c r="K34" i="49"/>
  <c r="N20" i="49"/>
  <c r="L20" i="49"/>
  <c r="K20" i="49"/>
  <c r="M269" i="49"/>
  <c r="O23" i="49"/>
  <c r="O283" i="49"/>
  <c r="K269" i="49"/>
  <c r="M252" i="49"/>
  <c r="N283" i="49"/>
  <c r="L269" i="49"/>
  <c r="O20" i="49"/>
  <c r="L51" i="49"/>
  <c r="L34" i="49"/>
  <c r="M34" i="49"/>
  <c r="K283" i="49"/>
  <c r="M283" i="49"/>
  <c r="O252" i="49"/>
  <c r="K255" i="49"/>
  <c r="M266" i="49"/>
  <c r="N269" i="49"/>
  <c r="O266" i="49"/>
  <c r="K252" i="49"/>
  <c r="L37" i="49"/>
  <c r="M48" i="49"/>
  <c r="N34" i="49"/>
  <c r="K23" i="49"/>
  <c r="N23" i="49"/>
  <c r="M23" i="49"/>
  <c r="M280" i="49"/>
  <c r="N255" i="49"/>
  <c r="K266" i="49"/>
  <c r="M20" i="49"/>
  <c r="N37" i="49"/>
  <c r="L280" i="49"/>
  <c r="N280" i="49"/>
  <c r="O255" i="49"/>
  <c r="O37" i="49"/>
  <c r="M51" i="49"/>
  <c r="O280" i="49"/>
  <c r="L255" i="49"/>
  <c r="M37" i="49"/>
  <c r="K51" i="49"/>
  <c r="L23" i="49"/>
  <c r="N48" i="49"/>
  <c r="L252" i="49"/>
  <c r="O269" i="49"/>
  <c r="O51" i="49"/>
  <c r="O48" i="49"/>
  <c r="O34" i="49"/>
  <c r="N51" i="49"/>
  <c r="N266" i="49"/>
  <c r="K48" i="49"/>
  <c r="K280" i="49"/>
  <c r="M255" i="49"/>
  <c r="L266" i="49"/>
  <c r="K37" i="49"/>
  <c r="L48" i="49"/>
  <c r="C79" i="44"/>
  <c r="E7" i="41"/>
  <c r="E8" i="41" s="1"/>
  <c r="L210" i="49" l="1"/>
  <c r="N109" i="49"/>
  <c r="R134" i="67"/>
  <c r="S134" i="67"/>
  <c r="M152" i="49"/>
  <c r="P134" i="67"/>
  <c r="O134" i="67"/>
  <c r="R62" i="67"/>
  <c r="S62" i="67"/>
  <c r="K210" i="49"/>
  <c r="K211" i="49" s="1"/>
  <c r="K213" i="49" s="1" a="1"/>
  <c r="K213" i="49" s="1"/>
  <c r="M60" i="74"/>
  <c r="K207" i="49"/>
  <c r="M415" i="49"/>
  <c r="L207" i="49"/>
  <c r="K112" i="49"/>
  <c r="N152" i="49"/>
  <c r="N153" i="49" s="1"/>
  <c r="N155" i="49" s="1" a="1"/>
  <c r="N155" i="49" s="1"/>
  <c r="N156" i="49" s="1"/>
  <c r="N157" i="49" s="1"/>
  <c r="N66" i="49" s="1"/>
  <c r="K152" i="49"/>
  <c r="K153" i="49" s="1"/>
  <c r="K155" i="49" s="1" a="1"/>
  <c r="K155" i="49" s="1"/>
  <c r="K149" i="49"/>
  <c r="M210" i="49"/>
  <c r="O182" i="49"/>
  <c r="M182" i="49"/>
  <c r="M183" i="49" s="1"/>
  <c r="M185" i="49" s="1" a="1"/>
  <c r="M185" i="49" s="1"/>
  <c r="M186" i="49" s="1"/>
  <c r="M187" i="49" s="1"/>
  <c r="L152" i="49"/>
  <c r="L153" i="49" s="1"/>
  <c r="L155" i="49" s="1" a="1"/>
  <c r="L155" i="49" s="1"/>
  <c r="M112" i="49"/>
  <c r="M113" i="49" s="1"/>
  <c r="M115" i="49" s="1" a="1"/>
  <c r="M115" i="49" s="1"/>
  <c r="M116" i="49" s="1"/>
  <c r="N207" i="49"/>
  <c r="N211" i="49" s="1"/>
  <c r="N213" i="49" s="1" a="1"/>
  <c r="N213" i="49" s="1"/>
  <c r="N214" i="49" s="1"/>
  <c r="N215" i="49" s="1"/>
  <c r="N72" i="49" s="1"/>
  <c r="M149" i="49"/>
  <c r="M382" i="49"/>
  <c r="L412" i="49"/>
  <c r="O385" i="49"/>
  <c r="O382" i="49"/>
  <c r="L345" i="49"/>
  <c r="M207" i="49"/>
  <c r="K109" i="49"/>
  <c r="K385" i="49"/>
  <c r="K415" i="49"/>
  <c r="O360" i="49"/>
  <c r="N415" i="49"/>
  <c r="O345" i="49"/>
  <c r="L415" i="49"/>
  <c r="K342" i="49"/>
  <c r="O443" i="49"/>
  <c r="O356" i="49"/>
  <c r="M342" i="49"/>
  <c r="N440" i="49"/>
  <c r="N342" i="49"/>
  <c r="K382" i="49"/>
  <c r="N382" i="49"/>
  <c r="N345" i="49"/>
  <c r="O440" i="49"/>
  <c r="N443" i="49"/>
  <c r="O342" i="49"/>
  <c r="L382" i="49"/>
  <c r="K440" i="49"/>
  <c r="L342" i="49"/>
  <c r="M412" i="49"/>
  <c r="M385" i="49"/>
  <c r="L443" i="49"/>
  <c r="M345" i="49"/>
  <c r="M443" i="49"/>
  <c r="M444" i="49" s="1"/>
  <c r="M446" i="49" s="1" a="1"/>
  <c r="M446" i="49" s="1"/>
  <c r="K443" i="49"/>
  <c r="K345" i="49"/>
  <c r="N385" i="49"/>
  <c r="O415" i="49"/>
  <c r="O416" i="49" s="1"/>
  <c r="O418" i="49" s="1" a="1"/>
  <c r="O418" i="49" s="1"/>
  <c r="L123" i="49"/>
  <c r="L128" i="49" s="1"/>
  <c r="L130" i="49" s="1" a="1"/>
  <c r="L130" i="49" s="1"/>
  <c r="N412" i="49"/>
  <c r="K412" i="49"/>
  <c r="L440" i="49"/>
  <c r="L385" i="49"/>
  <c r="F74" i="74" a="1"/>
  <c r="F74" i="74" s="1"/>
  <c r="I74" i="74" s="1"/>
  <c r="F61" i="74" a="1"/>
  <c r="F61" i="74" s="1"/>
  <c r="I61" i="74" s="1"/>
  <c r="F73" i="74" a="1"/>
  <c r="F73" i="74" s="1"/>
  <c r="I73" i="74" s="1"/>
  <c r="F72" i="74" a="1"/>
  <c r="F72" i="74" s="1"/>
  <c r="I72" i="74" s="1"/>
  <c r="F75" i="74" a="1"/>
  <c r="F75" i="74" s="1"/>
  <c r="I75" i="74" s="1"/>
  <c r="F67" i="74" a="1"/>
  <c r="F67" i="74" s="1"/>
  <c r="I67" i="74" s="1"/>
  <c r="O207" i="49"/>
  <c r="F21" i="74" a="1"/>
  <c r="F21" i="74" s="1"/>
  <c r="F33" i="74" a="1"/>
  <c r="F33" i="74" s="1"/>
  <c r="M33" i="74" s="1"/>
  <c r="F32" i="74" a="1"/>
  <c r="F32" i="74" s="1"/>
  <c r="M32" i="74" s="1"/>
  <c r="F34" i="74" a="1"/>
  <c r="F34" i="74" s="1"/>
  <c r="F20" i="74" a="1"/>
  <c r="F20" i="74" s="1"/>
  <c r="F35" i="74" a="1"/>
  <c r="F35" i="74" s="1"/>
  <c r="O152" i="49"/>
  <c r="O109" i="49"/>
  <c r="U139" i="67"/>
  <c r="U140" i="67"/>
  <c r="U67" i="67"/>
  <c r="U68" i="67"/>
  <c r="O112" i="49"/>
  <c r="O149" i="49"/>
  <c r="L211" i="49"/>
  <c r="L213" i="49" s="1" a="1"/>
  <c r="L213" i="49" s="1"/>
  <c r="M429" i="49"/>
  <c r="O210" i="49"/>
  <c r="N356" i="49"/>
  <c r="N429" i="49"/>
  <c r="M356" i="49"/>
  <c r="L400" i="49"/>
  <c r="L457" i="49"/>
  <c r="L458" i="49" s="1"/>
  <c r="L460" i="49" s="1" a="1"/>
  <c r="L460" i="49" s="1"/>
  <c r="K396" i="49"/>
  <c r="K356" i="49"/>
  <c r="M400" i="49"/>
  <c r="M457" i="49"/>
  <c r="M458" i="49" s="1"/>
  <c r="M460" i="49" s="1" a="1"/>
  <c r="M460" i="49" s="1"/>
  <c r="K400" i="49"/>
  <c r="K360" i="49"/>
  <c r="L356" i="49"/>
  <c r="O457" i="49"/>
  <c r="O458" i="49" s="1"/>
  <c r="O460" i="49" s="1" a="1"/>
  <c r="O460" i="49" s="1"/>
  <c r="K457" i="49"/>
  <c r="K458" i="49" s="1"/>
  <c r="K460" i="49" s="1" a="1"/>
  <c r="K460" i="49" s="1"/>
  <c r="N457" i="49"/>
  <c r="N458" i="49" s="1"/>
  <c r="N460" i="49" s="1" a="1"/>
  <c r="N460" i="49" s="1"/>
  <c r="K429" i="49"/>
  <c r="L429" i="49"/>
  <c r="O396" i="49"/>
  <c r="N396" i="49"/>
  <c r="L163" i="49"/>
  <c r="L168" i="49" s="1"/>
  <c r="L170" i="49" s="1" a="1"/>
  <c r="L170" i="49" s="1"/>
  <c r="U43" i="67"/>
  <c r="U115" i="67"/>
  <c r="U42" i="67"/>
  <c r="U114" i="67"/>
  <c r="K123" i="49"/>
  <c r="K183" i="49"/>
  <c r="K185" i="49" s="1" a="1"/>
  <c r="K185" i="49" s="1"/>
  <c r="O167" i="49"/>
  <c r="O123" i="49"/>
  <c r="O128" i="49" s="1"/>
  <c r="N127" i="49"/>
  <c r="N163" i="49"/>
  <c r="N168" i="49" s="1"/>
  <c r="N170" i="49" s="1" a="1"/>
  <c r="N170" i="49" s="1"/>
  <c r="M167" i="49"/>
  <c r="M123" i="49"/>
  <c r="M128" i="49" s="1"/>
  <c r="M130" i="49" s="1" a="1"/>
  <c r="M130" i="49" s="1"/>
  <c r="K163" i="49"/>
  <c r="K167" i="49"/>
  <c r="K127" i="49"/>
  <c r="L183" i="49"/>
  <c r="L185" i="49" s="1" a="1"/>
  <c r="L185" i="49" s="1"/>
  <c r="L186" i="49" s="1"/>
  <c r="L187" i="49" s="1"/>
  <c r="L69" i="49" s="1"/>
  <c r="M197" i="49"/>
  <c r="M199" i="49" s="1" a="1"/>
  <c r="M199" i="49" s="1"/>
  <c r="K197" i="49"/>
  <c r="K199" i="49" s="1" a="1"/>
  <c r="K199" i="49" s="1"/>
  <c r="K225" i="49"/>
  <c r="K227" i="49" s="1" a="1"/>
  <c r="K227" i="49" s="1"/>
  <c r="M225" i="49"/>
  <c r="M227" i="49" s="1" a="1"/>
  <c r="M227" i="49" s="1"/>
  <c r="L225" i="49"/>
  <c r="L227" i="49" s="1" a="1"/>
  <c r="L227" i="49" s="1"/>
  <c r="N183" i="49"/>
  <c r="N185" i="49" s="1" a="1"/>
  <c r="N185" i="49" s="1"/>
  <c r="N197" i="49"/>
  <c r="N199" i="49" s="1" a="1"/>
  <c r="N199" i="49" s="1"/>
  <c r="O225" i="49"/>
  <c r="O227" i="49" s="1" a="1"/>
  <c r="O227" i="49" s="1"/>
  <c r="M153" i="49"/>
  <c r="M155" i="49" s="1" a="1"/>
  <c r="M155" i="49" s="1"/>
  <c r="N113" i="49"/>
  <c r="N115" i="49" s="1" a="1"/>
  <c r="N115" i="49" s="1"/>
  <c r="N225" i="49"/>
  <c r="N227" i="49" s="1" a="1"/>
  <c r="N227" i="49" s="1"/>
  <c r="L197" i="49"/>
  <c r="L199" i="49" s="1" a="1"/>
  <c r="L199" i="49" s="1"/>
  <c r="O197" i="49"/>
  <c r="O199" i="49" s="1" a="1"/>
  <c r="O199" i="49" s="1"/>
  <c r="O183" i="49"/>
  <c r="O185" i="49" s="1" a="1"/>
  <c r="O185" i="49" s="1"/>
  <c r="L113" i="49"/>
  <c r="L115" i="49" s="1" a="1"/>
  <c r="L115" i="49" s="1"/>
  <c r="N256" i="49"/>
  <c r="N257" i="49" s="1"/>
  <c r="N259" i="49" s="1"/>
  <c r="N24" i="49"/>
  <c r="L284" i="49"/>
  <c r="L285" i="49" s="1"/>
  <c r="L287" i="49" s="1"/>
  <c r="L288" i="49" s="1"/>
  <c r="K38" i="49"/>
  <c r="L24" i="49"/>
  <c r="K24" i="49"/>
  <c r="M256" i="49"/>
  <c r="M257" i="49" s="1"/>
  <c r="M259" i="49" s="1"/>
  <c r="M38" i="49"/>
  <c r="O284" i="49"/>
  <c r="O285" i="49" s="1"/>
  <c r="K284" i="49"/>
  <c r="K285" i="49" s="1"/>
  <c r="K270" i="49"/>
  <c r="K271" i="49" s="1"/>
  <c r="K273" i="49" s="1"/>
  <c r="N270" i="49"/>
  <c r="N271" i="49" s="1"/>
  <c r="N273" i="49" s="1"/>
  <c r="N274" i="49" s="1"/>
  <c r="M270" i="49"/>
  <c r="M271" i="49" s="1"/>
  <c r="M24" i="49"/>
  <c r="O24" i="49"/>
  <c r="N284" i="49"/>
  <c r="N285" i="49" s="1"/>
  <c r="L38" i="49"/>
  <c r="L270" i="49"/>
  <c r="L271" i="49" s="1"/>
  <c r="L273" i="49" s="1"/>
  <c r="M284" i="49"/>
  <c r="M285" i="49" s="1"/>
  <c r="M287" i="49" s="1"/>
  <c r="M288" i="49" s="1"/>
  <c r="M289" i="49" s="1"/>
  <c r="M242" i="49" s="1"/>
  <c r="L52" i="49"/>
  <c r="O256" i="49"/>
  <c r="O257" i="49" s="1"/>
  <c r="O259" i="49" s="1"/>
  <c r="M52" i="49"/>
  <c r="K256" i="49"/>
  <c r="K257" i="49" s="1"/>
  <c r="N38" i="49"/>
  <c r="O270" i="49"/>
  <c r="O271" i="49" s="1"/>
  <c r="O273" i="49" s="1"/>
  <c r="N52" i="49"/>
  <c r="L256" i="49"/>
  <c r="O52" i="49"/>
  <c r="K52" i="49"/>
  <c r="O38" i="49"/>
  <c r="I7" i="41"/>
  <c r="I8" i="41" s="1"/>
  <c r="H7" i="41"/>
  <c r="H8" i="41" s="1"/>
  <c r="F7" i="41"/>
  <c r="F8" i="41" s="1"/>
  <c r="L444" i="49" l="1"/>
  <c r="L446" i="49" s="1" a="1"/>
  <c r="L446" i="49" s="1"/>
  <c r="M211" i="49"/>
  <c r="M213" i="49" s="1" a="1"/>
  <c r="M213" i="49" s="1"/>
  <c r="N134" i="67"/>
  <c r="N62" i="67"/>
  <c r="G29" i="74" s="1" a="1"/>
  <c r="G29" i="74" s="1"/>
  <c r="M416" i="49"/>
  <c r="M418" i="49" s="1" a="1"/>
  <c r="M418" i="49" s="1"/>
  <c r="M61" i="74"/>
  <c r="M67" i="74"/>
  <c r="M74" i="74"/>
  <c r="M20" i="74"/>
  <c r="M75" i="74"/>
  <c r="M73" i="74"/>
  <c r="M21" i="74"/>
  <c r="M34" i="74"/>
  <c r="M35" i="74"/>
  <c r="M72" i="74"/>
  <c r="K416" i="49"/>
  <c r="K418" i="49" s="1" a="1"/>
  <c r="K418" i="49" s="1"/>
  <c r="M386" i="49"/>
  <c r="M388" i="49" s="1" a="1"/>
  <c r="M388" i="49" s="1"/>
  <c r="K444" i="49"/>
  <c r="K446" i="49" s="1" a="1"/>
  <c r="K446" i="49" s="1"/>
  <c r="L346" i="49"/>
  <c r="L348" i="49" s="1" a="1"/>
  <c r="L348" i="49" s="1"/>
  <c r="K113" i="49"/>
  <c r="K115" i="49" s="1" a="1"/>
  <c r="K115" i="49" s="1"/>
  <c r="J32" i="74"/>
  <c r="I32" i="74"/>
  <c r="I33" i="74"/>
  <c r="J33" i="74"/>
  <c r="I34" i="74"/>
  <c r="J34" i="74"/>
  <c r="I21" i="74"/>
  <c r="J21" i="74"/>
  <c r="I35" i="74"/>
  <c r="J35" i="74"/>
  <c r="I20" i="74"/>
  <c r="J20" i="74"/>
  <c r="O386" i="49"/>
  <c r="O388" i="49" s="1" a="1"/>
  <c r="O388" i="49" s="1"/>
  <c r="O389" i="49" s="1"/>
  <c r="O390" i="49" s="1"/>
  <c r="L143" i="63" s="1" a="1"/>
  <c r="L143" i="63" s="1"/>
  <c r="K386" i="49"/>
  <c r="K388" i="49" s="1" a="1"/>
  <c r="K388" i="49" s="1"/>
  <c r="K389" i="49" s="1"/>
  <c r="K390" i="49" s="1"/>
  <c r="H143" i="63" s="1"/>
  <c r="O444" i="49"/>
  <c r="O446" i="49" s="1" a="1"/>
  <c r="O446" i="49" s="1"/>
  <c r="L386" i="49"/>
  <c r="L388" i="49" s="1" a="1"/>
  <c r="L388" i="49" s="1"/>
  <c r="L389" i="49" s="1"/>
  <c r="L390" i="49" s="1"/>
  <c r="I143" i="63" s="1" a="1"/>
  <c r="I143" i="63" s="1"/>
  <c r="N346" i="49"/>
  <c r="N348" i="49" s="1" a="1"/>
  <c r="N348" i="49" s="1"/>
  <c r="N444" i="49"/>
  <c r="N446" i="49" s="1" a="1"/>
  <c r="N446" i="49" s="1"/>
  <c r="K346" i="49"/>
  <c r="K348" i="49" s="1" a="1"/>
  <c r="K348" i="49" s="1"/>
  <c r="N416" i="49"/>
  <c r="N418" i="49" s="1" a="1"/>
  <c r="N418" i="49" s="1"/>
  <c r="O346" i="49"/>
  <c r="O348" i="49" s="1" a="1"/>
  <c r="O348" i="49" s="1"/>
  <c r="L416" i="49"/>
  <c r="L418" i="49" s="1" a="1"/>
  <c r="L418" i="49" s="1"/>
  <c r="M346" i="49"/>
  <c r="M348" i="49" s="1" a="1"/>
  <c r="M348" i="49" s="1"/>
  <c r="N386" i="49"/>
  <c r="N388" i="49" s="1" a="1"/>
  <c r="N388" i="49" s="1"/>
  <c r="O211" i="49"/>
  <c r="O213" i="49" s="1" a="1"/>
  <c r="O213" i="49" s="1"/>
  <c r="O113" i="49"/>
  <c r="O115" i="49" s="1" a="1"/>
  <c r="O115" i="49" s="1"/>
  <c r="O116" i="49" s="1"/>
  <c r="O117" i="49" s="1"/>
  <c r="O63" i="49" s="1"/>
  <c r="O153" i="49"/>
  <c r="O155" i="49" s="1" a="1"/>
  <c r="O155" i="49" s="1"/>
  <c r="L214" i="49"/>
  <c r="L215" i="49" s="1"/>
  <c r="L72" i="49" s="1"/>
  <c r="N53" i="49"/>
  <c r="N55" i="49" s="1"/>
  <c r="N56" i="49" s="1"/>
  <c r="L53" i="49"/>
  <c r="L55" i="49" s="1"/>
  <c r="K39" i="49"/>
  <c r="K41" i="49" s="1"/>
  <c r="K42" i="49" s="1"/>
  <c r="M53" i="49"/>
  <c r="M55" i="49" s="1"/>
  <c r="M56" i="49" s="1"/>
  <c r="M39" i="49"/>
  <c r="M41" i="49" s="1"/>
  <c r="M42" i="49" s="1"/>
  <c r="L39" i="49"/>
  <c r="L41" i="49" s="1"/>
  <c r="N39" i="49"/>
  <c r="N41" i="49" s="1"/>
  <c r="N42" i="49" s="1"/>
  <c r="L25" i="49"/>
  <c r="L27" i="49" s="1"/>
  <c r="L28" i="49" s="1"/>
  <c r="N25" i="49"/>
  <c r="N27" i="49" s="1"/>
  <c r="N28" i="49" s="1"/>
  <c r="O25" i="49"/>
  <c r="O27" i="49" s="1"/>
  <c r="O28" i="49" s="1"/>
  <c r="M25" i="49"/>
  <c r="M27" i="49" s="1"/>
  <c r="M28" i="49" s="1"/>
  <c r="L447" i="49"/>
  <c r="L448" i="49" s="1"/>
  <c r="I148" i="63" s="1" a="1"/>
  <c r="I148" i="63" s="1"/>
  <c r="O419" i="49"/>
  <c r="O420" i="49" s="1"/>
  <c r="L146" i="63" s="1" a="1"/>
  <c r="L146" i="63" s="1"/>
  <c r="L461" i="49"/>
  <c r="L462" i="49" s="1"/>
  <c r="I149" i="63" s="1" a="1"/>
  <c r="I149" i="63" s="1"/>
  <c r="O461" i="49"/>
  <c r="O462" i="49" s="1"/>
  <c r="L149" i="63" s="1" a="1"/>
  <c r="L149" i="63" s="1"/>
  <c r="N461" i="49"/>
  <c r="N462" i="49" s="1"/>
  <c r="K149" i="63" s="1" a="1"/>
  <c r="K149" i="63" s="1"/>
  <c r="M461" i="49"/>
  <c r="M462" i="49" s="1"/>
  <c r="J149" i="63" s="1" a="1"/>
  <c r="J149" i="63" s="1"/>
  <c r="K461" i="49"/>
  <c r="K462" i="49" s="1"/>
  <c r="H149" i="63" s="1" a="1"/>
  <c r="H149" i="63" s="1"/>
  <c r="K361" i="49"/>
  <c r="K363" i="49" s="1" a="1"/>
  <c r="K363" i="49" s="1"/>
  <c r="O228" i="49"/>
  <c r="O229" i="49" s="1"/>
  <c r="O73" i="49" s="1"/>
  <c r="M131" i="49"/>
  <c r="M132" i="49" s="1"/>
  <c r="M64" i="49" s="1"/>
  <c r="K228" i="49"/>
  <c r="K229" i="49" s="1"/>
  <c r="K73" i="49" s="1"/>
  <c r="L171" i="49"/>
  <c r="L172" i="49" s="1"/>
  <c r="L67" i="49" s="1"/>
  <c r="O200" i="49"/>
  <c r="O201" i="49" s="1"/>
  <c r="O70" i="49" s="1"/>
  <c r="L131" i="49"/>
  <c r="L132" i="49" s="1"/>
  <c r="L64" i="49" s="1"/>
  <c r="N228" i="49"/>
  <c r="N229" i="49" s="1"/>
  <c r="N73" i="49" s="1"/>
  <c r="N71" i="49" s="1"/>
  <c r="N76" i="49" s="1"/>
  <c r="L228" i="49"/>
  <c r="L229" i="49" s="1"/>
  <c r="L73" i="49" s="1"/>
  <c r="M228" i="49"/>
  <c r="M229" i="49" s="1"/>
  <c r="M73" i="49" s="1"/>
  <c r="N171" i="49"/>
  <c r="N172" i="49" s="1"/>
  <c r="N67" i="49" s="1"/>
  <c r="N65" i="49" s="1"/>
  <c r="K200" i="49"/>
  <c r="K201" i="49" s="1"/>
  <c r="K70" i="49" s="1"/>
  <c r="O130" i="49" a="1"/>
  <c r="O130" i="49" s="1"/>
  <c r="N200" i="49"/>
  <c r="N201" i="49" s="1"/>
  <c r="N70" i="49" s="1"/>
  <c r="L200" i="49"/>
  <c r="L201" i="49" s="1"/>
  <c r="L70" i="49" s="1"/>
  <c r="L68" i="49" s="1"/>
  <c r="L75" i="49" s="1"/>
  <c r="M200" i="49"/>
  <c r="M201" i="49" s="1"/>
  <c r="M70" i="49" s="1"/>
  <c r="K128" i="49"/>
  <c r="K130" i="49" s="1" a="1"/>
  <c r="K130" i="49" s="1"/>
  <c r="K131" i="49" s="1"/>
  <c r="K214" i="49"/>
  <c r="K215" i="49" s="1"/>
  <c r="K72" i="49" s="1"/>
  <c r="K401" i="49"/>
  <c r="K403" i="49" s="1" a="1"/>
  <c r="K403" i="49" s="1"/>
  <c r="M168" i="49"/>
  <c r="M170" i="49" s="1" a="1"/>
  <c r="M170" i="49" s="1"/>
  <c r="O168" i="49"/>
  <c r="O170" i="49" s="1" a="1"/>
  <c r="O170" i="49" s="1"/>
  <c r="N401" i="49"/>
  <c r="N403" i="49" s="1" a="1"/>
  <c r="N403" i="49" s="1"/>
  <c r="L361" i="49"/>
  <c r="L363" i="49" s="1" a="1"/>
  <c r="L363" i="49" s="1"/>
  <c r="O361" i="49"/>
  <c r="O363" i="49" s="1" a="1"/>
  <c r="O363" i="49" s="1"/>
  <c r="O401" i="49"/>
  <c r="O403" i="49" s="1" a="1"/>
  <c r="O403" i="49" s="1"/>
  <c r="O186" i="49"/>
  <c r="O187" i="49" s="1"/>
  <c r="N116" i="49"/>
  <c r="N117" i="49" s="1"/>
  <c r="N63" i="49" s="1"/>
  <c r="K156" i="49"/>
  <c r="K157" i="49" s="1"/>
  <c r="K66" i="49" s="1"/>
  <c r="M156" i="49"/>
  <c r="M157" i="49" s="1"/>
  <c r="K168" i="49"/>
  <c r="K170" i="49" s="1" a="1"/>
  <c r="K170" i="49" s="1"/>
  <c r="N186" i="49"/>
  <c r="N187" i="49" s="1"/>
  <c r="N69" i="49" s="1"/>
  <c r="M214" i="49"/>
  <c r="M215" i="49" s="1"/>
  <c r="M72" i="49" s="1"/>
  <c r="L156" i="49"/>
  <c r="L157" i="49" s="1"/>
  <c r="L66" i="49" s="1"/>
  <c r="K116" i="49"/>
  <c r="K117" i="49" s="1"/>
  <c r="H11" i="63" s="1"/>
  <c r="N128" i="49"/>
  <c r="N130" i="49" s="1" a="1"/>
  <c r="N130" i="49" s="1"/>
  <c r="K186" i="49"/>
  <c r="K187" i="49" s="1"/>
  <c r="K69" i="49" s="1"/>
  <c r="L116" i="49"/>
  <c r="L117" i="49" s="1"/>
  <c r="L63" i="49" s="1"/>
  <c r="M117" i="49"/>
  <c r="M63" i="49" s="1"/>
  <c r="M401" i="49"/>
  <c r="M403" i="49" s="1" a="1"/>
  <c r="M403" i="49" s="1"/>
  <c r="M361" i="49"/>
  <c r="M363" i="49" s="1" a="1"/>
  <c r="M363" i="49" s="1"/>
  <c r="L401" i="49"/>
  <c r="L403" i="49" s="1" a="1"/>
  <c r="L403" i="49" s="1"/>
  <c r="N361" i="49"/>
  <c r="N363" i="49" s="1" a="1"/>
  <c r="N363" i="49" s="1"/>
  <c r="M69" i="49"/>
  <c r="J16" i="63" a="1"/>
  <c r="J16" i="63" s="1"/>
  <c r="M447" i="49"/>
  <c r="M448" i="49" s="1"/>
  <c r="J148" i="63" s="1" a="1"/>
  <c r="J148" i="63" s="1"/>
  <c r="L349" i="49"/>
  <c r="I16" i="63" a="1"/>
  <c r="I16" i="63" s="1"/>
  <c r="K13" i="63" a="1"/>
  <c r="K13" i="63" s="1"/>
  <c r="K18" i="63" a="1"/>
  <c r="K18" i="63" s="1"/>
  <c r="K259" i="49"/>
  <c r="M260" i="49"/>
  <c r="M261" i="49" s="1"/>
  <c r="M273" i="49"/>
  <c r="M274" i="49" s="1"/>
  <c r="N260" i="49"/>
  <c r="N261" i="49" s="1"/>
  <c r="L274" i="49"/>
  <c r="L275" i="49" s="1"/>
  <c r="O287" i="49"/>
  <c r="N275" i="49"/>
  <c r="K53" i="49"/>
  <c r="O53" i="49"/>
  <c r="O274" i="49"/>
  <c r="O275" i="49" s="1"/>
  <c r="O39" i="49"/>
  <c r="K274" i="49"/>
  <c r="K275" i="49" s="1"/>
  <c r="O260" i="49"/>
  <c r="O261" i="49" s="1"/>
  <c r="L257" i="49"/>
  <c r="K287" i="49"/>
  <c r="K288" i="49" s="1"/>
  <c r="K289" i="49" s="1"/>
  <c r="K242" i="49" s="1"/>
  <c r="L289" i="49"/>
  <c r="L242" i="49" s="1"/>
  <c r="N287" i="49"/>
  <c r="N288" i="49" s="1"/>
  <c r="E2" i="44"/>
  <c r="D2" i="44"/>
  <c r="K47" i="53"/>
  <c r="L44" i="53"/>
  <c r="P50" i="53" s="1"/>
  <c r="D44" i="53"/>
  <c r="H50" i="53" s="1"/>
  <c r="C42" i="53"/>
  <c r="C5" i="53"/>
  <c r="B3" i="53"/>
  <c r="B5" i="53" s="1"/>
  <c r="C2" i="53"/>
  <c r="E12" i="48"/>
  <c r="C5" i="52"/>
  <c r="K47" i="52"/>
  <c r="L44" i="52"/>
  <c r="P50" i="52" s="1"/>
  <c r="C42" i="52"/>
  <c r="C5" i="51"/>
  <c r="D44" i="52"/>
  <c r="H50" i="52" s="1"/>
  <c r="E137" i="42"/>
  <c r="E138" i="42"/>
  <c r="E139" i="42"/>
  <c r="E140" i="42"/>
  <c r="E141" i="42"/>
  <c r="E142" i="42"/>
  <c r="E143" i="42"/>
  <c r="E144" i="42"/>
  <c r="E145" i="42"/>
  <c r="E146" i="42"/>
  <c r="E147" i="42"/>
  <c r="E148" i="42"/>
  <c r="E149" i="42"/>
  <c r="E150" i="42"/>
  <c r="E151" i="42"/>
  <c r="E152" i="42"/>
  <c r="E153" i="42"/>
  <c r="E136" i="42"/>
  <c r="D21" i="50"/>
  <c r="D7" i="50"/>
  <c r="C19" i="50"/>
  <c r="C5" i="50"/>
  <c r="C80" i="51"/>
  <c r="C385" i="44"/>
  <c r="C378" i="44"/>
  <c r="C370" i="44"/>
  <c r="C363" i="44"/>
  <c r="C356" i="44"/>
  <c r="C347" i="44"/>
  <c r="C340" i="44"/>
  <c r="C333" i="44"/>
  <c r="C325" i="44"/>
  <c r="C318" i="44"/>
  <c r="C311" i="44"/>
  <c r="K419" i="49" l="1"/>
  <c r="K420" i="49" s="1"/>
  <c r="H146" i="63" s="1" a="1"/>
  <c r="H146" i="63" s="1"/>
  <c r="M419" i="49"/>
  <c r="M420" i="49" s="1"/>
  <c r="J146" i="63" s="1" a="1"/>
  <c r="J146" i="63" s="1"/>
  <c r="K349" i="49"/>
  <c r="G69" i="74" a="1"/>
  <c r="G69" i="74" s="1"/>
  <c r="L419" i="49"/>
  <c r="L420" i="49" s="1"/>
  <c r="I146" i="63" s="1" a="1"/>
  <c r="I146" i="63" s="1"/>
  <c r="N389" i="49"/>
  <c r="N390" i="49" s="1"/>
  <c r="K143" i="63" s="1" a="1"/>
  <c r="K143" i="63" s="1"/>
  <c r="N419" i="49"/>
  <c r="N420" i="49" s="1"/>
  <c r="K146" i="63" s="1" a="1"/>
  <c r="K146" i="63" s="1"/>
  <c r="O349" i="49"/>
  <c r="O350" i="49" s="1"/>
  <c r="L141" i="63" s="1" a="1"/>
  <c r="L141" i="63" s="1"/>
  <c r="M349" i="49"/>
  <c r="M350" i="49" s="1"/>
  <c r="J141" i="63" s="1" a="1"/>
  <c r="J141" i="63" s="1"/>
  <c r="N447" i="49"/>
  <c r="N448" i="49" s="1"/>
  <c r="K148" i="63" s="1" a="1"/>
  <c r="K148" i="63" s="1"/>
  <c r="K161" i="63" s="1" a="1"/>
  <c r="K161" i="63" s="1"/>
  <c r="N349" i="49"/>
  <c r="N350" i="49" s="1"/>
  <c r="K141" i="63" s="1" a="1"/>
  <c r="K141" i="63" s="1"/>
  <c r="O214" i="49"/>
  <c r="O215" i="49" s="1"/>
  <c r="O72" i="49" s="1"/>
  <c r="O71" i="49" s="1"/>
  <c r="O76" i="49" s="1"/>
  <c r="M71" i="49"/>
  <c r="M76" i="49" s="1"/>
  <c r="O156" i="49"/>
  <c r="O157" i="49" s="1"/>
  <c r="L13" i="63" s="1" a="1"/>
  <c r="L13" i="63" s="1"/>
  <c r="L71" i="49"/>
  <c r="L76" i="49" s="1"/>
  <c r="I18" i="63" a="1"/>
  <c r="I18" i="63" s="1"/>
  <c r="P49" i="52"/>
  <c r="Q49" i="52" s="1"/>
  <c r="Q50" i="52"/>
  <c r="P49" i="53"/>
  <c r="Q49" i="53" s="1"/>
  <c r="Q50" i="53"/>
  <c r="H49" i="52"/>
  <c r="I49" i="52" s="1"/>
  <c r="I50" i="52"/>
  <c r="H49" i="53"/>
  <c r="I49" i="53" s="1"/>
  <c r="I50" i="53"/>
  <c r="K136" i="49" a="1"/>
  <c r="K136" i="49" s="1"/>
  <c r="P100" i="53" a="1"/>
  <c r="P100" i="53" s="1"/>
  <c r="N100" i="53" a="1"/>
  <c r="N100" i="53" s="1"/>
  <c r="M100" i="53" a="1"/>
  <c r="M100" i="53" s="1"/>
  <c r="P101" i="53" a="1"/>
  <c r="P101" i="53" s="1"/>
  <c r="L102" i="53" a="1"/>
  <c r="L102" i="53" s="1"/>
  <c r="O100" i="53" a="1"/>
  <c r="O100" i="53" s="1"/>
  <c r="M101" i="53" a="1"/>
  <c r="M101" i="53" s="1"/>
  <c r="O101" i="53" a="1"/>
  <c r="O101" i="53" s="1"/>
  <c r="N101" i="53" a="1"/>
  <c r="N101" i="53" s="1"/>
  <c r="P92" i="53"/>
  <c r="N94" i="53"/>
  <c r="M94" i="53"/>
  <c r="L94" i="53"/>
  <c r="M93" i="53"/>
  <c r="M92" i="53"/>
  <c r="N92" i="53"/>
  <c r="P94" i="53"/>
  <c r="O92" i="53"/>
  <c r="N78" i="53"/>
  <c r="O93" i="53"/>
  <c r="O78" i="53"/>
  <c r="L92" i="53"/>
  <c r="O94" i="53"/>
  <c r="M78" i="53"/>
  <c r="L78" i="53"/>
  <c r="P78" i="53"/>
  <c r="L93" i="53"/>
  <c r="N93" i="53"/>
  <c r="P93" i="53"/>
  <c r="C35" i="53"/>
  <c r="C38" i="53"/>
  <c r="O44" i="53"/>
  <c r="P44" i="53" s="1"/>
  <c r="O45" i="53"/>
  <c r="P45" i="53" s="1"/>
  <c r="C37" i="53"/>
  <c r="C34" i="53"/>
  <c r="G44" i="53"/>
  <c r="H44" i="53" s="1"/>
  <c r="G45" i="53"/>
  <c r="H45" i="53" s="1"/>
  <c r="C38" i="52"/>
  <c r="C35" i="52"/>
  <c r="O44" i="52"/>
  <c r="P44" i="52" s="1"/>
  <c r="O45" i="52"/>
  <c r="P45" i="52" s="1"/>
  <c r="O101" i="52" a="1"/>
  <c r="O101" i="52" s="1"/>
  <c r="N101" i="52" a="1"/>
  <c r="N101" i="52" s="1"/>
  <c r="P100" i="52" a="1"/>
  <c r="P100" i="52" s="1"/>
  <c r="P101" i="52" a="1"/>
  <c r="P101" i="52" s="1"/>
  <c r="N100" i="52" a="1"/>
  <c r="N100" i="52" s="1"/>
  <c r="M100" i="52" a="1"/>
  <c r="M100" i="52" s="1"/>
  <c r="M101" i="52" a="1"/>
  <c r="M101" i="52" s="1"/>
  <c r="L102" i="52" a="1"/>
  <c r="L102" i="52" s="1"/>
  <c r="O100" i="52" a="1"/>
  <c r="O100" i="52" s="1"/>
  <c r="M94" i="52"/>
  <c r="P78" i="52"/>
  <c r="O78" i="52"/>
  <c r="M92" i="52"/>
  <c r="N92" i="52"/>
  <c r="L94" i="52"/>
  <c r="L92" i="52"/>
  <c r="O94" i="52"/>
  <c r="P92" i="52"/>
  <c r="N94" i="52"/>
  <c r="N93" i="52"/>
  <c r="O92" i="52"/>
  <c r="P94" i="52"/>
  <c r="M93" i="52"/>
  <c r="M78" i="52"/>
  <c r="L93" i="52"/>
  <c r="O93" i="52"/>
  <c r="P93" i="52"/>
  <c r="L78" i="52"/>
  <c r="N78" i="52"/>
  <c r="C37" i="52"/>
  <c r="C34" i="52"/>
  <c r="G45" i="52"/>
  <c r="H45" i="52" s="1"/>
  <c r="G44" i="52"/>
  <c r="H44" i="52" s="1"/>
  <c r="L56" i="49"/>
  <c r="L57" i="49" s="1"/>
  <c r="L12" i="49" s="1"/>
  <c r="L29" i="49"/>
  <c r="N43" i="49"/>
  <c r="M57" i="49"/>
  <c r="M12" i="49" s="1"/>
  <c r="M29" i="49"/>
  <c r="N29" i="49"/>
  <c r="K43" i="49"/>
  <c r="M43" i="49"/>
  <c r="O29" i="49"/>
  <c r="N57" i="49"/>
  <c r="N12" i="49" s="1"/>
  <c r="E164" i="63"/>
  <c r="J161" i="63" a="1"/>
  <c r="J161" i="63" s="1"/>
  <c r="K260" i="49"/>
  <c r="K261" i="49" s="1"/>
  <c r="K240" i="49" s="1"/>
  <c r="N240" i="49"/>
  <c r="K184" i="63" a="1"/>
  <c r="K184" i="63" s="1"/>
  <c r="O240" i="49"/>
  <c r="L184" i="63" a="1"/>
  <c r="L184" i="63" s="1"/>
  <c r="N241" i="49"/>
  <c r="K185" i="63" a="1"/>
  <c r="K185" i="63" s="1"/>
  <c r="K241" i="49"/>
  <c r="H185" i="63" a="1"/>
  <c r="H185" i="63" s="1"/>
  <c r="L241" i="49"/>
  <c r="I185" i="63" a="1"/>
  <c r="I185" i="63" s="1"/>
  <c r="O241" i="49"/>
  <c r="L185" i="63" a="1"/>
  <c r="L185" i="63" s="1"/>
  <c r="M240" i="49"/>
  <c r="J184" i="63" a="1"/>
  <c r="J184" i="63" s="1"/>
  <c r="I161" i="63" a="1"/>
  <c r="I161" i="63" s="1"/>
  <c r="K306" i="49"/>
  <c r="N364" i="49"/>
  <c r="N365" i="49" s="1"/>
  <c r="K142" i="63" s="1" a="1"/>
  <c r="K142" i="63" s="1"/>
  <c r="L404" i="49"/>
  <c r="L405" i="49" s="1"/>
  <c r="I144" i="63" s="1" a="1"/>
  <c r="I144" i="63" s="1"/>
  <c r="I159" i="63" s="1" a="1"/>
  <c r="I159" i="63" s="1"/>
  <c r="K404" i="49"/>
  <c r="K405" i="49" s="1"/>
  <c r="H144" i="63" s="1" a="1"/>
  <c r="H144" i="63" s="1"/>
  <c r="H159" i="63" s="1" a="1"/>
  <c r="H159" i="63" s="1"/>
  <c r="M364" i="49"/>
  <c r="M365" i="49" s="1"/>
  <c r="J142" i="63" s="1" a="1"/>
  <c r="J142" i="63" s="1"/>
  <c r="O404" i="49"/>
  <c r="O405" i="49" s="1"/>
  <c r="L144" i="63" s="1" a="1"/>
  <c r="L144" i="63" s="1"/>
  <c r="L159" i="63" s="1" a="1"/>
  <c r="L159" i="63" s="1"/>
  <c r="O364" i="49"/>
  <c r="O365" i="49" s="1"/>
  <c r="L142" i="63" s="1" a="1"/>
  <c r="L142" i="63" s="1"/>
  <c r="K364" i="49"/>
  <c r="K365" i="49" s="1"/>
  <c r="H142" i="63" s="1" a="1"/>
  <c r="H142" i="63" s="1"/>
  <c r="L364" i="49"/>
  <c r="L365" i="49" s="1"/>
  <c r="I142" i="63" s="1" a="1"/>
  <c r="I142" i="63" s="1"/>
  <c r="N404" i="49"/>
  <c r="N405" i="49" s="1"/>
  <c r="K144" i="63" s="1" a="1"/>
  <c r="K144" i="63" s="1"/>
  <c r="O136" i="49" a="1"/>
  <c r="O136" i="49" s="1"/>
  <c r="O138" i="49" a="1"/>
  <c r="O138" i="49" s="1"/>
  <c r="L138" i="49" a="1"/>
  <c r="L138" i="49" s="1"/>
  <c r="K138" i="49" a="1"/>
  <c r="K138" i="49" s="1"/>
  <c r="L136" i="49" a="1"/>
  <c r="L136" i="49" s="1"/>
  <c r="N136" i="49" a="1"/>
  <c r="N136" i="49" s="1"/>
  <c r="M138" i="49" a="1"/>
  <c r="M138" i="49" s="1"/>
  <c r="M136" i="49" a="1"/>
  <c r="M136" i="49" s="1"/>
  <c r="N138" i="49" a="1"/>
  <c r="N138" i="49" s="1"/>
  <c r="L65" i="49"/>
  <c r="K71" i="49"/>
  <c r="K76" i="49" s="1"/>
  <c r="M62" i="49"/>
  <c r="O171" i="49"/>
  <c r="O172" i="49" s="1"/>
  <c r="O67" i="49" s="1"/>
  <c r="M171" i="49"/>
  <c r="M172" i="49" s="1"/>
  <c r="M67" i="49" s="1"/>
  <c r="L62" i="49"/>
  <c r="M68" i="49"/>
  <c r="M75" i="49" s="1"/>
  <c r="N68" i="49"/>
  <c r="N75" i="49" s="1"/>
  <c r="O131" i="49"/>
  <c r="O132" i="49" s="1"/>
  <c r="O64" i="49" s="1"/>
  <c r="O62" i="49" s="1"/>
  <c r="N131" i="49"/>
  <c r="N132" i="49" s="1"/>
  <c r="N64" i="49" s="1"/>
  <c r="N62" i="49" s="1"/>
  <c r="H18" i="63" a="1"/>
  <c r="H18" i="63" s="1"/>
  <c r="O69" i="49"/>
  <c r="O68" i="49" s="1"/>
  <c r="O75" i="49" s="1"/>
  <c r="L16" i="63" a="1"/>
  <c r="L16" i="63" s="1"/>
  <c r="M404" i="49"/>
  <c r="M405" i="49" s="1"/>
  <c r="J144" i="63" s="1" a="1"/>
  <c r="J144" i="63" s="1"/>
  <c r="J11" i="63" a="1"/>
  <c r="J11" i="63" s="1"/>
  <c r="K63" i="49"/>
  <c r="M66" i="49"/>
  <c r="J13" i="63" a="1"/>
  <c r="J13" i="63" s="1"/>
  <c r="K171" i="49"/>
  <c r="K172" i="49" s="1"/>
  <c r="K67" i="49" s="1"/>
  <c r="K132" i="49"/>
  <c r="K64" i="49" s="1"/>
  <c r="K11" i="63" a="1"/>
  <c r="K11" i="63" s="1"/>
  <c r="J18" i="63" a="1"/>
  <c r="J18" i="63" s="1"/>
  <c r="K16" i="63" a="1"/>
  <c r="K16" i="63" s="1"/>
  <c r="I13" i="63" a="1"/>
  <c r="I13" i="63" s="1"/>
  <c r="H16" i="63" a="1"/>
  <c r="H16" i="63" s="1"/>
  <c r="K447" i="49"/>
  <c r="K448" i="49" s="1"/>
  <c r="H148" i="63" s="1" a="1"/>
  <c r="H148" i="63" s="1"/>
  <c r="O447" i="49"/>
  <c r="O448" i="49" s="1"/>
  <c r="L148" i="63" s="1" a="1"/>
  <c r="L148" i="63" s="1"/>
  <c r="M389" i="49"/>
  <c r="M390" i="49" s="1"/>
  <c r="J143" i="63" s="1" a="1"/>
  <c r="J143" i="63" s="1"/>
  <c r="L350" i="49"/>
  <c r="I141" i="63" s="1" a="1"/>
  <c r="I141" i="63" s="1"/>
  <c r="K350" i="49"/>
  <c r="H141" i="63" s="1"/>
  <c r="L11" i="63" a="1"/>
  <c r="L11" i="63" s="1"/>
  <c r="I11" i="63" a="1"/>
  <c r="I11" i="63" s="1"/>
  <c r="O299" i="49"/>
  <c r="M305" i="49"/>
  <c r="L42" i="49"/>
  <c r="L43" i="49" s="1"/>
  <c r="D47" i="52"/>
  <c r="M275" i="49"/>
  <c r="O41" i="49"/>
  <c r="O42" i="49" s="1"/>
  <c r="L259" i="49"/>
  <c r="L260" i="49" s="1"/>
  <c r="O288" i="49"/>
  <c r="O289" i="49" s="1"/>
  <c r="O242" i="49" s="1"/>
  <c r="N289" i="49"/>
  <c r="N242" i="49" s="1"/>
  <c r="O55" i="49"/>
  <c r="O56" i="49" s="1"/>
  <c r="K55" i="49"/>
  <c r="K56" i="49" s="1"/>
  <c r="O302" i="49"/>
  <c r="B42" i="53"/>
  <c r="B3" i="52"/>
  <c r="C2" i="52"/>
  <c r="K159" i="63" l="1" a="1"/>
  <c r="K159" i="63" s="1"/>
  <c r="P72" i="49"/>
  <c r="Q72" i="49" s="1"/>
  <c r="O66" i="49"/>
  <c r="L18" i="63" a="1"/>
  <c r="L18" i="63" s="1"/>
  <c r="K372" i="49"/>
  <c r="H47" i="53"/>
  <c r="I51" i="52"/>
  <c r="N11" i="49"/>
  <c r="K55" i="63" a="1"/>
  <c r="K55" i="63" s="1"/>
  <c r="I51" i="53"/>
  <c r="L11" i="49"/>
  <c r="I55" i="63" a="1"/>
  <c r="I55" i="63" s="1"/>
  <c r="L10" i="49"/>
  <c r="I54" i="63" a="1"/>
  <c r="I54" i="63" s="1"/>
  <c r="O10" i="49"/>
  <c r="L54" i="63" a="1"/>
  <c r="L54" i="63" s="1"/>
  <c r="M11" i="49"/>
  <c r="J55" i="63" a="1"/>
  <c r="J55" i="63" s="1"/>
  <c r="K11" i="49"/>
  <c r="H55" i="63" a="1"/>
  <c r="H55" i="63" s="1"/>
  <c r="N10" i="49"/>
  <c r="K54" i="63" a="1"/>
  <c r="K54" i="63" s="1"/>
  <c r="M10" i="49"/>
  <c r="J54" i="63" a="1"/>
  <c r="J54" i="63" s="1"/>
  <c r="P47" i="52"/>
  <c r="P47" i="53"/>
  <c r="Q51" i="53"/>
  <c r="Q51" i="52"/>
  <c r="H47" i="52"/>
  <c r="L205" i="63" a="1"/>
  <c r="L205" i="63" s="1"/>
  <c r="L241" i="63" s="1"/>
  <c r="L215" i="63" a="1"/>
  <c r="L215" i="63" s="1"/>
  <c r="L251" i="63" s="1"/>
  <c r="L212" i="63" a="1"/>
  <c r="L212" i="63" s="1"/>
  <c r="L248" i="63" s="1"/>
  <c r="L211" i="63" a="1"/>
  <c r="L211" i="63" s="1"/>
  <c r="L247" i="63" s="1"/>
  <c r="L214" i="63" a="1"/>
  <c r="L214" i="63" s="1"/>
  <c r="L250" i="63" s="1"/>
  <c r="L213" i="63" a="1"/>
  <c r="L213" i="63" s="1"/>
  <c r="L249" i="63" s="1"/>
  <c r="L206" i="63" a="1"/>
  <c r="L206" i="63" s="1"/>
  <c r="L242" i="63" s="1"/>
  <c r="K204" i="63" a="1"/>
  <c r="K204" i="63" s="1"/>
  <c r="K240" i="63" s="1"/>
  <c r="K200" i="63" a="1"/>
  <c r="K200" i="63" s="1"/>
  <c r="K236" i="63" s="1"/>
  <c r="K203" i="63" a="1"/>
  <c r="K203" i="63" s="1"/>
  <c r="K239" i="63" s="1"/>
  <c r="K201" i="63" a="1"/>
  <c r="K201" i="63" s="1"/>
  <c r="K237" i="63" s="1"/>
  <c r="K194" i="63" a="1"/>
  <c r="K194" i="63" s="1"/>
  <c r="K230" i="63" s="1"/>
  <c r="K202" i="63" a="1"/>
  <c r="K202" i="63" s="1"/>
  <c r="K238" i="63" s="1"/>
  <c r="K195" i="63" a="1"/>
  <c r="K195" i="63" s="1"/>
  <c r="K231" i="63" s="1"/>
  <c r="H207" i="63" a="1"/>
  <c r="H207" i="63" s="1"/>
  <c r="H243" i="63" s="1"/>
  <c r="H210" i="63" a="1"/>
  <c r="H210" i="63" s="1"/>
  <c r="H246" i="63" s="1"/>
  <c r="H212" i="63" a="1"/>
  <c r="H212" i="63" s="1"/>
  <c r="H248" i="63" s="1"/>
  <c r="H214" i="63" a="1"/>
  <c r="H214" i="63" s="1"/>
  <c r="H250" i="63" s="1"/>
  <c r="H208" i="63" a="1"/>
  <c r="H208" i="63" s="1"/>
  <c r="H244" i="63" s="1"/>
  <c r="H209" i="63" a="1"/>
  <c r="H209" i="63" s="1"/>
  <c r="H245" i="63" s="1"/>
  <c r="H213" i="63" a="1"/>
  <c r="H213" i="63" s="1"/>
  <c r="H249" i="63" s="1"/>
  <c r="H215" i="63" a="1"/>
  <c r="H215" i="63" s="1"/>
  <c r="H251" i="63" s="1"/>
  <c r="H211" i="63" a="1"/>
  <c r="H211" i="63" s="1"/>
  <c r="H247" i="63" s="1"/>
  <c r="I206" i="63" a="1"/>
  <c r="I206" i="63" s="1"/>
  <c r="I242" i="63" s="1"/>
  <c r="I211" i="63" a="1"/>
  <c r="I211" i="63" s="1"/>
  <c r="I247" i="63" s="1"/>
  <c r="I214" i="63" a="1"/>
  <c r="I214" i="63" s="1"/>
  <c r="I250" i="63" s="1"/>
  <c r="I215" i="63" a="1"/>
  <c r="I215" i="63" s="1"/>
  <c r="I251" i="63" s="1"/>
  <c r="I212" i="63" a="1"/>
  <c r="I212" i="63" s="1"/>
  <c r="I248" i="63" s="1"/>
  <c r="I205" i="63" a="1"/>
  <c r="I205" i="63" s="1"/>
  <c r="I241" i="63" s="1"/>
  <c r="I213" i="63" a="1"/>
  <c r="I213" i="63" s="1"/>
  <c r="I249" i="63" s="1"/>
  <c r="J194" i="63" a="1"/>
  <c r="J194" i="63" s="1"/>
  <c r="J230" i="63" s="1"/>
  <c r="J201" i="63" a="1"/>
  <c r="J201" i="63" s="1"/>
  <c r="J237" i="63" s="1"/>
  <c r="J202" i="63" a="1"/>
  <c r="J202" i="63" s="1"/>
  <c r="J238" i="63" s="1"/>
  <c r="J195" i="63" a="1"/>
  <c r="J195" i="63" s="1"/>
  <c r="J231" i="63" s="1"/>
  <c r="J203" i="63" a="1"/>
  <c r="J203" i="63" s="1"/>
  <c r="J239" i="63" s="1"/>
  <c r="J204" i="63" a="1"/>
  <c r="J204" i="63" s="1"/>
  <c r="J240" i="63" s="1"/>
  <c r="J200" i="63" a="1"/>
  <c r="J200" i="63" s="1"/>
  <c r="J236" i="63" s="1"/>
  <c r="K212" i="63" a="1"/>
  <c r="K212" i="63" s="1"/>
  <c r="K248" i="63" s="1"/>
  <c r="K213" i="63" a="1"/>
  <c r="K213" i="63" s="1"/>
  <c r="K249" i="63" s="1"/>
  <c r="K211" i="63" a="1"/>
  <c r="K211" i="63" s="1"/>
  <c r="K247" i="63" s="1"/>
  <c r="K214" i="63" a="1"/>
  <c r="K214" i="63" s="1"/>
  <c r="K250" i="63" s="1"/>
  <c r="K206" i="63" a="1"/>
  <c r="K206" i="63" s="1"/>
  <c r="K242" i="63" s="1"/>
  <c r="K205" i="63" a="1"/>
  <c r="K205" i="63" s="1"/>
  <c r="K241" i="63" s="1"/>
  <c r="K215" i="63" a="1"/>
  <c r="K215" i="63" s="1"/>
  <c r="K251" i="63" s="1"/>
  <c r="L195" i="63" a="1"/>
  <c r="L195" i="63" s="1"/>
  <c r="L231" i="63" s="1"/>
  <c r="L203" i="63" a="1"/>
  <c r="L203" i="63" s="1"/>
  <c r="L239" i="63" s="1"/>
  <c r="L202" i="63" a="1"/>
  <c r="L202" i="63" s="1"/>
  <c r="L238" i="63" s="1"/>
  <c r="L201" i="63" a="1"/>
  <c r="L201" i="63" s="1"/>
  <c r="L237" i="63" s="1"/>
  <c r="L200" i="63" a="1"/>
  <c r="L200" i="63" s="1"/>
  <c r="L236" i="63" s="1"/>
  <c r="L204" i="63" a="1"/>
  <c r="L204" i="63" s="1"/>
  <c r="L240" i="63" s="1"/>
  <c r="L194" i="63" a="1"/>
  <c r="L194" i="63" s="1"/>
  <c r="L230" i="63" s="1"/>
  <c r="O43" i="49"/>
  <c r="K57" i="49"/>
  <c r="K12" i="49" s="1"/>
  <c r="O57" i="49"/>
  <c r="O12" i="49" s="1"/>
  <c r="T107" i="51" a="1"/>
  <c r="T107" i="51" s="1"/>
  <c r="K177" i="63"/>
  <c r="R107" i="51" a="1"/>
  <c r="R107" i="51" s="1"/>
  <c r="I177" i="63"/>
  <c r="U106" i="51" a="1"/>
  <c r="U106" i="51" s="1"/>
  <c r="S99" i="67" s="1" a="1"/>
  <c r="S99" i="67" s="1"/>
  <c r="L175" i="63"/>
  <c r="Q106" i="51" a="1"/>
  <c r="Q106" i="51" s="1"/>
  <c r="O99" i="67" s="1" a="1"/>
  <c r="O99" i="67" s="1"/>
  <c r="H175" i="63"/>
  <c r="R106" i="51" a="1"/>
  <c r="R106" i="51" s="1"/>
  <c r="M97" i="53" s="1" a="1"/>
  <c r="M97" i="53" s="1"/>
  <c r="M62" i="53" s="1"/>
  <c r="I175" i="63"/>
  <c r="S107" i="51" a="1"/>
  <c r="S107" i="51" s="1"/>
  <c r="J177" i="63"/>
  <c r="T106" i="51" a="1"/>
  <c r="T106" i="51" s="1"/>
  <c r="K175" i="63"/>
  <c r="L161" i="63" a="1"/>
  <c r="L161" i="63" s="1"/>
  <c r="J159" i="63" a="1"/>
  <c r="J159" i="63" s="1"/>
  <c r="H161" i="63" a="1"/>
  <c r="H161" i="63" s="1"/>
  <c r="P242" i="49"/>
  <c r="H184" i="63" a="1"/>
  <c r="H184" i="63" s="1"/>
  <c r="M241" i="49"/>
  <c r="P241" i="49" s="1"/>
  <c r="J185" i="63" a="1"/>
  <c r="J185" i="63" s="1"/>
  <c r="K158" i="63" a="1"/>
  <c r="K158" i="63" s="1"/>
  <c r="I158" i="63" a="1"/>
  <c r="I158" i="63" s="1"/>
  <c r="J158" i="63" a="1"/>
  <c r="J158" i="63" s="1"/>
  <c r="L158" i="63" a="1"/>
  <c r="L158" i="63" s="1"/>
  <c r="H158" i="63" a="1"/>
  <c r="H158" i="63" s="1"/>
  <c r="M299" i="49"/>
  <c r="O305" i="49"/>
  <c r="M296" i="49"/>
  <c r="M65" i="49"/>
  <c r="O65" i="49"/>
  <c r="K296" i="49"/>
  <c r="K62" i="49"/>
  <c r="P62" i="49" s="1"/>
  <c r="Q62" i="49" s="1"/>
  <c r="N139" i="49"/>
  <c r="N141" i="49" s="1" a="1"/>
  <c r="N141" i="49" s="1"/>
  <c r="N142" i="49" s="1"/>
  <c r="L139" i="49"/>
  <c r="L141" i="49" s="1" a="1"/>
  <c r="L141" i="49" s="1"/>
  <c r="K139" i="49"/>
  <c r="K141" i="49" s="1" a="1"/>
  <c r="K141" i="49" s="1"/>
  <c r="O139" i="49"/>
  <c r="O141" i="49" s="1" a="1"/>
  <c r="O141" i="49" s="1"/>
  <c r="M139" i="49"/>
  <c r="M141" i="49" s="1" a="1"/>
  <c r="M141" i="49" s="1"/>
  <c r="K305" i="49"/>
  <c r="N372" i="49"/>
  <c r="N374" i="49" s="1" a="1"/>
  <c r="N374" i="49" s="1"/>
  <c r="O372" i="49"/>
  <c r="O374" i="49" s="1" a="1"/>
  <c r="O374" i="49" s="1"/>
  <c r="K374" i="49" a="1"/>
  <c r="K374" i="49" s="1"/>
  <c r="L372" i="49"/>
  <c r="L374" i="49" s="1" a="1"/>
  <c r="L374" i="49" s="1"/>
  <c r="M372" i="49"/>
  <c r="M374" i="49" s="1" a="1"/>
  <c r="M374" i="49" s="1"/>
  <c r="N296" i="49"/>
  <c r="N302" i="49"/>
  <c r="N299" i="49"/>
  <c r="K299" i="49"/>
  <c r="M302" i="49"/>
  <c r="N305" i="49"/>
  <c r="L299" i="49"/>
  <c r="K302" i="49"/>
  <c r="O296" i="49"/>
  <c r="L296" i="49"/>
  <c r="L305" i="49"/>
  <c r="I12" i="63" a="1"/>
  <c r="I12" i="63" s="1"/>
  <c r="I28" i="63" s="1" a="1"/>
  <c r="I28" i="63" s="1"/>
  <c r="H31" i="51" s="1" a="1"/>
  <c r="H31" i="51" s="1"/>
  <c r="P69" i="49"/>
  <c r="Q69" i="49" s="1"/>
  <c r="L261" i="49"/>
  <c r="N430" i="49"/>
  <c r="N432" i="49" s="1" a="1"/>
  <c r="N432" i="49" s="1"/>
  <c r="H17" i="63" a="1"/>
  <c r="H17" i="63" s="1"/>
  <c r="H30" i="63" s="1" a="1"/>
  <c r="H30" i="63" s="1"/>
  <c r="G32" i="51" s="1" a="1"/>
  <c r="G32" i="51" s="1"/>
  <c r="J12" i="63" a="1"/>
  <c r="J12" i="63" s="1"/>
  <c r="J28" i="63" s="1" a="1"/>
  <c r="J28" i="63" s="1"/>
  <c r="I31" i="51" s="1" a="1"/>
  <c r="I31" i="51" s="1"/>
  <c r="H12" i="63" a="1"/>
  <c r="H12" i="63" s="1"/>
  <c r="H28" i="63" s="1"/>
  <c r="H44" i="63" s="1"/>
  <c r="O430" i="49"/>
  <c r="O432" i="49" s="1" a="1"/>
  <c r="O432" i="49" s="1"/>
  <c r="J17" i="63" a="1"/>
  <c r="J17" i="63" s="1"/>
  <c r="J30" i="63" s="1" a="1"/>
  <c r="J30" i="63" s="1"/>
  <c r="I32" i="51" s="1" a="1"/>
  <c r="I32" i="51" s="1"/>
  <c r="K12" i="63" a="1"/>
  <c r="K12" i="63" s="1"/>
  <c r="K28" i="63" s="1" a="1"/>
  <c r="K28" i="63" s="1"/>
  <c r="J31" i="51" s="1" a="1"/>
  <c r="J31" i="51" s="1"/>
  <c r="L14" i="63" a="1"/>
  <c r="L14" i="63" s="1"/>
  <c r="L29" i="63" s="1" a="1"/>
  <c r="L29" i="63" s="1"/>
  <c r="I17" i="63" a="1"/>
  <c r="I17" i="63" s="1"/>
  <c r="I30" i="63" s="1" a="1"/>
  <c r="I30" i="63" s="1"/>
  <c r="H32" i="51" s="1" a="1"/>
  <c r="H32" i="51" s="1"/>
  <c r="H14" i="63" a="1"/>
  <c r="H14" i="63" s="1"/>
  <c r="L12" i="63" a="1"/>
  <c r="L12" i="63" s="1"/>
  <c r="L28" i="63" s="1" a="1"/>
  <c r="L28" i="63" s="1"/>
  <c r="K31" i="51" s="1" a="1"/>
  <c r="K31" i="51" s="1"/>
  <c r="L17" i="63" a="1"/>
  <c r="L17" i="63" s="1"/>
  <c r="L30" i="63" s="1" a="1"/>
  <c r="L30" i="63" s="1"/>
  <c r="K32" i="51" s="1" a="1"/>
  <c r="K32" i="51" s="1"/>
  <c r="I14" i="63" a="1"/>
  <c r="I14" i="63" s="1"/>
  <c r="I29" i="63" s="1" a="1"/>
  <c r="I29" i="63" s="1"/>
  <c r="K14" i="63" a="1"/>
  <c r="K14" i="63" s="1"/>
  <c r="K29" i="63" s="1" a="1"/>
  <c r="K29" i="63" s="1"/>
  <c r="K17" i="63" a="1"/>
  <c r="K17" i="63" s="1"/>
  <c r="K30" i="63" s="1" a="1"/>
  <c r="K30" i="63" s="1"/>
  <c r="J32" i="51" s="1" a="1"/>
  <c r="J32" i="51" s="1"/>
  <c r="J14" i="63" a="1"/>
  <c r="J14" i="63" s="1"/>
  <c r="J29" i="63" s="1" a="1"/>
  <c r="J29" i="63" s="1"/>
  <c r="K430" i="49"/>
  <c r="K432" i="49" s="1" a="1"/>
  <c r="K432" i="49" s="1"/>
  <c r="K19" i="63" a="1"/>
  <c r="K19" i="63" s="1"/>
  <c r="K31" i="63" s="1" a="1"/>
  <c r="K31" i="63" s="1"/>
  <c r="M430" i="49"/>
  <c r="M432" i="49" s="1" a="1"/>
  <c r="M432" i="49" s="1"/>
  <c r="L430" i="49"/>
  <c r="L432" i="49" s="1" a="1"/>
  <c r="L432" i="49" s="1"/>
  <c r="B5" i="52"/>
  <c r="B42" i="52" s="1"/>
  <c r="C3" i="51"/>
  <c r="B3" i="51"/>
  <c r="C2" i="51"/>
  <c r="B3" i="50"/>
  <c r="C2" i="50"/>
  <c r="D11" i="41" a="1"/>
  <c r="D11" i="41" s="1"/>
  <c r="C11" i="41" a="1"/>
  <c r="C11" i="41" s="1"/>
  <c r="K65" i="63" l="1" a="1"/>
  <c r="K65" i="63" s="1"/>
  <c r="K74" i="63" a="1"/>
  <c r="K74" i="63" s="1"/>
  <c r="K64" i="63" a="1"/>
  <c r="K64" i="63" s="1"/>
  <c r="K71" i="63" a="1"/>
  <c r="K71" i="63" s="1"/>
  <c r="K73" i="63" a="1"/>
  <c r="K73" i="63" s="1"/>
  <c r="K70" i="63" a="1"/>
  <c r="K70" i="63" s="1"/>
  <c r="K72" i="63" a="1"/>
  <c r="K72" i="63" s="1"/>
  <c r="I65" i="63" a="1"/>
  <c r="I65" i="63" s="1"/>
  <c r="I71" i="63" a="1"/>
  <c r="I71" i="63" s="1"/>
  <c r="I64" i="63" a="1"/>
  <c r="I64" i="63" s="1"/>
  <c r="I72" i="63" a="1"/>
  <c r="I72" i="63" s="1"/>
  <c r="I74" i="63" a="1"/>
  <c r="I74" i="63" s="1"/>
  <c r="I70" i="63" a="1"/>
  <c r="I70" i="63" s="1"/>
  <c r="I73" i="63" a="1"/>
  <c r="I73" i="63" s="1"/>
  <c r="H78" i="63" a="1"/>
  <c r="H78" i="63" s="1"/>
  <c r="H114" i="63" s="1"/>
  <c r="H82" i="63" a="1"/>
  <c r="H82" i="63" s="1"/>
  <c r="H118" i="63" s="1"/>
  <c r="H81" i="63" a="1"/>
  <c r="H81" i="63" s="1"/>
  <c r="H117" i="63" s="1"/>
  <c r="H79" i="63" a="1"/>
  <c r="H79" i="63" s="1"/>
  <c r="H115" i="63" s="1"/>
  <c r="H77" i="63" a="1"/>
  <c r="H77" i="63" s="1"/>
  <c r="H113" i="63" s="1"/>
  <c r="H85" i="63" a="1"/>
  <c r="H85" i="63" s="1"/>
  <c r="H121" i="63" s="1"/>
  <c r="H83" i="63" a="1"/>
  <c r="H83" i="63" s="1"/>
  <c r="H119" i="63" s="1"/>
  <c r="H84" i="63" a="1"/>
  <c r="H84" i="63" s="1"/>
  <c r="H120" i="63" s="1"/>
  <c r="H80" i="63" a="1"/>
  <c r="H80" i="63" s="1"/>
  <c r="H116" i="63" s="1"/>
  <c r="I81" i="63" a="1"/>
  <c r="I81" i="63" s="1"/>
  <c r="I117" i="63" s="1"/>
  <c r="I76" i="63" a="1"/>
  <c r="I76" i="63" s="1"/>
  <c r="I112" i="63" s="1"/>
  <c r="I83" i="63" a="1"/>
  <c r="I83" i="63" s="1"/>
  <c r="I119" i="63" s="1"/>
  <c r="I84" i="63" a="1"/>
  <c r="I84" i="63" s="1"/>
  <c r="I120" i="63" s="1"/>
  <c r="I85" i="63" a="1"/>
  <c r="I85" i="63" s="1"/>
  <c r="I121" i="63" s="1"/>
  <c r="I75" i="63" a="1"/>
  <c r="I75" i="63" s="1"/>
  <c r="I111" i="63" s="1"/>
  <c r="I82" i="63" a="1"/>
  <c r="I82" i="63" s="1"/>
  <c r="I118" i="63" s="1"/>
  <c r="J85" i="63" a="1"/>
  <c r="J85" i="63" s="1"/>
  <c r="J121" i="63" s="1"/>
  <c r="J82" i="63" a="1"/>
  <c r="J82" i="63" s="1"/>
  <c r="J118" i="63" s="1"/>
  <c r="J75" i="63" a="1"/>
  <c r="J75" i="63" s="1"/>
  <c r="J111" i="63" s="1"/>
  <c r="J81" i="63" a="1"/>
  <c r="J81" i="63" s="1"/>
  <c r="J117" i="63" s="1"/>
  <c r="J84" i="63" a="1"/>
  <c r="J84" i="63" s="1"/>
  <c r="J120" i="63" s="1"/>
  <c r="J83" i="63" a="1"/>
  <c r="J83" i="63" s="1"/>
  <c r="J119" i="63" s="1"/>
  <c r="J76" i="63" a="1"/>
  <c r="J76" i="63" s="1"/>
  <c r="J112" i="63" s="1"/>
  <c r="O11" i="49"/>
  <c r="P11" i="49" s="1"/>
  <c r="L55" i="63" a="1"/>
  <c r="L55" i="63" s="1"/>
  <c r="K83" i="63" a="1"/>
  <c r="K83" i="63" s="1"/>
  <c r="K119" i="63" s="1"/>
  <c r="K75" i="63" a="1"/>
  <c r="K75" i="63" s="1"/>
  <c r="K111" i="63" s="1"/>
  <c r="K82" i="63" a="1"/>
  <c r="K82" i="63" s="1"/>
  <c r="K118" i="63" s="1"/>
  <c r="K76" i="63" a="1"/>
  <c r="K76" i="63" s="1"/>
  <c r="K112" i="63" s="1"/>
  <c r="K84" i="63" a="1"/>
  <c r="K84" i="63" s="1"/>
  <c r="K120" i="63" s="1"/>
  <c r="K85" i="63" a="1"/>
  <c r="K85" i="63" s="1"/>
  <c r="K121" i="63" s="1"/>
  <c r="K81" i="63" a="1"/>
  <c r="K81" i="63" s="1"/>
  <c r="K117" i="63" s="1"/>
  <c r="J71" i="63" a="1"/>
  <c r="J71" i="63" s="1"/>
  <c r="J74" i="63" a="1"/>
  <c r="J74" i="63" s="1"/>
  <c r="J73" i="63" a="1"/>
  <c r="J73" i="63" s="1"/>
  <c r="J65" i="63" a="1"/>
  <c r="J65" i="63" s="1"/>
  <c r="J64" i="63" a="1"/>
  <c r="J64" i="63" s="1"/>
  <c r="J70" i="63" a="1"/>
  <c r="J70" i="63" s="1"/>
  <c r="J72" i="63" a="1"/>
  <c r="J72" i="63" s="1"/>
  <c r="L64" i="63" a="1"/>
  <c r="L64" i="63" s="1"/>
  <c r="L73" i="63" a="1"/>
  <c r="L73" i="63" s="1"/>
  <c r="L74" i="63" a="1"/>
  <c r="L74" i="63" s="1"/>
  <c r="L70" i="63" a="1"/>
  <c r="L70" i="63" s="1"/>
  <c r="L71" i="63" a="1"/>
  <c r="L71" i="63" s="1"/>
  <c r="L72" i="63" a="1"/>
  <c r="L72" i="63" s="1"/>
  <c r="L65" i="63" a="1"/>
  <c r="L65" i="63" s="1"/>
  <c r="P12" i="49"/>
  <c r="J211" i="63" a="1"/>
  <c r="J211" i="63" s="1"/>
  <c r="J247" i="63" s="1"/>
  <c r="J205" i="63" a="1"/>
  <c r="J205" i="63" s="1"/>
  <c r="J241" i="63" s="1"/>
  <c r="J213" i="63" a="1"/>
  <c r="J213" i="63" s="1"/>
  <c r="J249" i="63" s="1"/>
  <c r="J206" i="63" a="1"/>
  <c r="J206" i="63" s="1"/>
  <c r="J242" i="63" s="1"/>
  <c r="J215" i="63" a="1"/>
  <c r="J215" i="63" s="1"/>
  <c r="J251" i="63" s="1"/>
  <c r="J214" i="63" a="1"/>
  <c r="J214" i="63" s="1"/>
  <c r="J250" i="63" s="1"/>
  <c r="J212" i="63" a="1"/>
  <c r="J212" i="63" s="1"/>
  <c r="J248" i="63" s="1"/>
  <c r="H203" i="63" a="1"/>
  <c r="H203" i="63" s="1"/>
  <c r="H239" i="63" s="1"/>
  <c r="H201" i="63" a="1"/>
  <c r="H201" i="63" s="1"/>
  <c r="H237" i="63" s="1"/>
  <c r="H197" i="63" a="1"/>
  <c r="H197" i="63" s="1"/>
  <c r="H233" i="63" s="1"/>
  <c r="H204" i="63" a="1"/>
  <c r="H204" i="63" s="1"/>
  <c r="H240" i="63" s="1"/>
  <c r="H198" i="63" a="1"/>
  <c r="H198" i="63" s="1"/>
  <c r="H234" i="63" s="1"/>
  <c r="H199" i="63" a="1"/>
  <c r="H199" i="63" s="1"/>
  <c r="H235" i="63" s="1"/>
  <c r="H196" i="63" a="1"/>
  <c r="H196" i="63" s="1"/>
  <c r="H232" i="63" s="1"/>
  <c r="H200" i="63" a="1"/>
  <c r="H200" i="63" s="1"/>
  <c r="H236" i="63" s="1"/>
  <c r="H202" i="63" a="1"/>
  <c r="H202" i="63" s="1"/>
  <c r="H238" i="63" s="1"/>
  <c r="P97" i="53" a="1"/>
  <c r="P97" i="53" s="1"/>
  <c r="P62" i="53" s="1"/>
  <c r="J112" i="51" a="1"/>
  <c r="J112" i="51" s="1"/>
  <c r="J147" i="51" s="1" a="1"/>
  <c r="J147" i="51" s="1"/>
  <c r="R142" i="51" a="1"/>
  <c r="R142" i="51" s="1"/>
  <c r="U141" i="51" a="1"/>
  <c r="U141" i="51" s="1"/>
  <c r="R141" i="51" a="1"/>
  <c r="R141" i="51" s="1"/>
  <c r="L97" i="53" a="1"/>
  <c r="L97" i="53" s="1"/>
  <c r="L62" i="53" s="1"/>
  <c r="Q141" i="51" a="1"/>
  <c r="Q141" i="51" s="1"/>
  <c r="J114" i="51" a="1"/>
  <c r="J114" i="51" s="1"/>
  <c r="J149" i="51" s="1" a="1"/>
  <c r="J149" i="51" s="1"/>
  <c r="J111" i="51" a="1"/>
  <c r="J111" i="51" s="1"/>
  <c r="K111" i="51" a="1"/>
  <c r="K111" i="51" s="1"/>
  <c r="T142" i="51" a="1"/>
  <c r="T142" i="51" s="1"/>
  <c r="O97" i="53" a="1"/>
  <c r="O97" i="53" s="1"/>
  <c r="O62" i="53" s="1"/>
  <c r="T141" i="51" a="1"/>
  <c r="T141" i="51" s="1"/>
  <c r="J113" i="51" a="1"/>
  <c r="J113" i="51" s="1"/>
  <c r="J148" i="51" s="1" a="1"/>
  <c r="J148" i="51" s="1"/>
  <c r="R99" i="67" a="1"/>
  <c r="R99" i="67" s="1"/>
  <c r="K113" i="51" a="1"/>
  <c r="K113" i="51" s="1"/>
  <c r="K148" i="51" s="1" a="1"/>
  <c r="K148" i="51" s="1"/>
  <c r="K106" i="51" a="1"/>
  <c r="K106" i="51" s="1"/>
  <c r="L174" i="63"/>
  <c r="S106" i="51" a="1"/>
  <c r="S106" i="51" s="1"/>
  <c r="J175" i="63"/>
  <c r="U107" i="51" a="1"/>
  <c r="U107" i="51" s="1"/>
  <c r="L177" i="63"/>
  <c r="I106" i="51" a="1"/>
  <c r="I106" i="51" s="1"/>
  <c r="J174" i="63"/>
  <c r="H106" i="51" a="1"/>
  <c r="H106" i="51" s="1"/>
  <c r="I174" i="63"/>
  <c r="J106" i="51" a="1"/>
  <c r="J106" i="51" s="1"/>
  <c r="K174" i="63"/>
  <c r="P99" i="67" a="1"/>
  <c r="P99" i="67" s="1"/>
  <c r="S142" i="51" a="1"/>
  <c r="S142" i="51" s="1"/>
  <c r="G106" i="51" a="1"/>
  <c r="G106" i="51" s="1"/>
  <c r="G141" i="51" s="1" a="1"/>
  <c r="G141" i="51" s="1"/>
  <c r="H174" i="63"/>
  <c r="Q107" i="51" a="1"/>
  <c r="Q107" i="51" s="1"/>
  <c r="H177" i="63"/>
  <c r="K67" i="51" a="1"/>
  <c r="K67" i="51" s="1"/>
  <c r="L46" i="63"/>
  <c r="I66" i="51" a="1"/>
  <c r="I66" i="51" s="1"/>
  <c r="J44" i="63"/>
  <c r="G67" i="51" a="1"/>
  <c r="G67" i="51" s="1"/>
  <c r="H46" i="63"/>
  <c r="K66" i="51" a="1"/>
  <c r="K66" i="51" s="1"/>
  <c r="L44" i="63"/>
  <c r="H67" i="51" a="1"/>
  <c r="H67" i="51" s="1"/>
  <c r="I46" i="63"/>
  <c r="T32" i="51" a="1"/>
  <c r="T32" i="51" s="1"/>
  <c r="T67" i="51" s="1" a="1"/>
  <c r="T67" i="51" s="1"/>
  <c r="K47" i="63"/>
  <c r="S31" i="51" a="1"/>
  <c r="S31" i="51" s="1"/>
  <c r="J45" i="63"/>
  <c r="U31" i="51" a="1"/>
  <c r="U31" i="51" s="1"/>
  <c r="L45" i="63"/>
  <c r="K114" i="51" a="1"/>
  <c r="K114" i="51" s="1"/>
  <c r="K149" i="51" s="1" a="1"/>
  <c r="K149" i="51" s="1"/>
  <c r="J67" i="51" a="1"/>
  <c r="J67" i="51" s="1"/>
  <c r="K46" i="63"/>
  <c r="J66" i="51" a="1"/>
  <c r="J66" i="51" s="1"/>
  <c r="K44" i="63"/>
  <c r="T31" i="51" a="1"/>
  <c r="T31" i="51" s="1"/>
  <c r="K45" i="63"/>
  <c r="I67" i="51" a="1"/>
  <c r="I67" i="51" s="1"/>
  <c r="J46" i="63"/>
  <c r="R31" i="51" a="1"/>
  <c r="R31" i="51" s="1"/>
  <c r="I45" i="63"/>
  <c r="H66" i="51" a="1"/>
  <c r="H66" i="51" s="1"/>
  <c r="I44" i="63"/>
  <c r="K112" i="51" a="1"/>
  <c r="K112" i="51" s="1"/>
  <c r="K147" i="51" s="1" a="1"/>
  <c r="K147" i="51" s="1"/>
  <c r="L240" i="49"/>
  <c r="P240" i="49" s="1"/>
  <c r="I184" i="63"/>
  <c r="T113" i="51" a="1"/>
  <c r="T113" i="51" s="1"/>
  <c r="T111" i="51" a="1"/>
  <c r="T111" i="51" s="1"/>
  <c r="T112" i="51" a="1"/>
  <c r="T112" i="51" s="1"/>
  <c r="U113" i="51" a="1"/>
  <c r="U113" i="51" s="1"/>
  <c r="U112" i="51" a="1"/>
  <c r="U112" i="51" s="1"/>
  <c r="U111" i="51" a="1"/>
  <c r="U111" i="51" s="1"/>
  <c r="M375" i="49"/>
  <c r="M376" i="49" s="1"/>
  <c r="J145" i="63" s="1" a="1"/>
  <c r="J145" i="63" s="1"/>
  <c r="J170" i="63" s="1" a="1"/>
  <c r="J170" i="63" s="1"/>
  <c r="K375" i="49"/>
  <c r="K376" i="49" s="1"/>
  <c r="H145" i="63" s="1" a="1"/>
  <c r="H145" i="63" s="1"/>
  <c r="H170" i="63" s="1" a="1"/>
  <c r="H170" i="63" s="1"/>
  <c r="O375" i="49"/>
  <c r="O376" i="49" s="1"/>
  <c r="L145" i="63" s="1"/>
  <c r="L170" i="63" s="1" a="1"/>
  <c r="L170" i="63" s="1"/>
  <c r="N375" i="49"/>
  <c r="N376" i="49" s="1"/>
  <c r="K145" i="63" s="1" a="1"/>
  <c r="K145" i="63" s="1"/>
  <c r="K170" i="63" s="1" a="1"/>
  <c r="K170" i="63" s="1"/>
  <c r="G31" i="51" a="1"/>
  <c r="G31" i="51" s="1"/>
  <c r="G66" i="51" s="1" a="1"/>
  <c r="G66" i="51" s="1"/>
  <c r="M142" i="49"/>
  <c r="M143" i="49" s="1"/>
  <c r="J15" i="63" s="1" a="1"/>
  <c r="J15" i="63" s="1"/>
  <c r="J40" i="63" s="1" a="1"/>
  <c r="J40" i="63" s="1"/>
  <c r="K142" i="49"/>
  <c r="K143" i="49" s="1"/>
  <c r="H15" i="63" s="1" a="1"/>
  <c r="H15" i="63" s="1"/>
  <c r="H40" i="63" s="1" a="1"/>
  <c r="H40" i="63" s="1"/>
  <c r="O142" i="49"/>
  <c r="O143" i="49" s="1"/>
  <c r="L15" i="63" s="1" a="1"/>
  <c r="L15" i="63" s="1"/>
  <c r="L40" i="63" s="1" a="1"/>
  <c r="L40" i="63" s="1"/>
  <c r="L142" i="49"/>
  <c r="L143" i="49" s="1"/>
  <c r="I15" i="63" s="1" a="1"/>
  <c r="I15" i="63" s="1"/>
  <c r="I40" i="63" s="1" a="1"/>
  <c r="I40" i="63" s="1"/>
  <c r="N143" i="49"/>
  <c r="K15" i="63" s="1" a="1"/>
  <c r="K15" i="63" s="1"/>
  <c r="K40" i="63" s="1" a="1"/>
  <c r="K40" i="63" s="1"/>
  <c r="L375" i="49"/>
  <c r="L376" i="49" s="1"/>
  <c r="I145" i="63" s="1" a="1"/>
  <c r="I145" i="63" s="1"/>
  <c r="I170" i="63" s="1" a="1"/>
  <c r="I170" i="63" s="1"/>
  <c r="H19" i="63" a="1"/>
  <c r="H19" i="63" s="1"/>
  <c r="H31" i="63" s="1" a="1"/>
  <c r="H31" i="63" s="1"/>
  <c r="L19" i="63" a="1"/>
  <c r="L19" i="63" s="1"/>
  <c r="L31" i="63" s="1" a="1"/>
  <c r="L31" i="63" s="1"/>
  <c r="I19" i="63" a="1"/>
  <c r="I19" i="63" s="1"/>
  <c r="I31" i="63" s="1" a="1"/>
  <c r="I31" i="63" s="1"/>
  <c r="O433" i="49"/>
  <c r="N433" i="49"/>
  <c r="M433" i="49"/>
  <c r="L433" i="49"/>
  <c r="K433" i="49"/>
  <c r="P299" i="49"/>
  <c r="Q299" i="49" s="1"/>
  <c r="L302" i="49"/>
  <c r="P302" i="49" s="1"/>
  <c r="Q302" i="49" s="1"/>
  <c r="P296" i="49"/>
  <c r="Q296" i="49" s="1"/>
  <c r="B5" i="51"/>
  <c r="B80" i="51" s="1"/>
  <c r="P305" i="49"/>
  <c r="Q305" i="49" s="1"/>
  <c r="B5" i="50"/>
  <c r="B19" i="50" s="1"/>
  <c r="C94" i="44"/>
  <c r="C87" i="44"/>
  <c r="C139" i="44"/>
  <c r="C132" i="44"/>
  <c r="C124" i="44"/>
  <c r="C117" i="44"/>
  <c r="C110" i="44"/>
  <c r="C101" i="44"/>
  <c r="C72" i="44"/>
  <c r="K178" i="63" l="1"/>
  <c r="I178" i="63"/>
  <c r="L178" i="63"/>
  <c r="H178" i="63"/>
  <c r="J178" i="63"/>
  <c r="L32" i="67" a="1"/>
  <c r="L32" i="67" s="1"/>
  <c r="L104" i="67" a="1"/>
  <c r="L104" i="67" s="1"/>
  <c r="K32" i="67" a="1"/>
  <c r="K32" i="67" s="1"/>
  <c r="K104" i="67" a="1"/>
  <c r="K104" i="67" s="1"/>
  <c r="K146" i="51" a="1"/>
  <c r="K146" i="51" s="1"/>
  <c r="S104" i="67" a="1"/>
  <c r="S104" i="67" s="1"/>
  <c r="S32" i="67" a="1"/>
  <c r="S32" i="67" s="1"/>
  <c r="J146" i="51" a="1"/>
  <c r="J146" i="51" s="1"/>
  <c r="R104" i="67" a="1"/>
  <c r="R104" i="67" s="1"/>
  <c r="R32" i="67" a="1"/>
  <c r="R32" i="67" s="1"/>
  <c r="I39" i="51" a="1"/>
  <c r="I39" i="51" s="1"/>
  <c r="I74" i="51" s="1" a="1"/>
  <c r="I74" i="51" s="1"/>
  <c r="I38" i="51" a="1"/>
  <c r="I38" i="51" s="1"/>
  <c r="I73" i="51" s="1" a="1"/>
  <c r="I73" i="51" s="1"/>
  <c r="H38" i="51" a="1"/>
  <c r="H38" i="51" s="1"/>
  <c r="H73" i="51" s="1" a="1"/>
  <c r="H73" i="51" s="1"/>
  <c r="J37" i="51" a="1"/>
  <c r="J37" i="51" s="1"/>
  <c r="J72" i="51" s="1" a="1"/>
  <c r="J72" i="51" s="1"/>
  <c r="H48" i="63"/>
  <c r="G33" i="51" a="1"/>
  <c r="G33" i="51" s="1"/>
  <c r="G68" i="51" s="1" a="1"/>
  <c r="G68" i="51" s="1"/>
  <c r="I37" i="51" a="1"/>
  <c r="I37" i="51" s="1"/>
  <c r="I72" i="51" s="1" a="1"/>
  <c r="I72" i="51" s="1"/>
  <c r="J39" i="51" a="1"/>
  <c r="J39" i="51" s="1"/>
  <c r="J74" i="51" s="1" a="1"/>
  <c r="J74" i="51" s="1"/>
  <c r="H39" i="51" a="1"/>
  <c r="H39" i="51" s="1"/>
  <c r="H74" i="51" s="1" a="1"/>
  <c r="H74" i="51" s="1"/>
  <c r="J38" i="51" a="1"/>
  <c r="J38" i="51" s="1"/>
  <c r="J73" i="51" s="1" a="1"/>
  <c r="J73" i="51" s="1"/>
  <c r="L48" i="63"/>
  <c r="K33" i="51" a="1"/>
  <c r="K33" i="51" s="1"/>
  <c r="K68" i="51" s="1" a="1"/>
  <c r="K68" i="51" s="1"/>
  <c r="J48" i="63"/>
  <c r="I33" i="51" a="1"/>
  <c r="I33" i="51" s="1"/>
  <c r="I68" i="51" s="1" a="1"/>
  <c r="I68" i="51" s="1"/>
  <c r="I36" i="51" a="1"/>
  <c r="I36" i="51" s="1"/>
  <c r="I71" i="51" s="1" a="1"/>
  <c r="I71" i="51" s="1"/>
  <c r="J36" i="51" a="1"/>
  <c r="J36" i="51" s="1"/>
  <c r="J71" i="51" s="1" a="1"/>
  <c r="J71" i="51" s="1"/>
  <c r="K48" i="63"/>
  <c r="J33" i="51" a="1"/>
  <c r="J33" i="51" s="1"/>
  <c r="J68" i="51" s="1" a="1"/>
  <c r="J68" i="51" s="1"/>
  <c r="H36" i="51" a="1"/>
  <c r="H36" i="51" s="1"/>
  <c r="H71" i="51" s="1" a="1"/>
  <c r="H71" i="51" s="1"/>
  <c r="I48" i="63"/>
  <c r="H33" i="51" a="1"/>
  <c r="H33" i="51" s="1"/>
  <c r="H68" i="51" s="1" a="1"/>
  <c r="H68" i="51" s="1"/>
  <c r="H37" i="51" a="1"/>
  <c r="H37" i="51" s="1"/>
  <c r="H72" i="51" s="1" a="1"/>
  <c r="H72" i="51" s="1"/>
  <c r="Q109" i="51" a="1"/>
  <c r="Q109" i="51" s="1"/>
  <c r="L110" i="63"/>
  <c r="J110" i="63"/>
  <c r="S38" i="51" a="1"/>
  <c r="S38" i="51" s="1"/>
  <c r="S73" i="51" s="1" a="1"/>
  <c r="S73" i="51" s="1"/>
  <c r="I101" i="63"/>
  <c r="R36" i="51" a="1"/>
  <c r="R36" i="51" s="1"/>
  <c r="L109" i="63"/>
  <c r="J107" i="63"/>
  <c r="L75" i="63" a="1"/>
  <c r="L75" i="63" s="1"/>
  <c r="L111" i="63" s="1"/>
  <c r="L84" i="63" a="1"/>
  <c r="L84" i="63" s="1"/>
  <c r="L120" i="63" s="1"/>
  <c r="L82" i="63" a="1"/>
  <c r="L82" i="63" s="1"/>
  <c r="L118" i="63" s="1"/>
  <c r="L76" i="63" a="1"/>
  <c r="L76" i="63" s="1"/>
  <c r="L112" i="63" s="1"/>
  <c r="L83" i="63" a="1"/>
  <c r="L83" i="63" s="1"/>
  <c r="L119" i="63" s="1"/>
  <c r="L81" i="63" a="1"/>
  <c r="L81" i="63" s="1"/>
  <c r="L117" i="63" s="1"/>
  <c r="L85" i="63" a="1"/>
  <c r="L85" i="63" s="1"/>
  <c r="L121" i="63" s="1"/>
  <c r="K108" i="63"/>
  <c r="T37" i="51" a="1"/>
  <c r="T37" i="51" s="1"/>
  <c r="T72" i="51" s="1" a="1"/>
  <c r="T72" i="51" s="1"/>
  <c r="L100" i="63"/>
  <c r="I109" i="63"/>
  <c r="K106" i="63"/>
  <c r="J108" i="63"/>
  <c r="S37" i="51" a="1"/>
  <c r="S37" i="51" s="1"/>
  <c r="S72" i="51" s="1" a="1"/>
  <c r="S72" i="51" s="1"/>
  <c r="I106" i="63"/>
  <c r="K109" i="63"/>
  <c r="L101" i="63"/>
  <c r="J106" i="63"/>
  <c r="R38" i="51" a="1"/>
  <c r="R38" i="51" s="1"/>
  <c r="R73" i="51" s="1" a="1"/>
  <c r="R73" i="51" s="1"/>
  <c r="I110" i="63"/>
  <c r="K107" i="63"/>
  <c r="L108" i="63"/>
  <c r="J100" i="63"/>
  <c r="I108" i="63"/>
  <c r="R37" i="51" a="1"/>
  <c r="R37" i="51" s="1"/>
  <c r="R72" i="51" s="1" a="1"/>
  <c r="R72" i="51" s="1"/>
  <c r="K100" i="63"/>
  <c r="L107" i="63"/>
  <c r="J101" i="63"/>
  <c r="S36" i="51" a="1"/>
  <c r="S36" i="51" s="1"/>
  <c r="I100" i="63"/>
  <c r="K110" i="63"/>
  <c r="T38" i="51" a="1"/>
  <c r="T38" i="51" s="1"/>
  <c r="T73" i="51" s="1" a="1"/>
  <c r="T73" i="51" s="1"/>
  <c r="L106" i="63"/>
  <c r="J109" i="63"/>
  <c r="I107" i="63"/>
  <c r="K101" i="63"/>
  <c r="T36" i="51" a="1"/>
  <c r="T36" i="51" s="1"/>
  <c r="G112" i="51" a="1"/>
  <c r="G112" i="51" s="1"/>
  <c r="G147" i="51" s="1" a="1"/>
  <c r="G147" i="51" s="1"/>
  <c r="G110" i="51" a="1"/>
  <c r="G110" i="51" s="1"/>
  <c r="G114" i="51" a="1"/>
  <c r="G114" i="51" s="1"/>
  <c r="G149" i="51" s="1" a="1"/>
  <c r="G149" i="51" s="1"/>
  <c r="Q112" i="51" a="1"/>
  <c r="Q112" i="51" s="1"/>
  <c r="Q147" i="51" s="1" a="1"/>
  <c r="Q147" i="51" s="1"/>
  <c r="G113" i="51" a="1"/>
  <c r="G113" i="51" s="1"/>
  <c r="G148" i="51" s="1" a="1"/>
  <c r="G148" i="51" s="1"/>
  <c r="I203" i="63" a="1"/>
  <c r="I203" i="63" s="1"/>
  <c r="I239" i="63" s="1"/>
  <c r="I202" i="63" a="1"/>
  <c r="I202" i="63" s="1"/>
  <c r="I238" i="63" s="1"/>
  <c r="I204" i="63" a="1"/>
  <c r="I204" i="63" s="1"/>
  <c r="I240" i="63" s="1"/>
  <c r="I195" i="63" a="1"/>
  <c r="I195" i="63" s="1"/>
  <c r="I231" i="63" s="1"/>
  <c r="I194" i="63" a="1"/>
  <c r="I194" i="63" s="1"/>
  <c r="I230" i="63" s="1"/>
  <c r="I201" i="63" a="1"/>
  <c r="I201" i="63" s="1"/>
  <c r="I237" i="63" s="1"/>
  <c r="I200" i="63" a="1"/>
  <c r="I200" i="63" s="1"/>
  <c r="I236" i="63" s="1"/>
  <c r="J141" i="51" a="1"/>
  <c r="J141" i="51" s="1"/>
  <c r="Q99" i="67" a="1"/>
  <c r="Q99" i="67" s="1"/>
  <c r="N99" i="67" s="1"/>
  <c r="G53" i="74" s="1" a="1"/>
  <c r="G53" i="74" s="1"/>
  <c r="H141" i="51" a="1"/>
  <c r="H141" i="51" s="1"/>
  <c r="K141" i="51" a="1"/>
  <c r="K141" i="51" s="1"/>
  <c r="I141" i="51" a="1"/>
  <c r="I141" i="51" s="1"/>
  <c r="F97" i="52" a="1"/>
  <c r="F97" i="52" s="1"/>
  <c r="F62" i="52" s="1"/>
  <c r="T66" i="51" a="1"/>
  <c r="T66" i="51" s="1"/>
  <c r="G97" i="53" a="1"/>
  <c r="G97" i="53" s="1"/>
  <c r="G62" i="53" s="1"/>
  <c r="U66" i="51" a="1"/>
  <c r="U66" i="51" s="1"/>
  <c r="H97" i="53" a="1"/>
  <c r="H97" i="53" s="1"/>
  <c r="H62" i="53" s="1"/>
  <c r="F97" i="53" a="1"/>
  <c r="F97" i="53" s="1"/>
  <c r="F62" i="53" s="1"/>
  <c r="I99" i="67" a="1"/>
  <c r="I99" i="67" s="1"/>
  <c r="E97" i="53" a="1"/>
  <c r="E97" i="53" s="1"/>
  <c r="E62" i="53" s="1"/>
  <c r="U142" i="51" a="1"/>
  <c r="U142" i="51" s="1"/>
  <c r="N97" i="52" a="1"/>
  <c r="N97" i="52" s="1"/>
  <c r="N62" i="52" s="1"/>
  <c r="H97" i="52" a="1"/>
  <c r="H97" i="52" s="1"/>
  <c r="H62" i="52" s="1"/>
  <c r="R27" i="67" a="1"/>
  <c r="R27" i="67" s="1"/>
  <c r="L27" i="67" a="1"/>
  <c r="L27" i="67" s="1"/>
  <c r="S27" i="67" a="1"/>
  <c r="S27" i="67" s="1"/>
  <c r="L97" i="52" a="1"/>
  <c r="L97" i="52" s="1"/>
  <c r="L62" i="52" s="1"/>
  <c r="Q27" i="67" a="1"/>
  <c r="Q27" i="67" s="1"/>
  <c r="O27" i="67" a="1"/>
  <c r="O27" i="67" s="1"/>
  <c r="R66" i="51" a="1"/>
  <c r="R66" i="51" s="1"/>
  <c r="P97" i="52" a="1"/>
  <c r="P97" i="52" s="1"/>
  <c r="P62" i="52" s="1"/>
  <c r="E97" i="52" a="1"/>
  <c r="E97" i="52" s="1"/>
  <c r="E62" i="52" s="1"/>
  <c r="K99" i="67" a="1"/>
  <c r="K99" i="67" s="1"/>
  <c r="M97" i="52" a="1"/>
  <c r="M97" i="52" s="1"/>
  <c r="M62" i="52" s="1"/>
  <c r="P27" i="67" a="1"/>
  <c r="P27" i="67" s="1"/>
  <c r="Q142" i="51" a="1"/>
  <c r="Q142" i="51" s="1"/>
  <c r="O97" i="52" a="1"/>
  <c r="O97" i="52" s="1"/>
  <c r="O62" i="52" s="1"/>
  <c r="J27" i="67" a="1"/>
  <c r="J27" i="67" s="1"/>
  <c r="I27" i="67" a="1"/>
  <c r="I27" i="67" s="1"/>
  <c r="Q113" i="51" a="1"/>
  <c r="Q113" i="51" s="1"/>
  <c r="Q148" i="51" s="1" a="1"/>
  <c r="Q148" i="51" s="1"/>
  <c r="I113" i="51" a="1"/>
  <c r="I113" i="51" s="1"/>
  <c r="I148" i="51" s="1" a="1"/>
  <c r="I148" i="51" s="1"/>
  <c r="I112" i="51" a="1"/>
  <c r="I112" i="51" s="1"/>
  <c r="I147" i="51" s="1" a="1"/>
  <c r="I147" i="51" s="1"/>
  <c r="N97" i="53" a="1"/>
  <c r="N97" i="53" s="1"/>
  <c r="N62" i="53" s="1"/>
  <c r="S141" i="51" a="1"/>
  <c r="S141" i="51" s="1"/>
  <c r="G108" i="51" a="1"/>
  <c r="G108" i="51" s="1"/>
  <c r="G143" i="51" s="1" a="1"/>
  <c r="G143" i="51" s="1"/>
  <c r="L99" i="67" a="1"/>
  <c r="L99" i="67" s="1"/>
  <c r="G109" i="51" a="1"/>
  <c r="G109" i="51" s="1"/>
  <c r="J99" i="67" a="1"/>
  <c r="J99" i="67" s="1"/>
  <c r="I111" i="51" a="1"/>
  <c r="I111" i="51" s="1"/>
  <c r="R32" i="51" a="1"/>
  <c r="R32" i="51" s="1"/>
  <c r="R67" i="51" s="1" a="1"/>
  <c r="R67" i="51" s="1"/>
  <c r="I47" i="63"/>
  <c r="Q32" i="51" a="1"/>
  <c r="Q32" i="51" s="1"/>
  <c r="Q67" i="51" s="1" a="1"/>
  <c r="Q67" i="51" s="1"/>
  <c r="H47" i="63"/>
  <c r="S66" i="51" a="1"/>
  <c r="S66" i="51" s="1"/>
  <c r="U32" i="51" a="1"/>
  <c r="U32" i="51" s="1"/>
  <c r="U67" i="51" s="1" a="1"/>
  <c r="U67" i="51" s="1"/>
  <c r="L47" i="63"/>
  <c r="I114" i="51" a="1"/>
  <c r="I114" i="51" s="1"/>
  <c r="I149" i="51" s="1" a="1"/>
  <c r="I149" i="51" s="1"/>
  <c r="K27" i="67" a="1"/>
  <c r="K27" i="67" s="1"/>
  <c r="G97" i="52" a="1"/>
  <c r="G97" i="52" s="1"/>
  <c r="G62" i="52" s="1"/>
  <c r="Q110" i="51" a="1"/>
  <c r="Q110" i="51" s="1"/>
  <c r="T148" i="51" a="1"/>
  <c r="T148" i="51" s="1"/>
  <c r="U147" i="51" a="1"/>
  <c r="U147" i="51" s="1"/>
  <c r="U148" i="51" a="1"/>
  <c r="U148" i="51" s="1"/>
  <c r="T147" i="51" a="1"/>
  <c r="T147" i="51" s="1"/>
  <c r="S113" i="51" a="1"/>
  <c r="S113" i="51" s="1"/>
  <c r="O102" i="52" a="1"/>
  <c r="O102" i="52" s="1"/>
  <c r="S112" i="51" a="1"/>
  <c r="S112" i="51" s="1"/>
  <c r="S111" i="51" a="1"/>
  <c r="S111" i="51" s="1"/>
  <c r="P102" i="52" a="1"/>
  <c r="P102" i="52" s="1"/>
  <c r="P102" i="53" a="1"/>
  <c r="P102" i="53" s="1"/>
  <c r="U146" i="51" a="1"/>
  <c r="U146" i="51" s="1"/>
  <c r="T146" i="51" a="1"/>
  <c r="T146" i="51" s="1"/>
  <c r="O102" i="53" a="1"/>
  <c r="O102" i="53" s="1"/>
  <c r="J19" i="63" a="1"/>
  <c r="J19" i="63" s="1"/>
  <c r="J31" i="63" s="1" a="1"/>
  <c r="J31" i="63" s="1"/>
  <c r="L434" i="49"/>
  <c r="I147" i="63" s="1" a="1"/>
  <c r="I147" i="63" s="1"/>
  <c r="N434" i="49"/>
  <c r="K147" i="63" s="1" a="1"/>
  <c r="K147" i="63" s="1"/>
  <c r="K434" i="49"/>
  <c r="H147" i="63" s="1" a="1"/>
  <c r="H147" i="63" s="1"/>
  <c r="M434" i="49"/>
  <c r="J147" i="63" s="1" a="1"/>
  <c r="J147" i="63" s="1"/>
  <c r="O434" i="49"/>
  <c r="L147" i="63" s="1" a="1"/>
  <c r="L147" i="63" s="1"/>
  <c r="K297" i="49"/>
  <c r="K295" i="49" s="1"/>
  <c r="O297" i="49"/>
  <c r="O295" i="49" s="1"/>
  <c r="M297" i="49"/>
  <c r="M295" i="49" s="1"/>
  <c r="L49" i="52"/>
  <c r="L47" i="52"/>
  <c r="L50" i="52"/>
  <c r="L49" i="53"/>
  <c r="L50" i="53"/>
  <c r="L47" i="53"/>
  <c r="B33" i="50"/>
  <c r="D49" i="53"/>
  <c r="D47" i="53"/>
  <c r="D50" i="53"/>
  <c r="N71" i="52"/>
  <c r="E71" i="53"/>
  <c r="F71" i="53"/>
  <c r="M71" i="52"/>
  <c r="H71" i="53"/>
  <c r="L71" i="52"/>
  <c r="O71" i="52"/>
  <c r="L71" i="53"/>
  <c r="G71" i="53"/>
  <c r="D71" i="53"/>
  <c r="P71" i="53"/>
  <c r="O71" i="53"/>
  <c r="M71" i="53"/>
  <c r="N71" i="53"/>
  <c r="P71" i="52"/>
  <c r="G71" i="52"/>
  <c r="F71" i="52"/>
  <c r="D71" i="52"/>
  <c r="H71" i="52"/>
  <c r="E71" i="52"/>
  <c r="D49" i="52"/>
  <c r="D50" i="52"/>
  <c r="G234" i="44" a="1"/>
  <c r="G234" i="44" s="1"/>
  <c r="K214" i="44" a="1"/>
  <c r="K214" i="44" s="1"/>
  <c r="K159" i="44" a="1"/>
  <c r="K159" i="44" s="1"/>
  <c r="K110" i="67"/>
  <c r="J17" i="44"/>
  <c r="K164" i="44" a="1"/>
  <c r="K164" i="44" s="1"/>
  <c r="H221" i="44" a="1"/>
  <c r="H221" i="44" s="1"/>
  <c r="K229" i="44" a="1"/>
  <c r="K229" i="44" s="1"/>
  <c r="J110" i="67"/>
  <c r="I164" i="44" a="1"/>
  <c r="I164" i="44" s="1"/>
  <c r="G240" i="44" a="1"/>
  <c r="G240" i="44" s="1"/>
  <c r="H229" i="44" a="1"/>
  <c r="H229" i="44" s="1"/>
  <c r="J158" i="44" a="1"/>
  <c r="J158" i="44" s="1"/>
  <c r="G159" i="44" a="1"/>
  <c r="G159" i="44" s="1"/>
  <c r="H228" i="44" a="1"/>
  <c r="H228" i="44" s="1"/>
  <c r="K240" i="44" a="1"/>
  <c r="K240" i="44" s="1"/>
  <c r="I240" i="44" a="1"/>
  <c r="I240" i="44" s="1"/>
  <c r="H159" i="44" a="1"/>
  <c r="H159" i="44" s="1"/>
  <c r="H110" i="67"/>
  <c r="H158" i="44" a="1"/>
  <c r="H158" i="44" s="1"/>
  <c r="J234" i="44" a="1"/>
  <c r="J234" i="44" s="1"/>
  <c r="I17" i="44"/>
  <c r="J214" i="44" a="1"/>
  <c r="J214" i="44" s="1"/>
  <c r="I110" i="67"/>
  <c r="H164" i="44" a="1"/>
  <c r="H164" i="44" s="1"/>
  <c r="J34" i="44"/>
  <c r="K215" i="44" a="1"/>
  <c r="K215" i="44" s="1"/>
  <c r="H34" i="44"/>
  <c r="I215" i="44" a="1"/>
  <c r="I215" i="44" s="1"/>
  <c r="I220" i="44" a="1"/>
  <c r="I220" i="44" s="1"/>
  <c r="G229" i="44" a="1"/>
  <c r="G229" i="44" s="1"/>
  <c r="K220" i="44" a="1"/>
  <c r="K220" i="44" s="1"/>
  <c r="G215" i="44" a="1"/>
  <c r="G215" i="44" s="1"/>
  <c r="H240" i="44" a="1"/>
  <c r="H240" i="44" s="1"/>
  <c r="G221" i="44" a="1"/>
  <c r="G221" i="44" s="1"/>
  <c r="G34" i="44"/>
  <c r="J221" i="44" a="1"/>
  <c r="J221" i="44" s="1"/>
  <c r="L110" i="67"/>
  <c r="J240" i="44" a="1"/>
  <c r="J240" i="44" s="1"/>
  <c r="J228" i="44" a="1"/>
  <c r="J228" i="44" s="1"/>
  <c r="J229" i="44" a="1"/>
  <c r="J229" i="44" s="1"/>
  <c r="O71" i="67"/>
  <c r="O61" i="67" s="1"/>
  <c r="H17" i="44"/>
  <c r="I214" i="44" a="1"/>
  <c r="I214" i="44" s="1"/>
  <c r="H220" i="44" a="1"/>
  <c r="H220" i="44" s="1"/>
  <c r="I34" i="44"/>
  <c r="J215" i="44" a="1"/>
  <c r="J215" i="44" s="1"/>
  <c r="G228" i="44" a="1"/>
  <c r="G228" i="44" s="1"/>
  <c r="I159" i="44" a="1"/>
  <c r="I159" i="44" s="1"/>
  <c r="J159" i="44" a="1"/>
  <c r="J159" i="44" s="1"/>
  <c r="J220" i="44" a="1"/>
  <c r="J220" i="44" s="1"/>
  <c r="I234" i="44" a="1"/>
  <c r="I234" i="44" s="1"/>
  <c r="K34" i="44"/>
  <c r="G214" i="44" a="1"/>
  <c r="G214" i="44" s="1"/>
  <c r="K228" i="44" a="1"/>
  <c r="K228" i="44" s="1"/>
  <c r="K221" i="44" a="1"/>
  <c r="K221" i="44" s="1"/>
  <c r="G158" i="44" a="1"/>
  <c r="G158" i="44" s="1"/>
  <c r="I228" i="44" a="1"/>
  <c r="I228" i="44" s="1"/>
  <c r="K17" i="44"/>
  <c r="H215" i="44" a="1"/>
  <c r="H215" i="44" s="1"/>
  <c r="G164" i="44" a="1"/>
  <c r="G164" i="44" s="1"/>
  <c r="J164" i="44" a="1"/>
  <c r="J164" i="44" s="1"/>
  <c r="H234" i="44" a="1"/>
  <c r="H234" i="44" s="1"/>
  <c r="I229" i="44" a="1"/>
  <c r="I229" i="44" s="1"/>
  <c r="H214" i="44" a="1"/>
  <c r="H214" i="44" s="1"/>
  <c r="K158" i="44" a="1"/>
  <c r="K158" i="44" s="1"/>
  <c r="G220" i="44" a="1"/>
  <c r="G220" i="44" s="1"/>
  <c r="I158" i="44" a="1"/>
  <c r="I158" i="44" s="1"/>
  <c r="K234" i="44" a="1"/>
  <c r="K234" i="44" s="1"/>
  <c r="I221" i="44" a="1"/>
  <c r="I221" i="44" s="1"/>
  <c r="E10" i="48"/>
  <c r="E11" i="48"/>
  <c r="J104" i="67" l="1" a="1"/>
  <c r="J104" i="67" s="1"/>
  <c r="J32" i="67" a="1"/>
  <c r="J32" i="67" s="1"/>
  <c r="H102" i="67" a="1"/>
  <c r="H102" i="67" s="1"/>
  <c r="H30" i="67" a="1"/>
  <c r="H30" i="67" s="1"/>
  <c r="H31" i="67" a="1"/>
  <c r="H31" i="67" s="1"/>
  <c r="G31" i="67" s="1"/>
  <c r="H103" i="67" a="1"/>
  <c r="H103" i="67" s="1"/>
  <c r="I146" i="51" a="1"/>
  <c r="I146" i="51" s="1"/>
  <c r="Q32" i="67" a="1"/>
  <c r="Q32" i="67" s="1"/>
  <c r="Q104" i="67" a="1"/>
  <c r="Q104" i="67" s="1"/>
  <c r="G144" i="51" a="1"/>
  <c r="G144" i="51" s="1"/>
  <c r="O102" i="67" a="1"/>
  <c r="O102" i="67" s="1"/>
  <c r="N102" i="67" s="1"/>
  <c r="O30" i="67" a="1"/>
  <c r="O30" i="67" s="1"/>
  <c r="G145" i="51" a="1"/>
  <c r="G145" i="51" s="1"/>
  <c r="O103" i="67" a="1"/>
  <c r="O103" i="67" s="1"/>
  <c r="N103" i="67" s="1"/>
  <c r="O31" i="67" a="1"/>
  <c r="O31" i="67" s="1"/>
  <c r="N27" i="67"/>
  <c r="G13" i="74" s="1" a="1"/>
  <c r="G13" i="74" s="1"/>
  <c r="Q144" i="51" a="1"/>
  <c r="Q144" i="51" s="1"/>
  <c r="L100" i="53" a="1"/>
  <c r="L100" i="53" s="1"/>
  <c r="U36" i="51" a="1"/>
  <c r="U36" i="51" s="1"/>
  <c r="U71" i="51" s="1" a="1"/>
  <c r="U71" i="51" s="1"/>
  <c r="H114" i="51" a="1"/>
  <c r="H114" i="51" s="1"/>
  <c r="H149" i="51" s="1" a="1"/>
  <c r="H149" i="51" s="1"/>
  <c r="H113" i="51" a="1"/>
  <c r="H113" i="51" s="1"/>
  <c r="H148" i="51" s="1" a="1"/>
  <c r="H148" i="51" s="1"/>
  <c r="K37" i="51" a="1"/>
  <c r="K37" i="51" s="1"/>
  <c r="K72" i="51" s="1" a="1"/>
  <c r="K72" i="51" s="1"/>
  <c r="K39" i="51" a="1"/>
  <c r="K39" i="51" s="1"/>
  <c r="K74" i="51" s="1" a="1"/>
  <c r="K74" i="51" s="1"/>
  <c r="K36" i="51" a="1"/>
  <c r="K36" i="51" s="1"/>
  <c r="K71" i="51" s="1" a="1"/>
  <c r="K71" i="51" s="1"/>
  <c r="K38" i="51" a="1"/>
  <c r="K38" i="51" s="1"/>
  <c r="K73" i="51" s="1" a="1"/>
  <c r="K73" i="51" s="1"/>
  <c r="D97" i="52" a="1"/>
  <c r="D97" i="52" s="1"/>
  <c r="D62" i="52" s="1"/>
  <c r="I62" i="52" s="1"/>
  <c r="U37" i="51" a="1"/>
  <c r="U37" i="51" s="1"/>
  <c r="U72" i="51" s="1" a="1"/>
  <c r="U72" i="51" s="1"/>
  <c r="G102" i="53" a="1"/>
  <c r="G102" i="53" s="1"/>
  <c r="G63" i="53" s="1"/>
  <c r="T71" i="51" a="1"/>
  <c r="T71" i="51" s="1"/>
  <c r="G102" i="52" a="1"/>
  <c r="G102" i="52" s="1"/>
  <c r="G63" i="52" s="1"/>
  <c r="R71" i="51" a="1"/>
  <c r="R71" i="51" s="1"/>
  <c r="E102" i="53" a="1"/>
  <c r="E102" i="53" s="1"/>
  <c r="E63" i="53" s="1"/>
  <c r="E102" i="52" a="1"/>
  <c r="E102" i="52" s="1"/>
  <c r="E63" i="52" s="1"/>
  <c r="S71" i="51" a="1"/>
  <c r="S71" i="51" s="1"/>
  <c r="F102" i="53" a="1"/>
  <c r="F102" i="53" s="1"/>
  <c r="F63" i="53" s="1"/>
  <c r="F102" i="52" a="1"/>
  <c r="F102" i="52" s="1"/>
  <c r="F63" i="52" s="1"/>
  <c r="U38" i="51" a="1"/>
  <c r="U38" i="51" s="1"/>
  <c r="U73" i="51" s="1" a="1"/>
  <c r="U73" i="51" s="1"/>
  <c r="L101" i="52" a="1"/>
  <c r="L101" i="52" s="1"/>
  <c r="H111" i="51" a="1"/>
  <c r="H111" i="51" s="1"/>
  <c r="H112" i="51" a="1"/>
  <c r="H112" i="51" s="1"/>
  <c r="H147" i="51" s="1" a="1"/>
  <c r="H147" i="51" s="1"/>
  <c r="O63" i="52"/>
  <c r="K108" i="65" s="1"/>
  <c r="O63" i="53"/>
  <c r="P63" i="52"/>
  <c r="K109" i="65" s="1"/>
  <c r="P63" i="53"/>
  <c r="L101" i="53" a="1"/>
  <c r="L101" i="53" s="1"/>
  <c r="H27" i="67" a="1"/>
  <c r="H27" i="67" s="1"/>
  <c r="K108" i="51" a="1"/>
  <c r="K108" i="51" s="1"/>
  <c r="K143" i="51" s="1" a="1"/>
  <c r="K143" i="51" s="1"/>
  <c r="L100" i="52" a="1"/>
  <c r="L100" i="52" s="1"/>
  <c r="J108" i="51" a="1"/>
  <c r="J108" i="51" s="1"/>
  <c r="J143" i="51" s="1" a="1"/>
  <c r="J143" i="51" s="1"/>
  <c r="H108" i="51" a="1"/>
  <c r="H108" i="51" s="1"/>
  <c r="H143" i="51" s="1" a="1"/>
  <c r="H143" i="51" s="1"/>
  <c r="I108" i="51" a="1"/>
  <c r="I108" i="51" s="1"/>
  <c r="I143" i="51" s="1" a="1"/>
  <c r="I143" i="51" s="1"/>
  <c r="S32" i="51" a="1"/>
  <c r="S32" i="51" s="1"/>
  <c r="S67" i="51" s="1" a="1"/>
  <c r="S67" i="51" s="1"/>
  <c r="J47" i="63"/>
  <c r="Q145" i="51" a="1"/>
  <c r="Q145" i="51" s="1"/>
  <c r="L55" i="52"/>
  <c r="K160" i="63" a="1"/>
  <c r="K160" i="63" s="1"/>
  <c r="L160" i="63" a="1"/>
  <c r="L160" i="63" s="1"/>
  <c r="I160" i="63" a="1"/>
  <c r="I160" i="63" s="1"/>
  <c r="J160" i="63" a="1"/>
  <c r="J160" i="63" s="1"/>
  <c r="H160" i="63" a="1"/>
  <c r="H160" i="63" s="1"/>
  <c r="S147" i="51" a="1"/>
  <c r="S147" i="51" s="1"/>
  <c r="S148" i="51" a="1"/>
  <c r="S148" i="51" s="1"/>
  <c r="R111" i="51" a="1"/>
  <c r="R111" i="51" s="1"/>
  <c r="R112" i="51" a="1"/>
  <c r="R112" i="51" s="1"/>
  <c r="R113" i="51" a="1"/>
  <c r="R113" i="51" s="1"/>
  <c r="N102" i="53" a="1"/>
  <c r="N102" i="53" s="1"/>
  <c r="N63" i="53" s="1"/>
  <c r="S146" i="51" a="1"/>
  <c r="S146" i="51" s="1"/>
  <c r="N102" i="52" a="1"/>
  <c r="N102" i="52" s="1"/>
  <c r="L87" i="52"/>
  <c r="G299" i="44"/>
  <c r="N110" i="67"/>
  <c r="G57" i="74" s="1" a="1"/>
  <c r="G57" i="74" s="1"/>
  <c r="G110" i="67"/>
  <c r="L38" i="67"/>
  <c r="I38" i="67"/>
  <c r="K38" i="67"/>
  <c r="H107" i="65"/>
  <c r="X27" i="67"/>
  <c r="J38" i="67"/>
  <c r="H38" i="67"/>
  <c r="H160" i="44"/>
  <c r="E73" i="53" s="1"/>
  <c r="G160" i="44"/>
  <c r="D73" i="53" s="1"/>
  <c r="L303" i="49"/>
  <c r="L301" i="49" s="1"/>
  <c r="P73" i="49"/>
  <c r="Q73" i="49" s="1"/>
  <c r="M306" i="49"/>
  <c r="M304" i="49" s="1"/>
  <c r="P71" i="49"/>
  <c r="Q71" i="49" s="1"/>
  <c r="L297" i="49"/>
  <c r="L295" i="49" s="1"/>
  <c r="K303" i="49"/>
  <c r="K301" i="49" s="1"/>
  <c r="N306" i="49"/>
  <c r="N304" i="49" s="1"/>
  <c r="L306" i="49"/>
  <c r="L304" i="49" s="1"/>
  <c r="K300" i="49"/>
  <c r="K298" i="49" s="1"/>
  <c r="N303" i="49"/>
  <c r="N301" i="49" s="1"/>
  <c r="O306" i="49"/>
  <c r="O304" i="49" s="1"/>
  <c r="K304" i="49"/>
  <c r="M300" i="49"/>
  <c r="M298" i="49" s="1"/>
  <c r="O303" i="49"/>
  <c r="O301" i="49" s="1"/>
  <c r="H242" i="44"/>
  <c r="I125" i="67" s="1"/>
  <c r="L300" i="49"/>
  <c r="L298" i="49" s="1"/>
  <c r="N297" i="49"/>
  <c r="N295" i="49" s="1"/>
  <c r="N300" i="49"/>
  <c r="N298" i="49" s="1"/>
  <c r="H236" i="44"/>
  <c r="I124" i="67" s="1"/>
  <c r="K230" i="44"/>
  <c r="K68" i="49"/>
  <c r="K75" i="49" s="1"/>
  <c r="J242" i="44"/>
  <c r="K125" i="67" s="1"/>
  <c r="I242" i="44"/>
  <c r="J125" i="67" s="1"/>
  <c r="I236" i="44"/>
  <c r="J124" i="67" s="1"/>
  <c r="G242" i="44"/>
  <c r="H125" i="67" s="1"/>
  <c r="G236" i="44"/>
  <c r="H124" i="67" s="1"/>
  <c r="J230" i="44"/>
  <c r="K242" i="44"/>
  <c r="L125" i="67" s="1"/>
  <c r="K236" i="44"/>
  <c r="L124" i="67" s="1"/>
  <c r="J236" i="44"/>
  <c r="K124" i="67" s="1"/>
  <c r="G230" i="44"/>
  <c r="H230" i="44"/>
  <c r="I230" i="44"/>
  <c r="H113" i="44"/>
  <c r="I106" i="44"/>
  <c r="J113" i="44"/>
  <c r="K113" i="44"/>
  <c r="K106" i="44"/>
  <c r="G120" i="44"/>
  <c r="H106" i="44"/>
  <c r="J106" i="44"/>
  <c r="I113" i="44"/>
  <c r="G75" i="44"/>
  <c r="D94" i="52"/>
  <c r="D55" i="52" s="1"/>
  <c r="F94" i="52"/>
  <c r="J68" i="44"/>
  <c r="G93" i="52"/>
  <c r="K68" i="44"/>
  <c r="H93" i="52"/>
  <c r="H94" i="52"/>
  <c r="I61" i="44"/>
  <c r="F92" i="52"/>
  <c r="H61" i="44"/>
  <c r="E92" i="52"/>
  <c r="E94" i="52"/>
  <c r="K61" i="44"/>
  <c r="H92" i="52"/>
  <c r="I68" i="44"/>
  <c r="F93" i="52"/>
  <c r="J61" i="44"/>
  <c r="G94" i="52"/>
  <c r="H68" i="44"/>
  <c r="E93" i="52"/>
  <c r="J462" i="44"/>
  <c r="H406" i="44"/>
  <c r="H462" i="44"/>
  <c r="I406" i="44"/>
  <c r="J406" i="44"/>
  <c r="H468" i="44"/>
  <c r="K462" i="44"/>
  <c r="I462" i="44"/>
  <c r="K406" i="44"/>
  <c r="K468" i="44"/>
  <c r="O143" i="67"/>
  <c r="O133" i="67" s="1"/>
  <c r="I468" i="44"/>
  <c r="J468" i="44"/>
  <c r="H97" i="44"/>
  <c r="K83" i="44"/>
  <c r="I75" i="44"/>
  <c r="I90" i="44"/>
  <c r="J97" i="44"/>
  <c r="J120" i="44"/>
  <c r="J90" i="44"/>
  <c r="I97" i="44"/>
  <c r="I128" i="44"/>
  <c r="G68" i="44"/>
  <c r="H120" i="44"/>
  <c r="J135" i="44"/>
  <c r="K75" i="44"/>
  <c r="K90" i="44"/>
  <c r="H90" i="44"/>
  <c r="H135" i="44"/>
  <c r="G97" i="44"/>
  <c r="G113" i="44"/>
  <c r="H128" i="44"/>
  <c r="K128" i="44"/>
  <c r="K97" i="44"/>
  <c r="G90" i="44"/>
  <c r="I120" i="44"/>
  <c r="J128" i="44"/>
  <c r="H75" i="44"/>
  <c r="K120" i="44"/>
  <c r="G135" i="44"/>
  <c r="G106" i="44"/>
  <c r="I135" i="44"/>
  <c r="I83" i="44"/>
  <c r="J75" i="44"/>
  <c r="H83" i="44"/>
  <c r="J83" i="44"/>
  <c r="K135" i="44"/>
  <c r="G128" i="44"/>
  <c r="G83" i="44"/>
  <c r="L63" i="53" l="1"/>
  <c r="I32" i="67" a="1"/>
  <c r="I32" i="67" s="1"/>
  <c r="G32" i="67" s="1"/>
  <c r="I104" i="67" a="1"/>
  <c r="I104" i="67" s="1"/>
  <c r="G101" i="67" s="1"/>
  <c r="G30" i="67"/>
  <c r="F57" i="74" a="1"/>
  <c r="F57" i="74" s="1"/>
  <c r="I57" i="74" s="1"/>
  <c r="G27" i="67"/>
  <c r="H146" i="51" a="1"/>
  <c r="H146" i="51" s="1"/>
  <c r="P32" i="67" a="1"/>
  <c r="P32" i="67" s="1"/>
  <c r="N32" i="67" s="1"/>
  <c r="P104" i="67" a="1"/>
  <c r="P104" i="67" s="1"/>
  <c r="N101" i="67" s="1"/>
  <c r="G54" i="74" s="1" a="1"/>
  <c r="G54" i="74" s="1"/>
  <c r="N30" i="67"/>
  <c r="H102" i="53" a="1"/>
  <c r="H102" i="53" s="1"/>
  <c r="H63" i="53" s="1"/>
  <c r="H102" i="52" a="1"/>
  <c r="H102" i="52" s="1"/>
  <c r="H63" i="52" s="1"/>
  <c r="L63" i="52"/>
  <c r="K105" i="65" s="1"/>
  <c r="K120" i="65" s="1"/>
  <c r="I123" i="67"/>
  <c r="E85" i="53"/>
  <c r="H123" i="67"/>
  <c r="D85" i="53"/>
  <c r="J123" i="67"/>
  <c r="F85" i="53"/>
  <c r="L123" i="67"/>
  <c r="H85" i="53"/>
  <c r="K123" i="67"/>
  <c r="G85" i="53"/>
  <c r="N63" i="52"/>
  <c r="K107" i="65" s="1"/>
  <c r="K115" i="65" s="1"/>
  <c r="K107" i="51" a="1"/>
  <c r="K107" i="51" s="1"/>
  <c r="K142" i="51" s="1" a="1"/>
  <c r="K142" i="51" s="1"/>
  <c r="L176" i="63"/>
  <c r="J107" i="51" a="1"/>
  <c r="J107" i="51" s="1"/>
  <c r="J142" i="51" s="1" a="1"/>
  <c r="J142" i="51" s="1"/>
  <c r="K176" i="63"/>
  <c r="G107" i="51" a="1"/>
  <c r="G107" i="51" s="1"/>
  <c r="G142" i="51" s="1" a="1"/>
  <c r="G142" i="51" s="1"/>
  <c r="H176" i="63"/>
  <c r="I107" i="51" a="1"/>
  <c r="I107" i="51" s="1"/>
  <c r="I142" i="51" s="1" a="1"/>
  <c r="I142" i="51" s="1"/>
  <c r="J176" i="63"/>
  <c r="H107" i="51" a="1"/>
  <c r="H107" i="51" s="1"/>
  <c r="H142" i="51" s="1" a="1"/>
  <c r="H142" i="51" s="1"/>
  <c r="I176" i="63"/>
  <c r="R147" i="51" a="1"/>
  <c r="R147" i="51" s="1"/>
  <c r="R148" i="51" a="1"/>
  <c r="R148" i="51" s="1"/>
  <c r="P304" i="49"/>
  <c r="R146" i="51" a="1"/>
  <c r="R146" i="51" s="1"/>
  <c r="M102" i="53" a="1"/>
  <c r="M102" i="53" s="1"/>
  <c r="M63" i="53" s="1"/>
  <c r="M102" i="52" a="1"/>
  <c r="M102" i="52" s="1"/>
  <c r="R143" i="67"/>
  <c r="R133" i="67" s="1"/>
  <c r="O87" i="53"/>
  <c r="J300" i="44"/>
  <c r="P143" i="67"/>
  <c r="P133" i="67" s="1"/>
  <c r="M87" i="53"/>
  <c r="H300" i="44"/>
  <c r="P73" i="53"/>
  <c r="P73" i="52"/>
  <c r="Q143" i="67"/>
  <c r="Q133" i="67" s="1"/>
  <c r="N87" i="53"/>
  <c r="I300" i="44"/>
  <c r="O73" i="52"/>
  <c r="O73" i="53"/>
  <c r="S71" i="67"/>
  <c r="S61" i="67" s="1"/>
  <c r="P87" i="52"/>
  <c r="K299" i="44"/>
  <c r="L87" i="53"/>
  <c r="G300" i="44"/>
  <c r="N73" i="53"/>
  <c r="N73" i="52"/>
  <c r="L73" i="53"/>
  <c r="L73" i="52"/>
  <c r="P71" i="67"/>
  <c r="P61" i="67" s="1"/>
  <c r="M87" i="52"/>
  <c r="H299" i="44"/>
  <c r="M73" i="52"/>
  <c r="M73" i="53"/>
  <c r="S143" i="67"/>
  <c r="S133" i="67" s="1"/>
  <c r="P87" i="53"/>
  <c r="K300" i="44"/>
  <c r="R71" i="67"/>
  <c r="R61" i="67" s="1"/>
  <c r="O87" i="52"/>
  <c r="J299" i="44"/>
  <c r="Q71" i="67"/>
  <c r="Q61" i="67" s="1"/>
  <c r="N87" i="52"/>
  <c r="I299" i="44"/>
  <c r="H115" i="65"/>
  <c r="X99" i="67"/>
  <c r="N125" i="67"/>
  <c r="G66" i="74" s="1" a="1"/>
  <c r="G66" i="74" s="1"/>
  <c r="G124" i="67"/>
  <c r="N124" i="67"/>
  <c r="G65" i="74" s="1" a="1"/>
  <c r="G65" i="74" s="1"/>
  <c r="N123" i="67"/>
  <c r="G64" i="74" s="1" a="1"/>
  <c r="G64" i="74" s="1"/>
  <c r="H53" i="67"/>
  <c r="Y38" i="67"/>
  <c r="G38" i="67"/>
  <c r="W99" i="67"/>
  <c r="W27" i="67"/>
  <c r="Y110" i="67"/>
  <c r="Z110" i="67"/>
  <c r="V38" i="67"/>
  <c r="N38" i="67"/>
  <c r="G17" i="74" s="1" a="1"/>
  <c r="G17" i="74" s="1"/>
  <c r="Z38" i="67"/>
  <c r="V110" i="67"/>
  <c r="W38" i="67"/>
  <c r="X38" i="67"/>
  <c r="W110" i="67"/>
  <c r="X110" i="67"/>
  <c r="H106" i="65"/>
  <c r="K123" i="65"/>
  <c r="K117" i="65"/>
  <c r="H13" i="63" a="1"/>
  <c r="H13" i="63" s="1"/>
  <c r="H29" i="63" s="1" a="1"/>
  <c r="H29" i="63" s="1"/>
  <c r="M303" i="49"/>
  <c r="M301" i="49" s="1"/>
  <c r="O300" i="49"/>
  <c r="O298" i="49" s="1"/>
  <c r="P298" i="49" s="1"/>
  <c r="Q298" i="49" s="1"/>
  <c r="P67" i="49"/>
  <c r="Q67" i="49" s="1"/>
  <c r="P297" i="49"/>
  <c r="Q297" i="49" s="1"/>
  <c r="P306" i="49"/>
  <c r="Q306" i="49" s="1"/>
  <c r="P295" i="49"/>
  <c r="Q295" i="49" s="1"/>
  <c r="P64" i="49"/>
  <c r="Q64" i="49" s="1"/>
  <c r="P70" i="49"/>
  <c r="Q70" i="49" s="1"/>
  <c r="G105" i="65"/>
  <c r="E55" i="52"/>
  <c r="D55" i="53"/>
  <c r="L55" i="53"/>
  <c r="O55" i="52"/>
  <c r="G108" i="65" s="1"/>
  <c r="M55" i="52"/>
  <c r="G106" i="65" s="1"/>
  <c r="N55" i="52"/>
  <c r="G107" i="65" s="1"/>
  <c r="P55" i="52"/>
  <c r="G109" i="65" s="1"/>
  <c r="N55" i="53"/>
  <c r="O55" i="53"/>
  <c r="M55" i="53"/>
  <c r="P55" i="53"/>
  <c r="H363" i="44"/>
  <c r="H364" i="44" s="1" a="1"/>
  <c r="H364" i="44" s="1"/>
  <c r="H362" i="44"/>
  <c r="I317" i="44"/>
  <c r="I318" i="44"/>
  <c r="I319" i="44" s="1" a="1"/>
  <c r="I319" i="44" s="1"/>
  <c r="K311" i="44"/>
  <c r="K312" i="44" s="1" a="1"/>
  <c r="K312" i="44" s="1"/>
  <c r="K310" i="44"/>
  <c r="J355" i="44"/>
  <c r="J356" i="44"/>
  <c r="J357" i="44" s="1" a="1"/>
  <c r="J357" i="44" s="1"/>
  <c r="K317" i="44"/>
  <c r="K318" i="44"/>
  <c r="K319" i="44" s="1" a="1"/>
  <c r="K319" i="44" s="1"/>
  <c r="I356" i="44"/>
  <c r="I357" i="44" s="1" a="1"/>
  <c r="I357" i="44" s="1"/>
  <c r="I355" i="44"/>
  <c r="G369" i="44"/>
  <c r="G370" i="44"/>
  <c r="G371" i="44" s="1" a="1"/>
  <c r="G371" i="44" s="1"/>
  <c r="G325" i="44"/>
  <c r="G326" i="44" s="1" a="1"/>
  <c r="G326" i="44" s="1"/>
  <c r="G324" i="44"/>
  <c r="H310" i="44"/>
  <c r="H311" i="44"/>
  <c r="H312" i="44" s="1" a="1"/>
  <c r="H312" i="44" s="1"/>
  <c r="I363" i="44"/>
  <c r="I364" i="44" s="1" a="1"/>
  <c r="I364" i="44" s="1"/>
  <c r="I362" i="44"/>
  <c r="H318" i="44"/>
  <c r="H319" i="44" s="1" a="1"/>
  <c r="H319" i="44" s="1"/>
  <c r="H317" i="44"/>
  <c r="J363" i="44"/>
  <c r="J364" i="44" s="1" a="1"/>
  <c r="J364" i="44" s="1"/>
  <c r="J362" i="44"/>
  <c r="J310" i="44"/>
  <c r="J311" i="44"/>
  <c r="J312" i="44" s="1" a="1"/>
  <c r="J312" i="44" s="1"/>
  <c r="K362" i="44"/>
  <c r="K363" i="44"/>
  <c r="K364" i="44" s="1" a="1"/>
  <c r="K364" i="44" s="1"/>
  <c r="H356" i="44"/>
  <c r="H357" i="44" s="1" a="1"/>
  <c r="H357" i="44" s="1"/>
  <c r="H355" i="44"/>
  <c r="J317" i="44"/>
  <c r="J318" i="44"/>
  <c r="J319" i="44" s="1" a="1"/>
  <c r="J319" i="44" s="1"/>
  <c r="I310" i="44"/>
  <c r="I311" i="44"/>
  <c r="I312" i="44" s="1" a="1"/>
  <c r="I312" i="44" s="1"/>
  <c r="K355" i="44"/>
  <c r="K356" i="44"/>
  <c r="K357" i="44" s="1" a="1"/>
  <c r="K357" i="44" s="1"/>
  <c r="K116" i="44"/>
  <c r="K117" i="44"/>
  <c r="K118" i="44" s="1" a="1"/>
  <c r="K118" i="44" s="1"/>
  <c r="K115" i="44" a="1"/>
  <c r="K115" i="44" s="1"/>
  <c r="H109" i="44"/>
  <c r="H110" i="44"/>
  <c r="H111" i="44" s="1" a="1"/>
  <c r="H111" i="44" s="1"/>
  <c r="H108" i="44" a="1"/>
  <c r="H108" i="44" s="1"/>
  <c r="I116" i="44"/>
  <c r="I117" i="44"/>
  <c r="I118" i="44" s="1" a="1"/>
  <c r="I118" i="44" s="1"/>
  <c r="I115" i="44" a="1"/>
  <c r="I115" i="44" s="1"/>
  <c r="J116" i="44"/>
  <c r="J117" i="44"/>
  <c r="J118" i="44" s="1" a="1"/>
  <c r="J118" i="44" s="1"/>
  <c r="J115" i="44" a="1"/>
  <c r="J115" i="44" s="1"/>
  <c r="H117" i="44"/>
  <c r="H118" i="44" s="1" a="1"/>
  <c r="H118" i="44" s="1"/>
  <c r="H115" i="44" a="1"/>
  <c r="H115" i="44" s="1"/>
  <c r="H116" i="44"/>
  <c r="G79" i="44"/>
  <c r="G78" i="44"/>
  <c r="G77" i="44" a="1"/>
  <c r="G77" i="44" s="1"/>
  <c r="G124" i="44"/>
  <c r="G125" i="44" s="1" a="1"/>
  <c r="G125" i="44" s="1"/>
  <c r="G123" i="44"/>
  <c r="G122" i="44" a="1"/>
  <c r="G122" i="44" s="1"/>
  <c r="J110" i="44"/>
  <c r="J111" i="44" s="1" a="1"/>
  <c r="J111" i="44" s="1"/>
  <c r="J108" i="44" a="1"/>
  <c r="J108" i="44" s="1"/>
  <c r="J109" i="44"/>
  <c r="K110" i="44"/>
  <c r="K111" i="44" s="1" a="1"/>
  <c r="K111" i="44" s="1"/>
  <c r="K108" i="44" a="1"/>
  <c r="K108" i="44" s="1"/>
  <c r="K109" i="44"/>
  <c r="I109" i="44"/>
  <c r="I110" i="44"/>
  <c r="I111" i="44" s="1" a="1"/>
  <c r="I111" i="44" s="1"/>
  <c r="I108" i="44" a="1"/>
  <c r="I108" i="44" s="1"/>
  <c r="I70" i="44" a="1"/>
  <c r="I70" i="44" s="1"/>
  <c r="I72" i="44"/>
  <c r="I73" i="44" s="1" a="1"/>
  <c r="I73" i="44" s="1"/>
  <c r="I71" i="44"/>
  <c r="K70" i="44" a="1"/>
  <c r="K70" i="44" s="1"/>
  <c r="K71" i="44"/>
  <c r="K72" i="44"/>
  <c r="K73" i="44" s="1" a="1"/>
  <c r="K73" i="44" s="1"/>
  <c r="J72" i="44"/>
  <c r="J73" i="44" s="1" a="1"/>
  <c r="J73" i="44" s="1"/>
  <c r="J70" i="44" a="1"/>
  <c r="J70" i="44" s="1"/>
  <c r="J71" i="44"/>
  <c r="H72" i="44"/>
  <c r="H73" i="44" s="1" a="1"/>
  <c r="H73" i="44" s="1"/>
  <c r="H70" i="44" a="1"/>
  <c r="H70" i="44" s="1"/>
  <c r="H71" i="44"/>
  <c r="H65" i="44"/>
  <c r="H66" i="44" s="1" a="1"/>
  <c r="H66" i="44" s="1"/>
  <c r="H63" i="44" a="1"/>
  <c r="H63" i="44" s="1"/>
  <c r="K63" i="44" a="1"/>
  <c r="K63" i="44" s="1"/>
  <c r="K65" i="44"/>
  <c r="K66" i="44" s="1" a="1"/>
  <c r="K66" i="44" s="1"/>
  <c r="I63" i="44" a="1"/>
  <c r="I63" i="44" s="1"/>
  <c r="I65" i="44"/>
  <c r="I66" i="44" s="1" a="1"/>
  <c r="I66" i="44" s="1"/>
  <c r="J63" i="44" a="1"/>
  <c r="J63" i="44" s="1"/>
  <c r="J65" i="44"/>
  <c r="J66" i="44" s="1" a="1"/>
  <c r="J66" i="44" s="1"/>
  <c r="H64" i="44"/>
  <c r="K64" i="44"/>
  <c r="I64" i="44"/>
  <c r="J64" i="44"/>
  <c r="E55" i="53"/>
  <c r="H55" i="53"/>
  <c r="G55" i="53"/>
  <c r="F55" i="53"/>
  <c r="F55" i="52"/>
  <c r="G55" i="52"/>
  <c r="H55" i="52"/>
  <c r="H222" i="44"/>
  <c r="E87" i="53" s="1"/>
  <c r="K216" i="44"/>
  <c r="J216" i="44"/>
  <c r="H216" i="44"/>
  <c r="G222" i="44"/>
  <c r="K222" i="44"/>
  <c r="H87" i="53" s="1"/>
  <c r="I216" i="44"/>
  <c r="J71" i="67" s="1"/>
  <c r="J61" i="67" s="1"/>
  <c r="G216" i="44"/>
  <c r="H71" i="67" s="1"/>
  <c r="H61" i="67" s="1"/>
  <c r="I222" i="44"/>
  <c r="F87" i="53" s="1"/>
  <c r="J222" i="44"/>
  <c r="G87" i="53" s="1"/>
  <c r="K13" i="44"/>
  <c r="H13" i="44"/>
  <c r="I13" i="44"/>
  <c r="J13" i="44"/>
  <c r="G13" i="44"/>
  <c r="Q63" i="53" l="1"/>
  <c r="N61" i="67"/>
  <c r="L134" i="67"/>
  <c r="Z134" i="67" s="1"/>
  <c r="J134" i="67"/>
  <c r="X134" i="67" s="1"/>
  <c r="H134" i="67"/>
  <c r="K134" i="67"/>
  <c r="Y134" i="67" s="1"/>
  <c r="I134" i="67"/>
  <c r="W134" i="67" s="1"/>
  <c r="N133" i="67"/>
  <c r="X61" i="67"/>
  <c r="V61" i="67"/>
  <c r="M57" i="74"/>
  <c r="G29" i="67"/>
  <c r="F14" i="74" s="1" a="1"/>
  <c r="F14" i="74" s="1"/>
  <c r="F65" i="74" a="1"/>
  <c r="F65" i="74" s="1"/>
  <c r="I65" i="74" s="1"/>
  <c r="F54" i="74" a="1"/>
  <c r="F54" i="74" s="1"/>
  <c r="I54" i="74" s="1"/>
  <c r="F13" i="74" a="1"/>
  <c r="F13" i="74" s="1"/>
  <c r="F17" i="74" a="1"/>
  <c r="F17" i="74" s="1"/>
  <c r="G104" i="67"/>
  <c r="N29" i="67"/>
  <c r="G14" i="74" s="1" a="1"/>
  <c r="G14" i="74" s="1"/>
  <c r="L54" i="52"/>
  <c r="L57" i="52"/>
  <c r="J105" i="65" s="1"/>
  <c r="G123" i="67"/>
  <c r="Q304" i="49"/>
  <c r="G80" i="44" a="1"/>
  <c r="G80" i="44" s="1"/>
  <c r="G23" i="51"/>
  <c r="G12" i="51" s="1" a="1"/>
  <c r="G12" i="51" s="1"/>
  <c r="H143" i="67"/>
  <c r="H133" i="67" s="1"/>
  <c r="D87" i="53"/>
  <c r="M63" i="52"/>
  <c r="Q63" i="52" s="1"/>
  <c r="E3" i="63"/>
  <c r="E23" i="25" s="1"/>
  <c r="Q31" i="51" a="1"/>
  <c r="Q31" i="51" s="1"/>
  <c r="H45" i="63"/>
  <c r="N143" i="67"/>
  <c r="G76" i="74" s="1" a="1"/>
  <c r="G76" i="74" s="1"/>
  <c r="H122" i="65"/>
  <c r="O54" i="52"/>
  <c r="F108" i="65" s="1"/>
  <c r="H121" i="65"/>
  <c r="P54" i="52"/>
  <c r="F109" i="65" s="1"/>
  <c r="U38" i="67"/>
  <c r="K143" i="67"/>
  <c r="K133" i="67" s="1"/>
  <c r="J143" i="67"/>
  <c r="J133" i="67" s="1"/>
  <c r="I143" i="67"/>
  <c r="I133" i="67" s="1"/>
  <c r="L143" i="67"/>
  <c r="L133" i="67" s="1"/>
  <c r="N104" i="67"/>
  <c r="G125" i="67"/>
  <c r="U110" i="67"/>
  <c r="Y99" i="67"/>
  <c r="Y27" i="67"/>
  <c r="Z27" i="67"/>
  <c r="M54" i="52"/>
  <c r="F106" i="65" s="1"/>
  <c r="N54" i="52"/>
  <c r="F107" i="65" s="1"/>
  <c r="H105" i="65"/>
  <c r="H108" i="65"/>
  <c r="H109" i="65"/>
  <c r="K122" i="65"/>
  <c r="K113" i="65"/>
  <c r="K124" i="65"/>
  <c r="K116" i="65"/>
  <c r="G114" i="65"/>
  <c r="G121" i="65"/>
  <c r="G115" i="65"/>
  <c r="G122" i="65"/>
  <c r="G116" i="65"/>
  <c r="G123" i="65"/>
  <c r="G117" i="65"/>
  <c r="G124" i="65"/>
  <c r="G113" i="65"/>
  <c r="G120" i="65"/>
  <c r="P66" i="49"/>
  <c r="Q66" i="49" s="1"/>
  <c r="K65" i="49"/>
  <c r="P65" i="49" s="1"/>
  <c r="Q65" i="49" s="1"/>
  <c r="P68" i="49"/>
  <c r="Q68" i="49" s="1"/>
  <c r="P303" i="49"/>
  <c r="Q303" i="49" s="1"/>
  <c r="P300" i="49"/>
  <c r="Q300" i="49" s="1"/>
  <c r="P301" i="49"/>
  <c r="Q301" i="49" s="1"/>
  <c r="S21" i="51"/>
  <c r="S10" i="51" s="1" a="1"/>
  <c r="S10" i="51" s="1"/>
  <c r="T21" i="51"/>
  <c r="T10" i="51" s="1" a="1"/>
  <c r="T10" i="51" s="1"/>
  <c r="R21" i="51"/>
  <c r="R10" i="51" s="1" a="1"/>
  <c r="R10" i="51" s="1"/>
  <c r="U21" i="51"/>
  <c r="U10" i="51" s="1" a="1"/>
  <c r="U10" i="51" s="1"/>
  <c r="Q23" i="51"/>
  <c r="Q12" i="51" s="1" a="1"/>
  <c r="Q12" i="51" s="1"/>
  <c r="R22" i="51"/>
  <c r="R11" i="51" s="1" a="1"/>
  <c r="R11" i="51" s="1"/>
  <c r="T22" i="51"/>
  <c r="T11" i="51" s="1" a="1"/>
  <c r="T11" i="51" s="1"/>
  <c r="U22" i="51"/>
  <c r="U11" i="51" s="1" a="1"/>
  <c r="U11" i="51" s="1"/>
  <c r="I21" i="51"/>
  <c r="I10" i="51" s="1" a="1"/>
  <c r="I10" i="51" s="1"/>
  <c r="K22" i="51"/>
  <c r="K11" i="51" s="1" a="1"/>
  <c r="K11" i="51" s="1"/>
  <c r="J22" i="51"/>
  <c r="J11" i="51" s="1" a="1"/>
  <c r="J11" i="51" s="1"/>
  <c r="H22" i="51"/>
  <c r="H11" i="51" s="1" a="1"/>
  <c r="H11" i="51" s="1"/>
  <c r="J21" i="51"/>
  <c r="J10" i="51" s="1" a="1"/>
  <c r="J10" i="51" s="1"/>
  <c r="K21" i="51"/>
  <c r="K10" i="51" s="1" a="1"/>
  <c r="K10" i="51" s="1"/>
  <c r="S22" i="51"/>
  <c r="S11" i="51" s="1" a="1"/>
  <c r="S11" i="51" s="1"/>
  <c r="U96" i="51"/>
  <c r="U97" i="51"/>
  <c r="J96" i="51"/>
  <c r="T97" i="51"/>
  <c r="G98" i="51"/>
  <c r="I97" i="51"/>
  <c r="R97" i="51"/>
  <c r="I22" i="51"/>
  <c r="I11" i="51" s="1" a="1"/>
  <c r="I11" i="51" s="1"/>
  <c r="J97" i="51"/>
  <c r="S97" i="51"/>
  <c r="Q98" i="51"/>
  <c r="S96" i="51"/>
  <c r="T96" i="51"/>
  <c r="K96" i="51"/>
  <c r="H21" i="51"/>
  <c r="H10" i="51" s="1" a="1"/>
  <c r="H10" i="51" s="1"/>
  <c r="I96" i="51"/>
  <c r="R96" i="51"/>
  <c r="H97" i="51"/>
  <c r="H96" i="51"/>
  <c r="K97" i="51"/>
  <c r="N54" i="53"/>
  <c r="O54" i="53"/>
  <c r="P54" i="53"/>
  <c r="M54" i="53"/>
  <c r="L54" i="53"/>
  <c r="Q55" i="53"/>
  <c r="I55" i="53"/>
  <c r="M57" i="53"/>
  <c r="O57" i="53"/>
  <c r="N57" i="53"/>
  <c r="L57" i="53"/>
  <c r="P57" i="53"/>
  <c r="Q55" i="52"/>
  <c r="O57" i="52"/>
  <c r="J108" i="65" s="1"/>
  <c r="D87" i="52"/>
  <c r="E87" i="52"/>
  <c r="G87" i="52"/>
  <c r="F87" i="52"/>
  <c r="H87" i="52"/>
  <c r="I55" i="52"/>
  <c r="E34" i="52" s="1"/>
  <c r="N57" i="52"/>
  <c r="J107" i="65" s="1"/>
  <c r="P57" i="52"/>
  <c r="J109" i="65" s="1"/>
  <c r="M57" i="52"/>
  <c r="J106" i="65" s="1"/>
  <c r="G134" i="67" l="1"/>
  <c r="V134" i="67"/>
  <c r="M14" i="74"/>
  <c r="M13" i="74"/>
  <c r="M54" i="74"/>
  <c r="M65" i="74"/>
  <c r="M17" i="74"/>
  <c r="J14" i="74"/>
  <c r="I14" i="74"/>
  <c r="I17" i="74"/>
  <c r="J17" i="74"/>
  <c r="I13" i="74"/>
  <c r="J13" i="74"/>
  <c r="F64" i="74" a="1"/>
  <c r="F64" i="74" s="1"/>
  <c r="F66" i="74" a="1"/>
  <c r="F66" i="74" s="1"/>
  <c r="K106" i="65"/>
  <c r="K114" i="65" s="1"/>
  <c r="F105" i="65"/>
  <c r="F120" i="65" s="1"/>
  <c r="H99" i="67" a="1"/>
  <c r="H99" i="67" s="1"/>
  <c r="V99" i="67" s="1"/>
  <c r="D97" i="53" a="1"/>
  <c r="D97" i="53" s="1"/>
  <c r="D62" i="53" s="1"/>
  <c r="I62" i="53" s="1"/>
  <c r="E34" i="53" s="1"/>
  <c r="Q66" i="51" a="1"/>
  <c r="Q66" i="51" s="1"/>
  <c r="I46" i="51"/>
  <c r="S46" i="51"/>
  <c r="U46" i="51"/>
  <c r="G47" i="51"/>
  <c r="S45" i="51"/>
  <c r="T46" i="51"/>
  <c r="K45" i="51"/>
  <c r="R46" i="51"/>
  <c r="H45" i="51"/>
  <c r="Q47" i="51"/>
  <c r="J45" i="51"/>
  <c r="H46" i="51"/>
  <c r="U45" i="51"/>
  <c r="I45" i="51"/>
  <c r="J46" i="51"/>
  <c r="R45" i="51"/>
  <c r="K46" i="51"/>
  <c r="T45" i="51"/>
  <c r="R131" i="51" a="1"/>
  <c r="R131" i="51" s="1"/>
  <c r="R85" i="51" a="1"/>
  <c r="R85" i="51" s="1"/>
  <c r="J132" i="51" a="1"/>
  <c r="J132" i="51" s="1"/>
  <c r="J86" i="51" a="1"/>
  <c r="J86" i="51" s="1"/>
  <c r="U131" i="51" a="1"/>
  <c r="U131" i="51" s="1"/>
  <c r="U85" i="51" a="1"/>
  <c r="U85" i="51" s="1"/>
  <c r="H132" i="51" a="1"/>
  <c r="H132" i="51" s="1"/>
  <c r="H86" i="51" a="1"/>
  <c r="H86" i="51" s="1"/>
  <c r="I131" i="51" a="1"/>
  <c r="I131" i="51" s="1"/>
  <c r="I85" i="51" a="1"/>
  <c r="I85" i="51" s="1"/>
  <c r="K131" i="51" a="1"/>
  <c r="K131" i="51" s="1"/>
  <c r="K85" i="51" a="1"/>
  <c r="K85" i="51" s="1"/>
  <c r="I132" i="51" a="1"/>
  <c r="I132" i="51" s="1"/>
  <c r="I86" i="51" a="1"/>
  <c r="I86" i="51" s="1"/>
  <c r="G110" i="65"/>
  <c r="G125" i="65" s="1"/>
  <c r="T131" i="51" a="1"/>
  <c r="T131" i="51" s="1"/>
  <c r="T85" i="51" a="1"/>
  <c r="T85" i="51" s="1"/>
  <c r="G133" i="51" a="1"/>
  <c r="G133" i="51" s="1"/>
  <c r="G87" i="51" a="1"/>
  <c r="G87" i="51" s="1"/>
  <c r="R132" i="51" a="1"/>
  <c r="R132" i="51" s="1"/>
  <c r="R86" i="51" a="1"/>
  <c r="R86" i="51" s="1"/>
  <c r="K132" i="51" a="1"/>
  <c r="K132" i="51" s="1"/>
  <c r="K86" i="51" a="1"/>
  <c r="K86" i="51" s="1"/>
  <c r="S131" i="51" a="1"/>
  <c r="S131" i="51" s="1"/>
  <c r="S85" i="51" a="1"/>
  <c r="S85" i="51" s="1"/>
  <c r="T132" i="51" a="1"/>
  <c r="T132" i="51" s="1"/>
  <c r="T86" i="51" a="1"/>
  <c r="T86" i="51" s="1"/>
  <c r="H131" i="51" a="1"/>
  <c r="H131" i="51" s="1"/>
  <c r="H85" i="51" a="1"/>
  <c r="H85" i="51" s="1"/>
  <c r="Q133" i="51" a="1"/>
  <c r="Q133" i="51" s="1"/>
  <c r="Q87" i="51" a="1"/>
  <c r="Q87" i="51" s="1"/>
  <c r="J131" i="51" a="1"/>
  <c r="J131" i="51" s="1"/>
  <c r="J85" i="51" a="1"/>
  <c r="J85" i="51" s="1"/>
  <c r="S132" i="51" a="1"/>
  <c r="S132" i="51" s="1"/>
  <c r="S86" i="51" a="1"/>
  <c r="S86" i="51" s="1"/>
  <c r="U132" i="51" a="1"/>
  <c r="U132" i="51" s="1"/>
  <c r="U86" i="51" a="1"/>
  <c r="U86" i="51" s="1"/>
  <c r="K110" i="65"/>
  <c r="K125" i="65" s="1"/>
  <c r="F123" i="65"/>
  <c r="F121" i="65"/>
  <c r="F117" i="65"/>
  <c r="F116" i="65"/>
  <c r="H114" i="65"/>
  <c r="F115" i="65"/>
  <c r="H123" i="65"/>
  <c r="H120" i="65"/>
  <c r="Q62" i="53"/>
  <c r="E35" i="53" s="1"/>
  <c r="H124" i="65"/>
  <c r="Z99" i="67"/>
  <c r="K57" i="51" a="1"/>
  <c r="K57" i="51" s="1"/>
  <c r="T56" i="51" a="1"/>
  <c r="T56" i="51" s="1"/>
  <c r="I56" i="51" a="1"/>
  <c r="I56" i="51" s="1"/>
  <c r="S56" i="51" a="1"/>
  <c r="S56" i="51" s="1"/>
  <c r="I57" i="51" a="1"/>
  <c r="I57" i="51" s="1"/>
  <c r="S57" i="51" a="1"/>
  <c r="S57" i="51" s="1"/>
  <c r="U57" i="51" a="1"/>
  <c r="U57" i="51" s="1"/>
  <c r="H56" i="51" a="1"/>
  <c r="H56" i="51" s="1"/>
  <c r="G58" i="51" a="1"/>
  <c r="G58" i="51" s="1"/>
  <c r="T57" i="51" a="1"/>
  <c r="T57" i="51" s="1"/>
  <c r="K56" i="51" a="1"/>
  <c r="K56" i="51" s="1"/>
  <c r="R57" i="51" a="1"/>
  <c r="R57" i="51" s="1"/>
  <c r="J56" i="51" a="1"/>
  <c r="J56" i="51" s="1"/>
  <c r="Q58" i="51" a="1"/>
  <c r="Q58" i="51" s="1"/>
  <c r="H57" i="51" a="1"/>
  <c r="H57" i="51" s="1"/>
  <c r="U56" i="51" a="1"/>
  <c r="U56" i="51" s="1"/>
  <c r="J57" i="51" a="1"/>
  <c r="J57" i="51" s="1"/>
  <c r="R56" i="51" a="1"/>
  <c r="R56" i="51" s="1"/>
  <c r="F114" i="65"/>
  <c r="G143" i="67"/>
  <c r="V27" i="67"/>
  <c r="Q62" i="52"/>
  <c r="J116" i="65"/>
  <c r="J123" i="65"/>
  <c r="J117" i="65"/>
  <c r="J124" i="65"/>
  <c r="J115" i="65"/>
  <c r="J122" i="65"/>
  <c r="J114" i="65"/>
  <c r="J121" i="65"/>
  <c r="J113" i="65"/>
  <c r="J120" i="65"/>
  <c r="Q54" i="53"/>
  <c r="D35" i="53" s="1"/>
  <c r="K54" i="44"/>
  <c r="K53" i="44"/>
  <c r="G53" i="44"/>
  <c r="I53" i="44"/>
  <c r="G54" i="44"/>
  <c r="H53" i="44"/>
  <c r="J53" i="44"/>
  <c r="H54" i="44"/>
  <c r="I54" i="44"/>
  <c r="J54" i="44"/>
  <c r="F69" i="74" l="1" a="1"/>
  <c r="F69" i="74" s="1"/>
  <c r="U134" i="67"/>
  <c r="I66" i="74"/>
  <c r="M66" i="74"/>
  <c r="I64" i="74"/>
  <c r="M64" i="74"/>
  <c r="F76" i="74" a="1"/>
  <c r="F76" i="74" s="1"/>
  <c r="K121" i="65"/>
  <c r="F113" i="65"/>
  <c r="G99" i="67"/>
  <c r="U27" i="67"/>
  <c r="U121" i="51"/>
  <c r="Q122" i="51"/>
  <c r="T121" i="51"/>
  <c r="I120" i="51"/>
  <c r="S121" i="51"/>
  <c r="H120" i="51"/>
  <c r="S120" i="51"/>
  <c r="G122" i="51"/>
  <c r="U120" i="51"/>
  <c r="I121" i="51"/>
  <c r="H121" i="51"/>
  <c r="K121" i="51"/>
  <c r="T120" i="51"/>
  <c r="J121" i="51"/>
  <c r="K120" i="51"/>
  <c r="H110" i="65"/>
  <c r="H118" i="65" s="1"/>
  <c r="J120" i="51"/>
  <c r="R121" i="51"/>
  <c r="E35" i="52"/>
  <c r="R120" i="51"/>
  <c r="F124" i="65"/>
  <c r="E39" i="53"/>
  <c r="F122" i="65"/>
  <c r="H116" i="65"/>
  <c r="H113" i="65"/>
  <c r="H117" i="65"/>
  <c r="G118" i="65"/>
  <c r="K118" i="65"/>
  <c r="B3" i="49"/>
  <c r="B7" i="49" s="1"/>
  <c r="C2" i="49"/>
  <c r="I69" i="74" l="1"/>
  <c r="M69" i="74"/>
  <c r="I76" i="74"/>
  <c r="M76" i="74"/>
  <c r="U99" i="67"/>
  <c r="F53" i="74" a="1"/>
  <c r="F53" i="74" s="1"/>
  <c r="E39" i="52"/>
  <c r="H125" i="65"/>
  <c r="I160" i="44"/>
  <c r="F73" i="53" s="1"/>
  <c r="K160" i="44"/>
  <c r="H73" i="53" s="1"/>
  <c r="J160" i="44"/>
  <c r="G73" i="53" s="1"/>
  <c r="E15" i="48"/>
  <c r="D391" i="44" s="1"/>
  <c r="H394" i="44" s="1"/>
  <c r="E14" i="48"/>
  <c r="D145" i="44" s="1"/>
  <c r="E9" i="48"/>
  <c r="E8" i="48"/>
  <c r="B3" i="48"/>
  <c r="C2" i="48"/>
  <c r="B3" i="47"/>
  <c r="C2" i="47"/>
  <c r="H154" i="44" l="1"/>
  <c r="I154" i="44" s="1"/>
  <c r="H151" i="44"/>
  <c r="I151" i="44" s="1"/>
  <c r="H149" i="44"/>
  <c r="I149" i="44" s="1"/>
  <c r="H148" i="44"/>
  <c r="I148" i="44" s="1"/>
  <c r="H152" i="44"/>
  <c r="I152" i="44" s="1"/>
  <c r="H153" i="44"/>
  <c r="I153" i="44" s="1"/>
  <c r="H150" i="44"/>
  <c r="I150" i="44" s="1"/>
  <c r="H397" i="44"/>
  <c r="I397" i="44" s="1"/>
  <c r="G422" i="44" s="1" a="1"/>
  <c r="G422" i="44" s="1"/>
  <c r="H396" i="44"/>
  <c r="I396" i="44" s="1"/>
  <c r="I394" i="44"/>
  <c r="H395" i="44"/>
  <c r="I395" i="44" s="1"/>
  <c r="M53" i="74"/>
  <c r="B5" i="48"/>
  <c r="B18" i="48" s="1"/>
  <c r="B69" i="48" s="1"/>
  <c r="I53" i="74"/>
  <c r="I398" i="44"/>
  <c r="I400" i="44"/>
  <c r="I399" i="44"/>
  <c r="P63" i="49"/>
  <c r="Q63" i="49" s="1"/>
  <c r="H54" i="53"/>
  <c r="E54" i="53"/>
  <c r="D54" i="53"/>
  <c r="G54" i="53"/>
  <c r="F54" i="53"/>
  <c r="E73" i="52"/>
  <c r="H73" i="52"/>
  <c r="F73" i="52"/>
  <c r="D73" i="52"/>
  <c r="G73" i="52"/>
  <c r="B5" i="47"/>
  <c r="B23" i="47" s="1"/>
  <c r="H170" i="44" l="1" a="1"/>
  <c r="H170" i="44" s="1"/>
  <c r="G170" i="44" a="1"/>
  <c r="G170" i="44" s="1"/>
  <c r="I170" i="44" a="1"/>
  <c r="I170" i="44" s="1"/>
  <c r="K170" i="44" a="1"/>
  <c r="K170" i="44" s="1"/>
  <c r="J170" i="44" a="1"/>
  <c r="J170" i="44" s="1"/>
  <c r="G180" i="44" a="1"/>
  <c r="G180" i="44" s="1"/>
  <c r="J180" i="44" a="1"/>
  <c r="J180" i="44" s="1"/>
  <c r="K180" i="44" a="1"/>
  <c r="K180" i="44" s="1"/>
  <c r="H180" i="44" a="1"/>
  <c r="H180" i="44" s="1"/>
  <c r="I180" i="44" a="1"/>
  <c r="I180" i="44" s="1"/>
  <c r="K176" i="44" a="1"/>
  <c r="K176" i="44" s="1"/>
  <c r="G176" i="44" a="1"/>
  <c r="G176" i="44" s="1"/>
  <c r="H176" i="44" a="1"/>
  <c r="H176" i="44" s="1"/>
  <c r="J176" i="44" a="1"/>
  <c r="J176" i="44" s="1"/>
  <c r="I176" i="44" a="1"/>
  <c r="I176" i="44" s="1"/>
  <c r="K246" i="44" a="1"/>
  <c r="K246" i="44" s="1"/>
  <c r="G246" i="44" a="1"/>
  <c r="G246" i="44" s="1"/>
  <c r="I246" i="44" a="1"/>
  <c r="I246" i="44" s="1"/>
  <c r="J246" i="44" a="1"/>
  <c r="J246" i="44" s="1"/>
  <c r="H246" i="44" a="1"/>
  <c r="H246" i="44" s="1"/>
  <c r="I171" i="44" a="1"/>
  <c r="I171" i="44" s="1"/>
  <c r="H171" i="44" a="1"/>
  <c r="H171" i="44" s="1"/>
  <c r="J171" i="44" a="1"/>
  <c r="J171" i="44" s="1"/>
  <c r="G171" i="44" a="1"/>
  <c r="G171" i="44" s="1"/>
  <c r="K171" i="44" a="1"/>
  <c r="K171" i="44" s="1"/>
  <c r="K179" i="44" a="1"/>
  <c r="K179" i="44" s="1"/>
  <c r="H179" i="44" a="1"/>
  <c r="H179" i="44" s="1"/>
  <c r="I179" i="44" a="1"/>
  <c r="I179" i="44" s="1"/>
  <c r="G179" i="44" a="1"/>
  <c r="G179" i="44" s="1"/>
  <c r="J179" i="44" a="1"/>
  <c r="J179" i="44" s="1"/>
  <c r="J178" i="44" a="1"/>
  <c r="J178" i="44" s="1"/>
  <c r="K178" i="44" a="1"/>
  <c r="K178" i="44" s="1"/>
  <c r="I178" i="44" a="1"/>
  <c r="I178" i="44" s="1"/>
  <c r="H178" i="44" a="1"/>
  <c r="H178" i="44" s="1"/>
  <c r="G178" i="44" a="1"/>
  <c r="G178" i="44" s="1"/>
  <c r="H422" i="44" a="1"/>
  <c r="H422" i="44" s="1"/>
  <c r="I422" i="44" a="1"/>
  <c r="I422" i="44" s="1"/>
  <c r="J422" i="44" a="1"/>
  <c r="J422" i="44" s="1"/>
  <c r="K422" i="44" a="1"/>
  <c r="K422" i="44" s="1"/>
  <c r="K426" i="44" a="1"/>
  <c r="K426" i="44" s="1"/>
  <c r="G426" i="44" a="1"/>
  <c r="G426" i="44" s="1"/>
  <c r="L89" i="52" s="1"/>
  <c r="J426" i="44" a="1"/>
  <c r="J426" i="44" s="1"/>
  <c r="H426" i="44" a="1"/>
  <c r="H426" i="44" s="1"/>
  <c r="I426" i="44" a="1"/>
  <c r="I426" i="44" s="1"/>
  <c r="G424" i="44" a="1"/>
  <c r="G424" i="44" s="1"/>
  <c r="J424" i="44" a="1"/>
  <c r="J424" i="44" s="1"/>
  <c r="K424" i="44" a="1"/>
  <c r="K424" i="44" s="1"/>
  <c r="I424" i="44" a="1"/>
  <c r="I424" i="44" s="1"/>
  <c r="H424" i="44" a="1"/>
  <c r="H424" i="44" s="1"/>
  <c r="J425" i="44" a="1"/>
  <c r="J425" i="44" s="1"/>
  <c r="G425" i="44" a="1"/>
  <c r="G425" i="44" s="1"/>
  <c r="K425" i="44" a="1"/>
  <c r="K425" i="44" s="1"/>
  <c r="H425" i="44" a="1"/>
  <c r="H425" i="44" s="1"/>
  <c r="I425" i="44" a="1"/>
  <c r="I425" i="44" s="1"/>
  <c r="D54" i="52"/>
  <c r="J416" i="44" a="1"/>
  <c r="J416" i="44" s="1"/>
  <c r="I416" i="44" a="1"/>
  <c r="I416" i="44" s="1"/>
  <c r="H416" i="44" a="1"/>
  <c r="H416" i="44" s="1"/>
  <c r="G416" i="44" a="1"/>
  <c r="G416" i="44" s="1"/>
  <c r="K416" i="44" a="1"/>
  <c r="K416" i="44" s="1"/>
  <c r="K417" i="44" a="1"/>
  <c r="K417" i="44" s="1"/>
  <c r="J417" i="44" a="1"/>
  <c r="J417" i="44" s="1"/>
  <c r="I417" i="44" a="1"/>
  <c r="I417" i="44" s="1"/>
  <c r="G417" i="44" a="1"/>
  <c r="G417" i="44" s="1"/>
  <c r="H417" i="44" a="1"/>
  <c r="H417" i="44" s="1"/>
  <c r="G492" i="44" a="1"/>
  <c r="G492" i="44" s="1"/>
  <c r="H492" i="44" a="1"/>
  <c r="H492" i="44" s="1"/>
  <c r="J492" i="44" a="1"/>
  <c r="J492" i="44" s="1"/>
  <c r="I492" i="44" a="1"/>
  <c r="I492" i="44" s="1"/>
  <c r="K492" i="44" a="1"/>
  <c r="K492" i="44" s="1"/>
  <c r="B43" i="47"/>
  <c r="I54" i="53"/>
  <c r="F54" i="52"/>
  <c r="H54" i="52"/>
  <c r="G54" i="52"/>
  <c r="E54" i="52"/>
  <c r="F85" i="52"/>
  <c r="F57" i="52" s="1"/>
  <c r="H51" i="44"/>
  <c r="K51" i="44"/>
  <c r="B3" i="17"/>
  <c r="B5" i="17" s="1"/>
  <c r="B3" i="24"/>
  <c r="B3" i="25"/>
  <c r="B3" i="44"/>
  <c r="B7" i="44" s="1"/>
  <c r="B3" i="42"/>
  <c r="B3" i="39"/>
  <c r="B3" i="45"/>
  <c r="B9" i="4" s="1"/>
  <c r="B3" i="41"/>
  <c r="B8" i="4" s="1"/>
  <c r="B3" i="38"/>
  <c r="B7" i="4" s="1"/>
  <c r="B3" i="40"/>
  <c r="A2" i="4"/>
  <c r="B5" i="4" s="1"/>
  <c r="C2" i="17"/>
  <c r="C2" i="24"/>
  <c r="C2" i="25"/>
  <c r="C2" i="44"/>
  <c r="C2" i="42"/>
  <c r="C2" i="39"/>
  <c r="C2" i="45"/>
  <c r="C2" i="41"/>
  <c r="C2" i="38"/>
  <c r="C2" i="40"/>
  <c r="B1" i="4"/>
  <c r="G256" i="44" l="1"/>
  <c r="L109" i="67"/>
  <c r="H80" i="53"/>
  <c r="H80" i="52"/>
  <c r="L37" i="67"/>
  <c r="K11" i="44"/>
  <c r="L111" i="67"/>
  <c r="L39" i="67"/>
  <c r="H118" i="67"/>
  <c r="H46" i="67"/>
  <c r="H117" i="67"/>
  <c r="H45" i="67"/>
  <c r="D76" i="53"/>
  <c r="D56" i="53" s="1"/>
  <c r="D76" i="52"/>
  <c r="D56" i="52" s="1"/>
  <c r="G10" i="44"/>
  <c r="E80" i="53"/>
  <c r="I37" i="67"/>
  <c r="E80" i="52"/>
  <c r="I109" i="67"/>
  <c r="H11" i="44"/>
  <c r="G82" i="53"/>
  <c r="G58" i="53" s="1"/>
  <c r="K107" i="67"/>
  <c r="K35" i="67"/>
  <c r="G82" i="52"/>
  <c r="G58" i="52" s="1"/>
  <c r="J12" i="44"/>
  <c r="K111" i="67"/>
  <c r="K39" i="67"/>
  <c r="K118" i="67"/>
  <c r="K46" i="67"/>
  <c r="E82" i="53"/>
  <c r="E58" i="53" s="1"/>
  <c r="E82" i="52"/>
  <c r="E58" i="52" s="1"/>
  <c r="H12" i="44"/>
  <c r="I35" i="67"/>
  <c r="I107" i="67"/>
  <c r="D80" i="53"/>
  <c r="H37" i="67"/>
  <c r="D80" i="52"/>
  <c r="H109" i="67"/>
  <c r="G11" i="44"/>
  <c r="J118" i="67"/>
  <c r="J46" i="67"/>
  <c r="F89" i="52"/>
  <c r="F89" i="53"/>
  <c r="I52" i="44"/>
  <c r="J65" i="67"/>
  <c r="J63" i="67" s="1"/>
  <c r="J137" i="67"/>
  <c r="J135" i="67" s="1"/>
  <c r="J145" i="67" s="1"/>
  <c r="J112" i="67"/>
  <c r="J40" i="67"/>
  <c r="J45" i="67"/>
  <c r="I10" i="44"/>
  <c r="F76" i="52"/>
  <c r="F56" i="52" s="1"/>
  <c r="J117" i="67"/>
  <c r="F76" i="53"/>
  <c r="F56" i="53" s="1"/>
  <c r="H35" i="67"/>
  <c r="G12" i="44"/>
  <c r="D82" i="52"/>
  <c r="D58" i="52" s="1"/>
  <c r="H107" i="67"/>
  <c r="D82" i="53"/>
  <c r="D58" i="53" s="1"/>
  <c r="E89" i="53"/>
  <c r="H52" i="44"/>
  <c r="H55" i="44" s="1"/>
  <c r="H91" i="44" s="1"/>
  <c r="I137" i="67"/>
  <c r="I135" i="67" s="1"/>
  <c r="I145" i="67" s="1"/>
  <c r="I65" i="67"/>
  <c r="I63" i="67" s="1"/>
  <c r="E89" i="52"/>
  <c r="I118" i="67"/>
  <c r="I46" i="67"/>
  <c r="H112" i="67"/>
  <c r="H40" i="67"/>
  <c r="I12" i="44"/>
  <c r="J107" i="67"/>
  <c r="F82" i="52"/>
  <c r="F58" i="52" s="1"/>
  <c r="F82" i="53"/>
  <c r="F58" i="53" s="1"/>
  <c r="J35" i="67"/>
  <c r="H111" i="67"/>
  <c r="H39" i="67"/>
  <c r="I112" i="67"/>
  <c r="I40" i="67"/>
  <c r="H76" i="52"/>
  <c r="H56" i="52" s="1"/>
  <c r="K10" i="44"/>
  <c r="H76" i="53"/>
  <c r="H56" i="53" s="1"/>
  <c r="L45" i="67"/>
  <c r="L117" i="67"/>
  <c r="L107" i="67"/>
  <c r="H82" i="52"/>
  <c r="H58" i="52" s="1"/>
  <c r="H82" i="53"/>
  <c r="H58" i="53" s="1"/>
  <c r="L35" i="67"/>
  <c r="K12" i="44"/>
  <c r="K52" i="44"/>
  <c r="K55" i="44" s="1"/>
  <c r="K91" i="44" s="1"/>
  <c r="H89" i="52"/>
  <c r="L65" i="67"/>
  <c r="L63" i="67" s="1"/>
  <c r="L137" i="67"/>
  <c r="L135" i="67" s="1"/>
  <c r="L145" i="67" s="1"/>
  <c r="H89" i="53"/>
  <c r="K112" i="67"/>
  <c r="K40" i="67"/>
  <c r="I111" i="67"/>
  <c r="I39" i="67"/>
  <c r="L112" i="67"/>
  <c r="L40" i="67"/>
  <c r="H10" i="44"/>
  <c r="E76" i="52"/>
  <c r="E56" i="52" s="1"/>
  <c r="I45" i="67"/>
  <c r="I117" i="67"/>
  <c r="E76" i="53"/>
  <c r="E56" i="53" s="1"/>
  <c r="J37" i="67"/>
  <c r="F80" i="53"/>
  <c r="F80" i="52"/>
  <c r="J109" i="67"/>
  <c r="I11" i="44"/>
  <c r="K65" i="67"/>
  <c r="K63" i="67" s="1"/>
  <c r="K137" i="67"/>
  <c r="K135" i="67" s="1"/>
  <c r="K145" i="67" s="1"/>
  <c r="G89" i="53"/>
  <c r="G89" i="52"/>
  <c r="J52" i="44"/>
  <c r="J111" i="67"/>
  <c r="J39" i="67"/>
  <c r="L118" i="67"/>
  <c r="L46" i="67"/>
  <c r="K45" i="67"/>
  <c r="K117" i="67"/>
  <c r="G76" i="53"/>
  <c r="G56" i="53" s="1"/>
  <c r="J10" i="44"/>
  <c r="G76" i="52"/>
  <c r="G56" i="52" s="1"/>
  <c r="G80" i="52"/>
  <c r="K109" i="67"/>
  <c r="K37" i="67"/>
  <c r="G80" i="53"/>
  <c r="J11" i="44"/>
  <c r="H65" i="67"/>
  <c r="H63" i="67" s="1"/>
  <c r="D89" i="53"/>
  <c r="H137" i="67"/>
  <c r="H135" i="67" s="1"/>
  <c r="G52" i="44"/>
  <c r="D89" i="52"/>
  <c r="B10" i="24"/>
  <c r="B31" i="24" s="1"/>
  <c r="S117" i="67"/>
  <c r="S45" i="67"/>
  <c r="O45" i="67"/>
  <c r="O117" i="67"/>
  <c r="P117" i="67"/>
  <c r="P45" i="67"/>
  <c r="Q45" i="67"/>
  <c r="Q117" i="67"/>
  <c r="R45" i="67"/>
  <c r="R117" i="67"/>
  <c r="D34" i="53"/>
  <c r="N82" i="52"/>
  <c r="N58" i="52" s="1"/>
  <c r="L107" i="65" s="1"/>
  <c r="I258" i="44"/>
  <c r="Q107" i="67"/>
  <c r="Q35" i="67"/>
  <c r="N82" i="53"/>
  <c r="N58" i="53" s="1"/>
  <c r="G257" i="44"/>
  <c r="O109" i="67"/>
  <c r="O37" i="67"/>
  <c r="L80" i="52"/>
  <c r="L59" i="52" s="1"/>
  <c r="L80" i="53"/>
  <c r="Q118" i="67"/>
  <c r="Q46" i="67"/>
  <c r="N76" i="52"/>
  <c r="N56" i="52" s="1"/>
  <c r="I107" i="65" s="1"/>
  <c r="N76" i="53"/>
  <c r="N56" i="53" s="1"/>
  <c r="I256" i="44"/>
  <c r="O82" i="52"/>
  <c r="O58" i="52" s="1"/>
  <c r="L108" i="65" s="1"/>
  <c r="R35" i="67"/>
  <c r="O82" i="53"/>
  <c r="O58" i="53" s="1"/>
  <c r="R107" i="67"/>
  <c r="J258" i="44"/>
  <c r="O111" i="67"/>
  <c r="O39" i="67"/>
  <c r="R118" i="67"/>
  <c r="Y118" i="67" s="1"/>
  <c r="R46" i="67"/>
  <c r="O76" i="53"/>
  <c r="O56" i="53" s="1"/>
  <c r="J256" i="44"/>
  <c r="O76" i="52"/>
  <c r="O56" i="52" s="1"/>
  <c r="I108" i="65" s="1"/>
  <c r="L89" i="53"/>
  <c r="O65" i="67"/>
  <c r="O63" i="67" s="1"/>
  <c r="G298" i="44"/>
  <c r="O137" i="67"/>
  <c r="O135" i="67" s="1"/>
  <c r="P107" i="67"/>
  <c r="P35" i="67"/>
  <c r="M82" i="53"/>
  <c r="M58" i="53" s="1"/>
  <c r="H258" i="44"/>
  <c r="M82" i="52"/>
  <c r="M58" i="52" s="1"/>
  <c r="L106" i="65" s="1"/>
  <c r="P111" i="67"/>
  <c r="P39" i="67"/>
  <c r="S118" i="67"/>
  <c r="S46" i="67"/>
  <c r="P76" i="52"/>
  <c r="P56" i="52" s="1"/>
  <c r="I109" i="65" s="1"/>
  <c r="P76" i="53"/>
  <c r="P56" i="53" s="1"/>
  <c r="K256" i="44"/>
  <c r="M89" i="53"/>
  <c r="M89" i="52"/>
  <c r="H298" i="44"/>
  <c r="P65" i="67"/>
  <c r="P63" i="67" s="1"/>
  <c r="P73" i="67" s="1"/>
  <c r="P137" i="67"/>
  <c r="P135" i="67" s="1"/>
  <c r="L82" i="53"/>
  <c r="L58" i="53" s="1"/>
  <c r="L82" i="52"/>
  <c r="L58" i="52" s="1"/>
  <c r="L105" i="65" s="1"/>
  <c r="G258" i="44"/>
  <c r="O107" i="67"/>
  <c r="O35" i="67"/>
  <c r="Q111" i="67"/>
  <c r="Q39" i="67"/>
  <c r="R112" i="67"/>
  <c r="R40" i="67"/>
  <c r="I298" i="44"/>
  <c r="N89" i="53"/>
  <c r="N89" i="52"/>
  <c r="Q137" i="67"/>
  <c r="Q135" i="67" s="1"/>
  <c r="Q65" i="67"/>
  <c r="Q63" i="67" s="1"/>
  <c r="Q73" i="67" s="1"/>
  <c r="N80" i="52"/>
  <c r="I257" i="44"/>
  <c r="N80" i="53"/>
  <c r="Q109" i="67"/>
  <c r="Q37" i="67"/>
  <c r="R39" i="67"/>
  <c r="R111" i="67"/>
  <c r="Q40" i="67"/>
  <c r="Q112" i="67"/>
  <c r="O89" i="52"/>
  <c r="O89" i="53"/>
  <c r="J298" i="44"/>
  <c r="R65" i="67"/>
  <c r="R63" i="67" s="1"/>
  <c r="R73" i="67" s="1"/>
  <c r="R137" i="67"/>
  <c r="R135" i="67" s="1"/>
  <c r="J257" i="44"/>
  <c r="R109" i="67"/>
  <c r="R37" i="67"/>
  <c r="O80" i="53"/>
  <c r="O80" i="52"/>
  <c r="S39" i="67"/>
  <c r="S111" i="67"/>
  <c r="S112" i="67"/>
  <c r="S40" i="67"/>
  <c r="P89" i="52"/>
  <c r="P89" i="53"/>
  <c r="K298" i="44"/>
  <c r="S137" i="67"/>
  <c r="S135" i="67" s="1"/>
  <c r="S65" i="67"/>
  <c r="S63" i="67" s="1"/>
  <c r="S73" i="67" s="1"/>
  <c r="K257" i="44"/>
  <c r="S109" i="67"/>
  <c r="S37" i="67"/>
  <c r="P80" i="52"/>
  <c r="P80" i="53"/>
  <c r="P118" i="67"/>
  <c r="P46" i="67"/>
  <c r="M76" i="53"/>
  <c r="M56" i="53" s="1"/>
  <c r="M76" i="52"/>
  <c r="M56" i="52" s="1"/>
  <c r="I106" i="65" s="1"/>
  <c r="H256" i="44"/>
  <c r="O112" i="67"/>
  <c r="O40" i="67"/>
  <c r="K258" i="44"/>
  <c r="S107" i="67"/>
  <c r="S35" i="67"/>
  <c r="P82" i="53"/>
  <c r="P58" i="53" s="1"/>
  <c r="P82" i="52"/>
  <c r="P58" i="52" s="1"/>
  <c r="L109" i="65" s="1"/>
  <c r="H257" i="44"/>
  <c r="P109" i="67"/>
  <c r="P37" i="67"/>
  <c r="M80" i="53"/>
  <c r="M80" i="52"/>
  <c r="O118" i="67"/>
  <c r="O46" i="67"/>
  <c r="L76" i="52"/>
  <c r="L56" i="52" s="1"/>
  <c r="L76" i="53"/>
  <c r="L56" i="53" s="1"/>
  <c r="P112" i="67"/>
  <c r="P40" i="67"/>
  <c r="B11" i="4"/>
  <c r="B5" i="39"/>
  <c r="B5" i="25"/>
  <c r="B12" i="25" s="1"/>
  <c r="J51" i="44"/>
  <c r="G51" i="44"/>
  <c r="I51" i="44"/>
  <c r="G57" i="53"/>
  <c r="E57" i="53"/>
  <c r="F57" i="53"/>
  <c r="D57" i="53"/>
  <c r="H57" i="53"/>
  <c r="G85" i="52"/>
  <c r="E85" i="52"/>
  <c r="E57" i="52" s="1"/>
  <c r="D85" i="52"/>
  <c r="H85" i="52"/>
  <c r="I54" i="52"/>
  <c r="D34" i="52" s="1"/>
  <c r="Q54" i="52"/>
  <c r="B5" i="40"/>
  <c r="B39" i="40" s="1"/>
  <c r="B6" i="4"/>
  <c r="B142" i="44"/>
  <c r="H56" i="44"/>
  <c r="H136" i="44" s="1"/>
  <c r="B5" i="42"/>
  <c r="B130" i="42" s="1"/>
  <c r="B5" i="38"/>
  <c r="B12" i="38" s="1"/>
  <c r="B19" i="38" s="1"/>
  <c r="B5" i="41"/>
  <c r="B136" i="41" s="1"/>
  <c r="B5" i="45"/>
  <c r="B19" i="39" l="1"/>
  <c r="W109" i="67"/>
  <c r="Y111" i="67"/>
  <c r="G135" i="67"/>
  <c r="F70" i="74" s="1" a="1"/>
  <c r="F70" i="74" s="1"/>
  <c r="I70" i="74" s="1"/>
  <c r="H145" i="67"/>
  <c r="G145" i="67" s="1"/>
  <c r="Z135" i="67"/>
  <c r="S145" i="67"/>
  <c r="W135" i="67"/>
  <c r="P145" i="67"/>
  <c r="V135" i="67"/>
  <c r="N135" i="67"/>
  <c r="O145" i="67"/>
  <c r="Q145" i="67"/>
  <c r="X135" i="67"/>
  <c r="R145" i="67"/>
  <c r="Y135" i="67"/>
  <c r="F59" i="52"/>
  <c r="F60" i="52" s="1"/>
  <c r="F61" i="52" s="1"/>
  <c r="Z109" i="67"/>
  <c r="N63" i="67"/>
  <c r="G30" i="74" s="1" a="1"/>
  <c r="G30" i="74" s="1"/>
  <c r="O73" i="67"/>
  <c r="X118" i="67"/>
  <c r="X112" i="67"/>
  <c r="G59" i="53"/>
  <c r="V35" i="67"/>
  <c r="Z117" i="67"/>
  <c r="Y112" i="67"/>
  <c r="I18" i="44"/>
  <c r="I19" i="44" s="1" a="1"/>
  <c r="I19" i="44" s="1"/>
  <c r="I20" i="44" s="1"/>
  <c r="I21" i="44" s="1"/>
  <c r="I22" i="44" s="1"/>
  <c r="I23" i="44" s="1" a="1"/>
  <c r="I23" i="44" s="1"/>
  <c r="X109" i="67"/>
  <c r="W117" i="67"/>
  <c r="Y117" i="67"/>
  <c r="F59" i="53"/>
  <c r="F60" i="53" s="1"/>
  <c r="F61" i="53" s="1"/>
  <c r="F65" i="53" s="1"/>
  <c r="Z118" i="67"/>
  <c r="G118" i="67"/>
  <c r="F63" i="74" s="1" a="1"/>
  <c r="F63" i="74" s="1"/>
  <c r="I63" i="74" s="1"/>
  <c r="G18" i="44"/>
  <c r="G19" i="44" s="1" a="1"/>
  <c r="G19" i="44" s="1"/>
  <c r="G20" i="44" s="1"/>
  <c r="G21" i="44" s="1"/>
  <c r="G22" i="44" s="1"/>
  <c r="G23" i="44" s="1" a="1"/>
  <c r="G23" i="44" s="1"/>
  <c r="K48" i="67"/>
  <c r="W111" i="67"/>
  <c r="W118" i="67"/>
  <c r="Z112" i="67"/>
  <c r="G111" i="67"/>
  <c r="F58" i="74" s="1" a="1"/>
  <c r="F58" i="74" s="1"/>
  <c r="I58" i="74" s="1"/>
  <c r="H120" i="67"/>
  <c r="G107" i="67"/>
  <c r="F55" i="74" s="1" a="1"/>
  <c r="F55" i="74" s="1"/>
  <c r="I55" i="74" s="1"/>
  <c r="I48" i="67"/>
  <c r="X111" i="67"/>
  <c r="J35" i="44"/>
  <c r="J43" i="44"/>
  <c r="J26" i="44"/>
  <c r="J48" i="67"/>
  <c r="I58" i="52"/>
  <c r="E59" i="53"/>
  <c r="E60" i="53" s="1"/>
  <c r="E61" i="53" s="1"/>
  <c r="E65" i="53" s="1"/>
  <c r="G137" i="67"/>
  <c r="F71" i="74" s="1" a="1"/>
  <c r="F71" i="74" s="1"/>
  <c r="I71" i="74" s="1"/>
  <c r="V107" i="67"/>
  <c r="J18" i="44"/>
  <c r="J19" i="44" s="1" a="1"/>
  <c r="J19" i="44" s="1"/>
  <c r="J20" i="44" s="1"/>
  <c r="J21" i="44" s="1"/>
  <c r="J22" i="44" s="1"/>
  <c r="K43" i="44"/>
  <c r="K44" i="44" s="1" a="1"/>
  <c r="K44" i="44" s="1"/>
  <c r="K45" i="44" s="1"/>
  <c r="K46" i="44" s="1"/>
  <c r="K47" i="44" s="1"/>
  <c r="K35" i="44"/>
  <c r="K26" i="44"/>
  <c r="H48" i="67"/>
  <c r="G35" i="67"/>
  <c r="F15" i="74" s="1" a="1"/>
  <c r="F15" i="74" s="1"/>
  <c r="G109" i="67"/>
  <c r="F56" i="74" s="1" a="1"/>
  <c r="F56" i="74" s="1"/>
  <c r="I56" i="74" s="1"/>
  <c r="K120" i="67"/>
  <c r="K97" i="67" s="1"/>
  <c r="K96" i="67" s="1"/>
  <c r="K93" i="67" s="1"/>
  <c r="I56" i="52"/>
  <c r="F34" i="52" s="1"/>
  <c r="K18" i="44"/>
  <c r="K19" i="44" s="1" a="1"/>
  <c r="K19" i="44" s="1"/>
  <c r="K20" i="44" s="1"/>
  <c r="K21" i="44" s="1"/>
  <c r="K22" i="44" s="1"/>
  <c r="G65" i="67"/>
  <c r="F31" i="74" s="1" a="1"/>
  <c r="F31" i="74" s="1"/>
  <c r="L48" i="67"/>
  <c r="J120" i="67"/>
  <c r="J97" i="67" s="1"/>
  <c r="J96" i="67" s="1"/>
  <c r="J93" i="67" s="1"/>
  <c r="D59" i="52"/>
  <c r="I56" i="53"/>
  <c r="F34" i="53" s="1"/>
  <c r="K56" i="44"/>
  <c r="K136" i="44" s="1"/>
  <c r="K137" i="44" s="1" a="1"/>
  <c r="K137" i="44" s="1"/>
  <c r="G37" i="67"/>
  <c r="F16" i="74" s="1" a="1"/>
  <c r="F16" i="74" s="1"/>
  <c r="H18" i="44"/>
  <c r="G45" i="67"/>
  <c r="F22" i="74" s="1" a="1"/>
  <c r="F22" i="74" s="1"/>
  <c r="H59" i="52"/>
  <c r="G26" i="44"/>
  <c r="G43" i="44"/>
  <c r="G35" i="44"/>
  <c r="G36" i="44" s="1" a="1"/>
  <c r="G36" i="44" s="1"/>
  <c r="G37" i="44" s="1"/>
  <c r="G38" i="44" s="1"/>
  <c r="G39" i="44" s="1"/>
  <c r="G40" i="67"/>
  <c r="F19" i="74" s="1" a="1"/>
  <c r="F19" i="74" s="1"/>
  <c r="D59" i="53"/>
  <c r="D60" i="53" s="1"/>
  <c r="D61" i="53" s="1"/>
  <c r="G117" i="67"/>
  <c r="F62" i="74" s="1" a="1"/>
  <c r="F62" i="74" s="1"/>
  <c r="I62" i="74" s="1"/>
  <c r="H59" i="53"/>
  <c r="H60" i="53" s="1"/>
  <c r="G59" i="52"/>
  <c r="H35" i="44"/>
  <c r="H36" i="44" s="1" a="1"/>
  <c r="H36" i="44" s="1"/>
  <c r="H37" i="44" s="1"/>
  <c r="H38" i="44" s="1"/>
  <c r="H39" i="44" s="1"/>
  <c r="H26" i="44"/>
  <c r="H43" i="44"/>
  <c r="L120" i="67"/>
  <c r="L97" i="67" s="1"/>
  <c r="L96" i="67" s="1"/>
  <c r="L93" i="67" s="1"/>
  <c r="G39" i="67"/>
  <c r="F18" i="74" s="1" a="1"/>
  <c r="F18" i="74" s="1"/>
  <c r="G112" i="67"/>
  <c r="F59" i="74" s="1" a="1"/>
  <c r="F59" i="74" s="1"/>
  <c r="I59" i="74" s="1"/>
  <c r="I58" i="53"/>
  <c r="I43" i="44"/>
  <c r="I35" i="44"/>
  <c r="I36" i="44" s="1" a="1"/>
  <c r="I36" i="44" s="1"/>
  <c r="I37" i="44" s="1"/>
  <c r="I38" i="44" s="1"/>
  <c r="I39" i="44" s="1"/>
  <c r="I26" i="44"/>
  <c r="I27" i="44" s="1" a="1"/>
  <c r="I27" i="44" s="1"/>
  <c r="I28" i="44" s="1"/>
  <c r="I29" i="44" s="1"/>
  <c r="I30" i="44" s="1"/>
  <c r="I120" i="67"/>
  <c r="I97" i="67" s="1"/>
  <c r="I96" i="67" s="1"/>
  <c r="I93" i="67" s="1"/>
  <c r="E59" i="52"/>
  <c r="G46" i="67"/>
  <c r="F23" i="74" s="1" a="1"/>
  <c r="F23" i="74" s="1"/>
  <c r="D57" i="52"/>
  <c r="D35" i="52"/>
  <c r="D39" i="52" s="1"/>
  <c r="G68" i="74" a="1"/>
  <c r="G68" i="74" s="1"/>
  <c r="N117" i="67"/>
  <c r="D39" i="53"/>
  <c r="X117" i="67"/>
  <c r="L60" i="52"/>
  <c r="R120" i="67"/>
  <c r="O120" i="67"/>
  <c r="N112" i="67"/>
  <c r="Q120" i="67"/>
  <c r="Y109" i="67"/>
  <c r="W112" i="67"/>
  <c r="N118" i="67"/>
  <c r="G63" i="74" s="1" a="1"/>
  <c r="G63" i="74" s="1"/>
  <c r="N107" i="67"/>
  <c r="G55" i="74" s="1" a="1"/>
  <c r="G55" i="74" s="1"/>
  <c r="P120" i="67"/>
  <c r="I105" i="65"/>
  <c r="I113" i="65" s="1"/>
  <c r="H301" i="44"/>
  <c r="H308" i="44" s="1"/>
  <c r="H302" i="44"/>
  <c r="H360" i="44" s="1"/>
  <c r="G301" i="44"/>
  <c r="G344" i="44" s="1"/>
  <c r="G345" i="44" s="1" a="1"/>
  <c r="G345" i="44" s="1"/>
  <c r="G302" i="44"/>
  <c r="G367" i="44" s="1"/>
  <c r="I272" i="44"/>
  <c r="I273" i="44" s="1" a="1"/>
  <c r="I273" i="44" s="1"/>
  <c r="I289" i="44"/>
  <c r="I290" i="44" s="1" a="1"/>
  <c r="I290" i="44" s="1"/>
  <c r="I281" i="44"/>
  <c r="I282" i="44" s="1" a="1"/>
  <c r="I282" i="44" s="1"/>
  <c r="I264" i="44"/>
  <c r="I265" i="44" s="1" a="1"/>
  <c r="I265" i="44" s="1"/>
  <c r="G289" i="44"/>
  <c r="G290" i="44" s="1" a="1"/>
  <c r="G290" i="44" s="1"/>
  <c r="G264" i="44"/>
  <c r="G265" i="44" s="1" a="1"/>
  <c r="G265" i="44" s="1"/>
  <c r="G281" i="44"/>
  <c r="G282" i="44" s="1" a="1"/>
  <c r="G282" i="44" s="1"/>
  <c r="G272" i="44"/>
  <c r="G273" i="44" s="1" a="1"/>
  <c r="G273" i="44" s="1"/>
  <c r="H272" i="44"/>
  <c r="H273" i="44" s="1" a="1"/>
  <c r="H273" i="44" s="1"/>
  <c r="H289" i="44"/>
  <c r="H290" i="44" s="1" a="1"/>
  <c r="H290" i="44" s="1"/>
  <c r="H281" i="44"/>
  <c r="H282" i="44" s="1" a="1"/>
  <c r="H282" i="44" s="1"/>
  <c r="H264" i="44"/>
  <c r="H265" i="44" s="1" a="1"/>
  <c r="H265" i="44" s="1"/>
  <c r="K272" i="44"/>
  <c r="K273" i="44" s="1" a="1"/>
  <c r="K273" i="44" s="1"/>
  <c r="K289" i="44"/>
  <c r="K290" i="44" s="1" a="1"/>
  <c r="K290" i="44" s="1"/>
  <c r="K281" i="44"/>
  <c r="K282" i="44" s="1" a="1"/>
  <c r="K282" i="44" s="1"/>
  <c r="K264" i="44"/>
  <c r="K265" i="44" s="1" a="1"/>
  <c r="K265" i="44" s="1"/>
  <c r="J302" i="44"/>
  <c r="J375" i="44" s="1"/>
  <c r="J376" i="44" s="1" a="1"/>
  <c r="J376" i="44" s="1"/>
  <c r="J301" i="44"/>
  <c r="J330" i="44" s="1"/>
  <c r="J331" i="44" s="1" a="1"/>
  <c r="J331" i="44" s="1"/>
  <c r="I302" i="44"/>
  <c r="I367" i="44" s="1"/>
  <c r="I368" i="44" s="1" a="1"/>
  <c r="I368" i="44" s="1"/>
  <c r="I301" i="44"/>
  <c r="I308" i="44" s="1"/>
  <c r="J289" i="44"/>
  <c r="J290" i="44" s="1" a="1"/>
  <c r="J290" i="44" s="1"/>
  <c r="J264" i="44"/>
  <c r="J265" i="44" s="1" a="1"/>
  <c r="J265" i="44" s="1"/>
  <c r="J272" i="44"/>
  <c r="J273" i="44" s="1" a="1"/>
  <c r="J273" i="44" s="1"/>
  <c r="J281" i="44"/>
  <c r="J282" i="44" s="1" a="1"/>
  <c r="J282" i="44" s="1"/>
  <c r="K301" i="44"/>
  <c r="K337" i="44" s="1"/>
  <c r="K338" i="44" s="1" a="1"/>
  <c r="K338" i="44" s="1"/>
  <c r="K302" i="44"/>
  <c r="K360" i="44" s="1"/>
  <c r="F110" i="65"/>
  <c r="F125" i="65" s="1"/>
  <c r="N137" i="67"/>
  <c r="G71" i="74" s="1" a="1"/>
  <c r="G71" i="74" s="1"/>
  <c r="W39" i="67"/>
  <c r="Y40" i="67"/>
  <c r="Z45" i="67"/>
  <c r="Y45" i="67"/>
  <c r="Y46" i="67"/>
  <c r="W45" i="67"/>
  <c r="X45" i="67"/>
  <c r="X40" i="67"/>
  <c r="W40" i="67"/>
  <c r="Z40" i="67"/>
  <c r="W46" i="67"/>
  <c r="Z46" i="67"/>
  <c r="Y39" i="67"/>
  <c r="Z39" i="67"/>
  <c r="X39" i="67"/>
  <c r="X46" i="67"/>
  <c r="W37" i="67"/>
  <c r="Z37" i="67"/>
  <c r="Y37" i="67"/>
  <c r="X37" i="67"/>
  <c r="O48" i="67"/>
  <c r="N109" i="67"/>
  <c r="G56" i="74" s="1" a="1"/>
  <c r="G56" i="74" s="1"/>
  <c r="I115" i="65"/>
  <c r="I117" i="65"/>
  <c r="I114" i="65"/>
  <c r="I116" i="65"/>
  <c r="N35" i="67"/>
  <c r="X107" i="67"/>
  <c r="R48" i="67"/>
  <c r="Y35" i="67"/>
  <c r="V37" i="67"/>
  <c r="N37" i="67"/>
  <c r="Y107" i="67"/>
  <c r="V109" i="67"/>
  <c r="P48" i="67"/>
  <c r="W35" i="67"/>
  <c r="W107" i="67"/>
  <c r="V118" i="67"/>
  <c r="V112" i="67"/>
  <c r="S48" i="67"/>
  <c r="Z35" i="67"/>
  <c r="V39" i="67"/>
  <c r="N39" i="67"/>
  <c r="N45" i="67"/>
  <c r="V45" i="67"/>
  <c r="Q48" i="67"/>
  <c r="X35" i="67"/>
  <c r="V46" i="67"/>
  <c r="N46" i="67"/>
  <c r="V40" i="67"/>
  <c r="N40" i="67"/>
  <c r="Z107" i="67"/>
  <c r="V111" i="67"/>
  <c r="V117" i="67"/>
  <c r="L115" i="65"/>
  <c r="L122" i="65"/>
  <c r="L113" i="65"/>
  <c r="L120" i="65"/>
  <c r="L116" i="65"/>
  <c r="L123" i="65"/>
  <c r="L117" i="65"/>
  <c r="L124" i="65"/>
  <c r="L114" i="65"/>
  <c r="L121" i="65"/>
  <c r="Q58" i="53"/>
  <c r="H57" i="52"/>
  <c r="G57" i="52"/>
  <c r="Q58" i="52"/>
  <c r="O59" i="52"/>
  <c r="M108" i="65" s="1"/>
  <c r="M105" i="65"/>
  <c r="O59" i="53"/>
  <c r="O60" i="53" s="1"/>
  <c r="O61" i="53" s="1"/>
  <c r="O65" i="53" s="1"/>
  <c r="N59" i="53"/>
  <c r="N60" i="53" s="1"/>
  <c r="N61" i="53" s="1"/>
  <c r="N65" i="53" s="1"/>
  <c r="P59" i="52"/>
  <c r="M109" i="65" s="1"/>
  <c r="P59" i="53"/>
  <c r="P60" i="53" s="1"/>
  <c r="P61" i="53" s="1"/>
  <c r="L59" i="53"/>
  <c r="L60" i="53" s="1"/>
  <c r="N59" i="52"/>
  <c r="M107" i="65" s="1"/>
  <c r="M59" i="52"/>
  <c r="M106" i="65" s="1"/>
  <c r="M59" i="53"/>
  <c r="M60" i="53" s="1"/>
  <c r="M61" i="53" s="1"/>
  <c r="Q56" i="53"/>
  <c r="F35" i="53" s="1"/>
  <c r="Q57" i="53"/>
  <c r="Q56" i="52"/>
  <c r="Q57" i="52"/>
  <c r="H137" i="44" a="1"/>
  <c r="H137" i="44" s="1"/>
  <c r="H138" i="44" s="1"/>
  <c r="G55" i="44"/>
  <c r="G62" i="44" s="1"/>
  <c r="G60" i="53"/>
  <c r="G61" i="53" s="1"/>
  <c r="G65" i="53" s="1"/>
  <c r="H92" i="44" a="1"/>
  <c r="H92" i="44" s="1"/>
  <c r="H93" i="44" s="1"/>
  <c r="K92" i="44" a="1"/>
  <c r="K92" i="44" s="1"/>
  <c r="K93" i="44" s="1"/>
  <c r="H84" i="44"/>
  <c r="H129" i="44"/>
  <c r="H121" i="44"/>
  <c r="K76" i="44"/>
  <c r="H76" i="44"/>
  <c r="H98" i="44"/>
  <c r="K84" i="44"/>
  <c r="H114" i="44"/>
  <c r="H107" i="44"/>
  <c r="K98" i="44"/>
  <c r="K69" i="44"/>
  <c r="H69" i="44"/>
  <c r="K62" i="44"/>
  <c r="H62" i="44"/>
  <c r="I57" i="53"/>
  <c r="J56" i="44"/>
  <c r="J121" i="44" s="1"/>
  <c r="I56" i="44"/>
  <c r="I107" i="44" s="1"/>
  <c r="B110" i="40"/>
  <c r="G56" i="44"/>
  <c r="G114" i="44" s="1"/>
  <c r="I55" i="44"/>
  <c r="I84" i="44" s="1"/>
  <c r="J55" i="44"/>
  <c r="J76" i="44" s="1"/>
  <c r="Z48" i="67" l="1"/>
  <c r="Q97" i="67"/>
  <c r="Q96" i="67" s="1"/>
  <c r="Q93" i="67" s="1"/>
  <c r="P97" i="67"/>
  <c r="P96" i="67" s="1"/>
  <c r="P93" i="67" s="1"/>
  <c r="N145" i="67"/>
  <c r="U145" i="67" s="1"/>
  <c r="R97" i="67"/>
  <c r="R96" i="67" s="1"/>
  <c r="R93" i="67" s="1"/>
  <c r="U135" i="67"/>
  <c r="G70" i="74" a="1"/>
  <c r="G70" i="74" s="1"/>
  <c r="M70" i="74" s="1"/>
  <c r="H322" i="44"/>
  <c r="H323" i="44" s="1" a="1"/>
  <c r="H323" i="44" s="1"/>
  <c r="G35" i="52"/>
  <c r="K114" i="44"/>
  <c r="K107" i="44"/>
  <c r="M63" i="74"/>
  <c r="M56" i="74"/>
  <c r="M55" i="74"/>
  <c r="M71" i="74"/>
  <c r="F65" i="52"/>
  <c r="I20" i="51"/>
  <c r="I9" i="51" s="1" a="1"/>
  <c r="I9" i="51" s="1"/>
  <c r="Y48" i="67"/>
  <c r="D60" i="52"/>
  <c r="G20" i="51"/>
  <c r="G9" i="51" s="1" a="1"/>
  <c r="G9" i="51" s="1"/>
  <c r="W48" i="67"/>
  <c r="I19" i="74"/>
  <c r="J19" i="74"/>
  <c r="I22" i="74"/>
  <c r="J22" i="74"/>
  <c r="I16" i="74"/>
  <c r="J16" i="74"/>
  <c r="I15" i="74"/>
  <c r="J15" i="74"/>
  <c r="I23" i="74"/>
  <c r="J23" i="74"/>
  <c r="I18" i="74"/>
  <c r="J18" i="74"/>
  <c r="I31" i="74"/>
  <c r="J31" i="74"/>
  <c r="V120" i="67"/>
  <c r="X48" i="67"/>
  <c r="K121" i="44"/>
  <c r="K122" i="44" s="1" a="1"/>
  <c r="K122" i="44" s="1"/>
  <c r="K123" i="44" s="1"/>
  <c r="K124" i="44" s="1"/>
  <c r="K125" i="44" s="1" a="1"/>
  <c r="K125" i="44" s="1"/>
  <c r="K129" i="44"/>
  <c r="K130" i="44" s="1" a="1"/>
  <c r="K130" i="44" s="1"/>
  <c r="K131" i="44" s="1"/>
  <c r="G27" i="44" a="1"/>
  <c r="G27" i="44" s="1"/>
  <c r="G28" i="44" s="1"/>
  <c r="G29" i="44" s="1"/>
  <c r="G30" i="44" s="1"/>
  <c r="J36" i="44" a="1"/>
  <c r="J36" i="44" s="1"/>
  <c r="J37" i="44" s="1"/>
  <c r="I59" i="52"/>
  <c r="H34" i="52" s="1"/>
  <c r="G133" i="67"/>
  <c r="F68" i="74" s="1" a="1"/>
  <c r="F68" i="74" s="1"/>
  <c r="I68" i="74" s="1"/>
  <c r="G48" i="67"/>
  <c r="I59" i="53"/>
  <c r="H34" i="53" s="1"/>
  <c r="H44" i="44" a="1"/>
  <c r="H44" i="44" s="1"/>
  <c r="H45" i="44" s="1"/>
  <c r="H46" i="44" s="1"/>
  <c r="H47" i="44" s="1"/>
  <c r="K27" i="44" a="1"/>
  <c r="K27" i="44" s="1"/>
  <c r="K28" i="44" s="1"/>
  <c r="K29" i="44" s="1"/>
  <c r="K30" i="44" s="1"/>
  <c r="I31" i="44" a="1"/>
  <c r="I31" i="44" s="1"/>
  <c r="I24" i="51"/>
  <c r="H27" i="44" a="1"/>
  <c r="H27" i="44" s="1"/>
  <c r="H28" i="44" s="1"/>
  <c r="H29" i="44" s="1"/>
  <c r="H30" i="44" s="1"/>
  <c r="H19" i="44" a="1"/>
  <c r="H19" i="44" s="1"/>
  <c r="H20" i="44" s="1"/>
  <c r="K36" i="44" a="1"/>
  <c r="K36" i="44" s="1"/>
  <c r="K37" i="44" s="1"/>
  <c r="I40" i="44" a="1"/>
  <c r="I40" i="44" s="1"/>
  <c r="S20" i="51"/>
  <c r="R20" i="51"/>
  <c r="H40" i="44" a="1"/>
  <c r="H40" i="44" s="1"/>
  <c r="Q20" i="51"/>
  <c r="G40" i="44" a="1"/>
  <c r="G40" i="44" s="1"/>
  <c r="K23" i="44" a="1"/>
  <c r="K23" i="44" s="1"/>
  <c r="K20" i="51"/>
  <c r="K48" i="44" a="1"/>
  <c r="K48" i="44" s="1"/>
  <c r="U24" i="51"/>
  <c r="J27" i="44" a="1"/>
  <c r="J27" i="44" s="1"/>
  <c r="J28" i="44" s="1"/>
  <c r="G120" i="67"/>
  <c r="I44" i="44" a="1"/>
  <c r="I44" i="44" s="1"/>
  <c r="I45" i="44" s="1"/>
  <c r="G44" i="44" a="1"/>
  <c r="G44" i="44" s="1"/>
  <c r="G45" i="44" s="1"/>
  <c r="G46" i="44" s="1"/>
  <c r="G47" i="44" s="1"/>
  <c r="J20" i="51"/>
  <c r="J23" i="44" a="1"/>
  <c r="J23" i="44" s="1"/>
  <c r="J44" i="44" a="1"/>
  <c r="J44" i="44" s="1"/>
  <c r="J45" i="44" s="1"/>
  <c r="J46" i="44" s="1"/>
  <c r="J47" i="44" s="1"/>
  <c r="U45" i="67"/>
  <c r="G22" i="74" a="1"/>
  <c r="G22" i="74" s="1"/>
  <c r="U117" i="67"/>
  <c r="G62" i="74" a="1"/>
  <c r="G62" i="74" s="1"/>
  <c r="U39" i="67"/>
  <c r="G18" i="74" a="1"/>
  <c r="G18" i="74" s="1"/>
  <c r="U35" i="67"/>
  <c r="G15" i="74" a="1"/>
  <c r="G15" i="74" s="1"/>
  <c r="U46" i="67"/>
  <c r="G23" i="74" a="1"/>
  <c r="G23" i="74" s="1"/>
  <c r="U40" i="67"/>
  <c r="G19" i="74" a="1"/>
  <c r="G19" i="74" s="1"/>
  <c r="U37" i="67"/>
  <c r="G16" i="74" a="1"/>
  <c r="G16" i="74" s="1"/>
  <c r="U112" i="67"/>
  <c r="G59" i="74" a="1"/>
  <c r="G59" i="74" s="1"/>
  <c r="U109" i="67"/>
  <c r="U107" i="67"/>
  <c r="U118" i="67"/>
  <c r="Y120" i="67"/>
  <c r="W120" i="67"/>
  <c r="X120" i="67"/>
  <c r="K274" i="44"/>
  <c r="K275" i="44" s="1"/>
  <c r="K276" i="44" s="1"/>
  <c r="K277" i="44" s="1" a="1"/>
  <c r="K277" i="44" s="1"/>
  <c r="K266" i="44"/>
  <c r="K267" i="44" s="1"/>
  <c r="K268" i="44" s="1"/>
  <c r="K269" i="44" s="1" a="1"/>
  <c r="K269" i="44" s="1"/>
  <c r="I274" i="44"/>
  <c r="I275" i="44" s="1"/>
  <c r="I276" i="44" s="1"/>
  <c r="I277" i="44" s="1" a="1"/>
  <c r="I277" i="44" s="1"/>
  <c r="K283" i="44"/>
  <c r="K284" i="44" s="1"/>
  <c r="K285" i="44" s="1"/>
  <c r="K286" i="44" s="1" a="1"/>
  <c r="K286" i="44" s="1"/>
  <c r="G283" i="44"/>
  <c r="G284" i="44" s="1"/>
  <c r="G285" i="44" s="1"/>
  <c r="G286" i="44" s="1" a="1"/>
  <c r="G286" i="44" s="1"/>
  <c r="I266" i="44"/>
  <c r="I267" i="44" s="1"/>
  <c r="I268" i="44" s="1"/>
  <c r="I269" i="44" s="1" a="1"/>
  <c r="I269" i="44" s="1"/>
  <c r="H266" i="44"/>
  <c r="H267" i="44" s="1"/>
  <c r="H268" i="44" s="1"/>
  <c r="H269" i="44" s="1" a="1"/>
  <c r="H269" i="44" s="1"/>
  <c r="J274" i="44"/>
  <c r="J275" i="44" s="1"/>
  <c r="J276" i="44" s="1"/>
  <c r="J277" i="44" s="1" a="1"/>
  <c r="J277" i="44" s="1"/>
  <c r="J283" i="44"/>
  <c r="J284" i="44" s="1"/>
  <c r="J285" i="44" s="1"/>
  <c r="J286" i="44" s="1" a="1"/>
  <c r="J286" i="44" s="1"/>
  <c r="G274" i="44"/>
  <c r="G275" i="44" s="1"/>
  <c r="G276" i="44" s="1"/>
  <c r="G277" i="44" s="1" a="1"/>
  <c r="G277" i="44" s="1"/>
  <c r="H291" i="44"/>
  <c r="H292" i="44" s="1"/>
  <c r="H293" i="44" s="1"/>
  <c r="H294" i="44" s="1" a="1"/>
  <c r="H294" i="44" s="1"/>
  <c r="G35" i="53"/>
  <c r="H283" i="44"/>
  <c r="H284" i="44" s="1"/>
  <c r="H285" i="44" s="1"/>
  <c r="H286" i="44" s="1" a="1"/>
  <c r="H286" i="44" s="1"/>
  <c r="K353" i="44"/>
  <c r="K382" i="44"/>
  <c r="K383" i="44" s="1" a="1"/>
  <c r="K383" i="44" s="1"/>
  <c r="H382" i="44"/>
  <c r="H383" i="44" s="1" a="1"/>
  <c r="H383" i="44" s="1"/>
  <c r="K367" i="44"/>
  <c r="K368" i="44" s="1" a="1"/>
  <c r="K368" i="44" s="1"/>
  <c r="H375" i="44"/>
  <c r="H376" i="44" s="1" a="1"/>
  <c r="H376" i="44" s="1"/>
  <c r="K375" i="44"/>
  <c r="K376" i="44" s="1" a="1"/>
  <c r="K376" i="44" s="1"/>
  <c r="G382" i="44"/>
  <c r="G383" i="44" s="1" a="1"/>
  <c r="G383" i="44" s="1"/>
  <c r="I344" i="44"/>
  <c r="I345" i="44" s="1" a="1"/>
  <c r="I345" i="44" s="1"/>
  <c r="H330" i="44"/>
  <c r="H331" i="44" s="1" a="1"/>
  <c r="H331" i="44" s="1"/>
  <c r="K330" i="44"/>
  <c r="K331" i="44" s="1" a="1"/>
  <c r="K331" i="44" s="1"/>
  <c r="I322" i="44"/>
  <c r="G375" i="44"/>
  <c r="G376" i="44" s="1" a="1"/>
  <c r="G376" i="44" s="1"/>
  <c r="H337" i="44"/>
  <c r="H338" i="44" s="1" a="1"/>
  <c r="H338" i="44" s="1"/>
  <c r="I315" i="44"/>
  <c r="G360" i="44"/>
  <c r="G361" i="44" s="1" a="1"/>
  <c r="G361" i="44" s="1"/>
  <c r="G353" i="44"/>
  <c r="G354" i="44" s="1" a="1"/>
  <c r="G354" i="44" s="1"/>
  <c r="H353" i="44"/>
  <c r="K322" i="44"/>
  <c r="K323" i="44" s="1" a="1"/>
  <c r="K323" i="44" s="1"/>
  <c r="J315" i="44"/>
  <c r="H367" i="44"/>
  <c r="H368" i="44" s="1" a="1"/>
  <c r="H368" i="44" s="1"/>
  <c r="J291" i="44"/>
  <c r="J292" i="44" s="1"/>
  <c r="J293" i="44" s="1"/>
  <c r="J294" i="44" s="1" a="1"/>
  <c r="J294" i="44" s="1"/>
  <c r="K308" i="44"/>
  <c r="J308" i="44"/>
  <c r="I330" i="44"/>
  <c r="I331" i="44" s="1" a="1"/>
  <c r="I331" i="44" s="1"/>
  <c r="J382" i="44"/>
  <c r="J383" i="44" s="1" a="1"/>
  <c r="J383" i="44" s="1"/>
  <c r="I360" i="44"/>
  <c r="J322" i="44"/>
  <c r="J323" i="44" s="1" a="1"/>
  <c r="J323" i="44" s="1"/>
  <c r="I337" i="44"/>
  <c r="I338" i="44" s="1" a="1"/>
  <c r="I338" i="44" s="1"/>
  <c r="J337" i="44"/>
  <c r="J338" i="44" s="1" a="1"/>
  <c r="J338" i="44" s="1"/>
  <c r="G315" i="44"/>
  <c r="G316" i="44" s="1" a="1"/>
  <c r="G316" i="44" s="1"/>
  <c r="J344" i="44"/>
  <c r="J345" i="44" s="1" a="1"/>
  <c r="J345" i="44" s="1"/>
  <c r="G308" i="44"/>
  <c r="G309" i="44" s="1" a="1"/>
  <c r="G309" i="44" s="1"/>
  <c r="H315" i="44"/>
  <c r="J367" i="44"/>
  <c r="J368" i="44" s="1" a="1"/>
  <c r="J368" i="44" s="1"/>
  <c r="K344" i="44"/>
  <c r="K345" i="44" s="1" a="1"/>
  <c r="K345" i="44" s="1"/>
  <c r="G330" i="44"/>
  <c r="G331" i="44" s="1" a="1"/>
  <c r="G331" i="44" s="1"/>
  <c r="G322" i="44"/>
  <c r="K315" i="44"/>
  <c r="I382" i="44"/>
  <c r="I383" i="44" s="1" a="1"/>
  <c r="I383" i="44" s="1"/>
  <c r="J353" i="44"/>
  <c r="G337" i="44"/>
  <c r="I353" i="44"/>
  <c r="I375" i="44"/>
  <c r="I376" i="44" s="1" a="1"/>
  <c r="I376" i="44" s="1"/>
  <c r="J360" i="44"/>
  <c r="H344" i="44"/>
  <c r="H345" i="44" s="1" a="1"/>
  <c r="H345" i="44" s="1"/>
  <c r="L110" i="65"/>
  <c r="L125" i="65" s="1"/>
  <c r="J110" i="65"/>
  <c r="J125" i="65" s="1"/>
  <c r="I110" i="65"/>
  <c r="I125" i="65" s="1"/>
  <c r="F35" i="52"/>
  <c r="F39" i="53"/>
  <c r="N111" i="67"/>
  <c r="Z111" i="67"/>
  <c r="S120" i="67"/>
  <c r="N48" i="67"/>
  <c r="V48" i="67"/>
  <c r="I122" i="65"/>
  <c r="I123" i="65"/>
  <c r="I124" i="65"/>
  <c r="I121" i="65"/>
  <c r="M65" i="53"/>
  <c r="E60" i="52"/>
  <c r="E61" i="52" s="1"/>
  <c r="G60" i="52"/>
  <c r="G61" i="52" s="1"/>
  <c r="G65" i="52" s="1"/>
  <c r="H60" i="52"/>
  <c r="P65" i="53"/>
  <c r="O97" i="67"/>
  <c r="F118" i="65"/>
  <c r="I120" i="65"/>
  <c r="M114" i="65"/>
  <c r="I57" i="52"/>
  <c r="N105" i="65"/>
  <c r="O60" i="52"/>
  <c r="N108" i="65" s="1"/>
  <c r="N60" i="52"/>
  <c r="N107" i="65" s="1"/>
  <c r="P60" i="52"/>
  <c r="N109" i="65" s="1"/>
  <c r="K339" i="44"/>
  <c r="H274" i="44"/>
  <c r="K291" i="44"/>
  <c r="K292" i="44" s="1"/>
  <c r="K293" i="44" s="1"/>
  <c r="K294" i="44" s="1" a="1"/>
  <c r="K294" i="44" s="1"/>
  <c r="G266" i="44"/>
  <c r="I283" i="44"/>
  <c r="I291" i="44"/>
  <c r="G291" i="44"/>
  <c r="G292" i="44" s="1"/>
  <c r="G293" i="44" s="1"/>
  <c r="G294" i="44" s="1" a="1"/>
  <c r="G294" i="44" s="1"/>
  <c r="J266" i="44"/>
  <c r="M60" i="52"/>
  <c r="N106" i="65" s="1"/>
  <c r="Q59" i="52"/>
  <c r="H35" i="52" s="1"/>
  <c r="L61" i="53"/>
  <c r="L65" i="53" s="1"/>
  <c r="Q60" i="53"/>
  <c r="I35" i="53" s="1"/>
  <c r="G346" i="44"/>
  <c r="G347" i="44" s="1"/>
  <c r="G348" i="44" s="1" a="1"/>
  <c r="G348" i="44" s="1"/>
  <c r="J332" i="44"/>
  <c r="J333" i="44" s="1"/>
  <c r="J334" i="44" s="1" a="1"/>
  <c r="J334" i="44" s="1"/>
  <c r="Q59" i="53"/>
  <c r="H35" i="53" s="1"/>
  <c r="H130" i="44" a="1"/>
  <c r="H130" i="44" s="1"/>
  <c r="H131" i="44" s="1"/>
  <c r="H132" i="44" s="1"/>
  <c r="H133" i="44" s="1" a="1"/>
  <c r="H133" i="44" s="1"/>
  <c r="K138" i="44"/>
  <c r="K139" i="44" s="1"/>
  <c r="K140" i="44" s="1" a="1"/>
  <c r="K140" i="44" s="1"/>
  <c r="H139" i="44"/>
  <c r="H140" i="44" s="1" a="1"/>
  <c r="H140" i="44" s="1"/>
  <c r="G69" i="44"/>
  <c r="G63" i="44" a="1"/>
  <c r="G63" i="44" s="1"/>
  <c r="G64" i="44" s="1"/>
  <c r="B174" i="42"/>
  <c r="D61" i="52"/>
  <c r="K94" i="44"/>
  <c r="K95" i="44" s="1" a="1"/>
  <c r="K95" i="44" s="1"/>
  <c r="I85" i="44" a="1"/>
  <c r="I85" i="44" s="1"/>
  <c r="K85" i="44" a="1"/>
  <c r="K85" i="44" s="1"/>
  <c r="K86" i="44" s="1"/>
  <c r="H85" i="44" a="1"/>
  <c r="H85" i="44" s="1"/>
  <c r="H86" i="44" s="1"/>
  <c r="H87" i="44" s="1"/>
  <c r="H88" i="44" s="1" a="1"/>
  <c r="H88" i="44" s="1"/>
  <c r="H94" i="44"/>
  <c r="H95" i="44" s="1" a="1"/>
  <c r="H95" i="44" s="1"/>
  <c r="I121" i="44"/>
  <c r="I122" i="44" s="1" a="1"/>
  <c r="I122" i="44" s="1"/>
  <c r="I123" i="44" s="1"/>
  <c r="I124" i="44" s="1"/>
  <c r="I125" i="44" s="1" a="1"/>
  <c r="I125" i="44" s="1"/>
  <c r="J129" i="44"/>
  <c r="J77" i="44" a="1"/>
  <c r="J77" i="44" s="1"/>
  <c r="J78" i="44" s="1"/>
  <c r="J79" i="44" s="1"/>
  <c r="J80" i="44" s="1" a="1"/>
  <c r="J80" i="44" s="1"/>
  <c r="G115" i="44" a="1"/>
  <c r="G115" i="44" s="1"/>
  <c r="G116" i="44" s="1"/>
  <c r="G117" i="44" s="1"/>
  <c r="G118" i="44" s="1" a="1"/>
  <c r="G118" i="44" s="1"/>
  <c r="J122" i="44" a="1"/>
  <c r="J122" i="44" s="1"/>
  <c r="J123" i="44" s="1"/>
  <c r="J124" i="44" s="1"/>
  <c r="J125" i="44" s="1" a="1"/>
  <c r="J125" i="44" s="1"/>
  <c r="K99" i="44" a="1"/>
  <c r="K99" i="44" s="1"/>
  <c r="K100" i="44" s="1"/>
  <c r="K101" i="44" s="1"/>
  <c r="K102" i="44" s="1" a="1"/>
  <c r="K102" i="44" s="1"/>
  <c r="H77" i="44" a="1"/>
  <c r="H77" i="44" s="1"/>
  <c r="H78" i="44" s="1"/>
  <c r="H79" i="44" s="1"/>
  <c r="J114" i="44"/>
  <c r="G84" i="44"/>
  <c r="G129" i="44"/>
  <c r="I76" i="44"/>
  <c r="G91" i="44"/>
  <c r="J107" i="44"/>
  <c r="G121" i="44"/>
  <c r="K77" i="44" a="1"/>
  <c r="K77" i="44" s="1"/>
  <c r="K78" i="44" s="1"/>
  <c r="K79" i="44" s="1"/>
  <c r="K80" i="44" s="1" a="1"/>
  <c r="K80" i="44" s="1"/>
  <c r="I98" i="44"/>
  <c r="J84" i="44"/>
  <c r="G76" i="44"/>
  <c r="H122" i="44" a="1"/>
  <c r="H122" i="44" s="1"/>
  <c r="H123" i="44" s="1"/>
  <c r="H124" i="44" s="1"/>
  <c r="H125" i="44" s="1" a="1"/>
  <c r="H125" i="44" s="1"/>
  <c r="I136" i="44"/>
  <c r="G107" i="44"/>
  <c r="I129" i="44"/>
  <c r="I114" i="44"/>
  <c r="H99" i="44" a="1"/>
  <c r="H99" i="44" s="1"/>
  <c r="H100" i="44" s="1"/>
  <c r="H101" i="44" s="1"/>
  <c r="H102" i="44" s="1" a="1"/>
  <c r="H102" i="44" s="1"/>
  <c r="J98" i="44"/>
  <c r="G98" i="44"/>
  <c r="I91" i="44"/>
  <c r="J91" i="44"/>
  <c r="J136" i="44"/>
  <c r="G136" i="44"/>
  <c r="J69" i="44"/>
  <c r="I69" i="44"/>
  <c r="J62" i="44"/>
  <c r="I62" i="44"/>
  <c r="I60" i="53"/>
  <c r="I34" i="53" s="1"/>
  <c r="H61" i="53"/>
  <c r="H65" i="53" s="1"/>
  <c r="M68" i="74" l="1"/>
  <c r="M62" i="74"/>
  <c r="M19" i="74"/>
  <c r="M23" i="74"/>
  <c r="M16" i="74"/>
  <c r="M22" i="74"/>
  <c r="M59" i="74"/>
  <c r="M15" i="74"/>
  <c r="M18" i="74"/>
  <c r="U48" i="67"/>
  <c r="G55" i="51" a="1"/>
  <c r="G55" i="51" s="1"/>
  <c r="I55" i="51" a="1"/>
  <c r="I55" i="51" s="1"/>
  <c r="U23" i="51"/>
  <c r="U58" i="51" s="1" a="1"/>
  <c r="U58" i="51" s="1"/>
  <c r="H97" i="67"/>
  <c r="G97" i="67" s="1"/>
  <c r="F78" i="74" s="1" a="1"/>
  <c r="F78" i="74" s="1"/>
  <c r="I78" i="74" s="1"/>
  <c r="H21" i="44"/>
  <c r="H22" i="44" s="1"/>
  <c r="H20" i="51" s="1"/>
  <c r="J29" i="44"/>
  <c r="J30" i="44" s="1"/>
  <c r="J24" i="51" s="1"/>
  <c r="H31" i="44" a="1"/>
  <c r="H31" i="44" s="1"/>
  <c r="H24" i="51"/>
  <c r="J48" i="44" a="1"/>
  <c r="J48" i="44" s="1"/>
  <c r="T24" i="51"/>
  <c r="G48" i="44" a="1"/>
  <c r="G48" i="44" s="1"/>
  <c r="Q24" i="51"/>
  <c r="H48" i="44" a="1"/>
  <c r="H48" i="44" s="1"/>
  <c r="R24" i="51"/>
  <c r="G24" i="51"/>
  <c r="G31" i="44" a="1"/>
  <c r="G31" i="44" s="1"/>
  <c r="I44" i="51"/>
  <c r="H23" i="44" a="1"/>
  <c r="H23" i="44" s="1"/>
  <c r="K31" i="44" a="1"/>
  <c r="K31" i="44" s="1"/>
  <c r="K24" i="51"/>
  <c r="G44" i="51"/>
  <c r="J9" i="51" a="1"/>
  <c r="J9" i="51" s="1"/>
  <c r="J55" i="51" a="1"/>
  <c r="J55" i="51" s="1"/>
  <c r="Q9" i="51" a="1"/>
  <c r="Q9" i="51" s="1"/>
  <c r="Q55" i="51" a="1"/>
  <c r="Q55" i="51" s="1"/>
  <c r="J38" i="44"/>
  <c r="J39" i="44" s="1"/>
  <c r="U13" i="51" a="1"/>
  <c r="U13" i="51" s="1"/>
  <c r="U59" i="51" a="1"/>
  <c r="U59" i="51" s="1"/>
  <c r="R55" i="51" a="1"/>
  <c r="R55" i="51" s="1"/>
  <c r="R9" i="51" a="1"/>
  <c r="R9" i="51" s="1"/>
  <c r="I46" i="44"/>
  <c r="I47" i="44" s="1"/>
  <c r="K9" i="51" a="1"/>
  <c r="K9" i="51" s="1"/>
  <c r="K55" i="51" a="1"/>
  <c r="K55" i="51" s="1"/>
  <c r="S9" i="51" a="1"/>
  <c r="S9" i="51" s="1"/>
  <c r="S55" i="51" a="1"/>
  <c r="S55" i="51" s="1"/>
  <c r="K38" i="44"/>
  <c r="K39" i="44" s="1"/>
  <c r="I13" i="51" a="1"/>
  <c r="I13" i="51" s="1"/>
  <c r="I59" i="51" a="1"/>
  <c r="I59" i="51" s="1"/>
  <c r="U111" i="67"/>
  <c r="G58" i="74" a="1"/>
  <c r="G58" i="74" s="1"/>
  <c r="K99" i="51"/>
  <c r="Q65" i="53"/>
  <c r="K95" i="51"/>
  <c r="G99" i="51"/>
  <c r="F39" i="52"/>
  <c r="U95" i="51"/>
  <c r="U130" i="51" s="1" a="1"/>
  <c r="U130" i="51" s="1"/>
  <c r="Q95" i="51"/>
  <c r="Q84" i="51" s="1" a="1"/>
  <c r="Q84" i="51" s="1"/>
  <c r="R95" i="51"/>
  <c r="R130" i="51" s="1" a="1"/>
  <c r="R130" i="51" s="1"/>
  <c r="I95" i="51"/>
  <c r="I130" i="51" s="1" a="1"/>
  <c r="I130" i="51" s="1"/>
  <c r="G310" i="44"/>
  <c r="G311" i="44" s="1"/>
  <c r="G312" i="44" s="1" a="1"/>
  <c r="G312" i="44" s="1"/>
  <c r="H332" i="44"/>
  <c r="H333" i="44" s="1"/>
  <c r="H334" i="44" s="1" a="1"/>
  <c r="H334" i="44" s="1"/>
  <c r="K384" i="44"/>
  <c r="K385" i="44" s="1"/>
  <c r="K386" i="44" s="1" a="1"/>
  <c r="K386" i="44" s="1"/>
  <c r="I332" i="44"/>
  <c r="I333" i="44" s="1"/>
  <c r="I334" i="44" s="1" a="1"/>
  <c r="I334" i="44" s="1"/>
  <c r="I99" i="51"/>
  <c r="T95" i="51"/>
  <c r="J369" i="44"/>
  <c r="J370" i="44" s="1"/>
  <c r="J371" i="44" s="1" a="1"/>
  <c r="J371" i="44" s="1"/>
  <c r="J99" i="51"/>
  <c r="K332" i="44"/>
  <c r="K333" i="44" s="1"/>
  <c r="K334" i="44" s="1" a="1"/>
  <c r="K334" i="44" s="1"/>
  <c r="H95" i="51"/>
  <c r="H84" i="51" s="1" a="1"/>
  <c r="H84" i="51" s="1"/>
  <c r="K324" i="44"/>
  <c r="K325" i="44" s="1"/>
  <c r="K326" i="44" s="1" a="1"/>
  <c r="K326" i="44" s="1"/>
  <c r="T99" i="51"/>
  <c r="J339" i="44"/>
  <c r="J340" i="44" s="1"/>
  <c r="J341" i="44" s="1" a="1"/>
  <c r="J341" i="44" s="1"/>
  <c r="K377" i="44"/>
  <c r="K378" i="44" s="1"/>
  <c r="K379" i="44" s="1" a="1"/>
  <c r="K379" i="44" s="1"/>
  <c r="G317" i="44"/>
  <c r="G318" i="44" s="1"/>
  <c r="G319" i="44" s="1" a="1"/>
  <c r="G319" i="44" s="1"/>
  <c r="I346" i="44"/>
  <c r="I347" i="44" s="1"/>
  <c r="I348" i="44" s="1" a="1"/>
  <c r="I348" i="44" s="1"/>
  <c r="J346" i="44"/>
  <c r="J347" i="44" s="1"/>
  <c r="J348" i="44" s="1" a="1"/>
  <c r="J348" i="44" s="1"/>
  <c r="G384" i="44"/>
  <c r="G385" i="44" s="1"/>
  <c r="G386" i="44" s="1" a="1"/>
  <c r="G386" i="44" s="1"/>
  <c r="H339" i="44"/>
  <c r="H340" i="44" s="1"/>
  <c r="H341" i="44" s="1" a="1"/>
  <c r="H341" i="44" s="1"/>
  <c r="R99" i="51"/>
  <c r="I377" i="44"/>
  <c r="I378" i="44" s="1"/>
  <c r="I379" i="44" s="1" a="1"/>
  <c r="I379" i="44" s="1"/>
  <c r="G377" i="44"/>
  <c r="G378" i="44" s="1"/>
  <c r="G379" i="44" s="1" a="1"/>
  <c r="G379" i="44" s="1"/>
  <c r="J324" i="44"/>
  <c r="J325" i="44" s="1"/>
  <c r="J326" i="44" s="1" a="1"/>
  <c r="J326" i="44" s="1"/>
  <c r="K346" i="44"/>
  <c r="K347" i="44" s="1"/>
  <c r="K348" i="44" s="1" a="1"/>
  <c r="K348" i="44" s="1"/>
  <c r="I339" i="44"/>
  <c r="I340" i="44" s="1"/>
  <c r="I341" i="44" s="1" a="1"/>
  <c r="I341" i="44" s="1"/>
  <c r="G332" i="44"/>
  <c r="G333" i="44" s="1"/>
  <c r="G334" i="44" s="1" a="1"/>
  <c r="G334" i="44" s="1"/>
  <c r="H369" i="44"/>
  <c r="H370" i="44" s="1"/>
  <c r="H371" i="44" s="1" a="1"/>
  <c r="H371" i="44" s="1"/>
  <c r="I323" i="44" a="1"/>
  <c r="I323" i="44" s="1"/>
  <c r="I324" i="44" s="1"/>
  <c r="I325" i="44" s="1"/>
  <c r="G338" i="44" a="1"/>
  <c r="G338" i="44" s="1"/>
  <c r="G339" i="44" s="1"/>
  <c r="G340" i="44" s="1"/>
  <c r="H80" i="44" a="1"/>
  <c r="H80" i="44" s="1"/>
  <c r="H23" i="51"/>
  <c r="H39" i="52"/>
  <c r="M110" i="65"/>
  <c r="M125" i="65" s="1"/>
  <c r="H39" i="53"/>
  <c r="S97" i="67"/>
  <c r="S96" i="67" s="1"/>
  <c r="S93" i="67" s="1"/>
  <c r="N120" i="67"/>
  <c r="U120" i="67" s="1"/>
  <c r="Z120" i="67"/>
  <c r="I39" i="53"/>
  <c r="N61" i="52"/>
  <c r="O107" i="65" s="1"/>
  <c r="I60" i="52"/>
  <c r="I34" i="52" s="1"/>
  <c r="E65" i="52"/>
  <c r="U99" i="51"/>
  <c r="H61" i="52"/>
  <c r="H65" i="52" s="1"/>
  <c r="Q99" i="51"/>
  <c r="O96" i="67"/>
  <c r="J118" i="65"/>
  <c r="I118" i="65"/>
  <c r="L118" i="65"/>
  <c r="N115" i="65"/>
  <c r="M121" i="65"/>
  <c r="M113" i="65"/>
  <c r="M120" i="65"/>
  <c r="M117" i="65"/>
  <c r="M124" i="65"/>
  <c r="M115" i="65"/>
  <c r="M122" i="65"/>
  <c r="M116" i="65"/>
  <c r="M123" i="65"/>
  <c r="P61" i="52"/>
  <c r="O109" i="65" s="1"/>
  <c r="O61" i="52"/>
  <c r="O108" i="65" s="1"/>
  <c r="Q60" i="52"/>
  <c r="L61" i="52"/>
  <c r="G102" i="51"/>
  <c r="K340" i="44"/>
  <c r="K341" i="44" s="1" a="1"/>
  <c r="K341" i="44" s="1"/>
  <c r="H346" i="44"/>
  <c r="H347" i="44" s="1"/>
  <c r="H348" i="44" s="1" a="1"/>
  <c r="H348" i="44" s="1"/>
  <c r="G362" i="44"/>
  <c r="H324" i="44"/>
  <c r="J100" i="51"/>
  <c r="J377" i="44"/>
  <c r="J378" i="44" s="1"/>
  <c r="J379" i="44" s="1" a="1"/>
  <c r="J379" i="44" s="1"/>
  <c r="K369" i="44"/>
  <c r="H377" i="44"/>
  <c r="I384" i="44"/>
  <c r="G355" i="44"/>
  <c r="G356" i="44" s="1"/>
  <c r="G357" i="44" s="1" a="1"/>
  <c r="G357" i="44" s="1"/>
  <c r="I369" i="44"/>
  <c r="J384" i="44"/>
  <c r="H384" i="44"/>
  <c r="H385" i="44" s="1"/>
  <c r="H386" i="44" s="1" a="1"/>
  <c r="H386" i="44" s="1"/>
  <c r="H275" i="44"/>
  <c r="H276" i="44" s="1"/>
  <c r="H277" i="44" s="1" a="1"/>
  <c r="H277" i="44" s="1"/>
  <c r="J267" i="44"/>
  <c r="J268" i="44" s="1"/>
  <c r="J269" i="44" s="1" a="1"/>
  <c r="J269" i="44" s="1"/>
  <c r="I284" i="44"/>
  <c r="I285" i="44" s="1"/>
  <c r="I286" i="44" s="1" a="1"/>
  <c r="I286" i="44" s="1"/>
  <c r="I292" i="44"/>
  <c r="I293" i="44" s="1"/>
  <c r="I294" i="44" s="1" a="1"/>
  <c r="I294" i="44" s="1"/>
  <c r="G267" i="44"/>
  <c r="G268" i="44" s="1"/>
  <c r="G269" i="44" s="1" a="1"/>
  <c r="G269" i="44" s="1"/>
  <c r="M61" i="52"/>
  <c r="O106" i="65" s="1"/>
  <c r="Q61" i="53"/>
  <c r="J35" i="53" s="1"/>
  <c r="R25" i="51"/>
  <c r="R14" i="51" s="1" a="1"/>
  <c r="R14" i="51" s="1"/>
  <c r="J137" i="44" a="1"/>
  <c r="J137" i="44" s="1"/>
  <c r="K132" i="44"/>
  <c r="K133" i="44" s="1" a="1"/>
  <c r="K133" i="44" s="1"/>
  <c r="G137" i="44" a="1"/>
  <c r="G137" i="44" s="1"/>
  <c r="G138" i="44" s="1"/>
  <c r="G139" i="44" s="1"/>
  <c r="G140" i="44" s="1" a="1"/>
  <c r="G140" i="44" s="1"/>
  <c r="I137" i="44" a="1"/>
  <c r="I137" i="44" s="1"/>
  <c r="I138" i="44" s="1"/>
  <c r="I139" i="44" s="1"/>
  <c r="I140" i="44" s="1" a="1"/>
  <c r="I140" i="44" s="1"/>
  <c r="R26" i="51"/>
  <c r="R15" i="51" s="1" a="1"/>
  <c r="R15" i="51" s="1"/>
  <c r="I130" i="44" a="1"/>
  <c r="I130" i="44" s="1"/>
  <c r="I131" i="44" s="1"/>
  <c r="I132" i="44" s="1"/>
  <c r="I133" i="44" s="1" a="1"/>
  <c r="I133" i="44" s="1"/>
  <c r="G130" i="44" a="1"/>
  <c r="G130" i="44" s="1"/>
  <c r="G131" i="44" s="1"/>
  <c r="J130" i="44" a="1"/>
  <c r="J130" i="44" s="1"/>
  <c r="U26" i="51"/>
  <c r="U15" i="51" s="1" a="1"/>
  <c r="U15" i="51" s="1"/>
  <c r="G65" i="44"/>
  <c r="G66" i="44" s="1" a="1"/>
  <c r="G66" i="44" s="1"/>
  <c r="S23" i="51"/>
  <c r="R23" i="51"/>
  <c r="K27" i="51"/>
  <c r="K16" i="51" s="1" a="1"/>
  <c r="K16" i="51" s="1"/>
  <c r="H26" i="51"/>
  <c r="H15" i="51" s="1" a="1"/>
  <c r="H15" i="51" s="1"/>
  <c r="H25" i="51"/>
  <c r="H14" i="51" s="1" a="1"/>
  <c r="H14" i="51" s="1"/>
  <c r="K23" i="51"/>
  <c r="T23" i="51"/>
  <c r="H27" i="51"/>
  <c r="H16" i="51" s="1" a="1"/>
  <c r="H16" i="51" s="1"/>
  <c r="K26" i="51"/>
  <c r="K15" i="51" s="1" a="1"/>
  <c r="K15" i="51" s="1"/>
  <c r="Q22" i="51"/>
  <c r="J23" i="51"/>
  <c r="J92" i="44" a="1"/>
  <c r="J92" i="44" s="1"/>
  <c r="J93" i="44" s="1"/>
  <c r="I92" i="44" a="1"/>
  <c r="I92" i="44" s="1"/>
  <c r="I93" i="44" s="1"/>
  <c r="G92" i="44" a="1"/>
  <c r="G92" i="44" s="1"/>
  <c r="G93" i="44" s="1"/>
  <c r="G94" i="44" s="1"/>
  <c r="G95" i="44" s="1" a="1"/>
  <c r="G95" i="44" s="1"/>
  <c r="K87" i="44"/>
  <c r="K88" i="44" s="1" a="1"/>
  <c r="K88" i="44" s="1"/>
  <c r="J85" i="44" a="1"/>
  <c r="J85" i="44" s="1"/>
  <c r="J86" i="44" s="1"/>
  <c r="G85" i="44" a="1"/>
  <c r="G85" i="44" s="1"/>
  <c r="G86" i="44" s="1"/>
  <c r="I86" i="44"/>
  <c r="I87" i="44" s="1"/>
  <c r="I88" i="44" s="1" a="1"/>
  <c r="I88" i="44" s="1"/>
  <c r="I77" i="44" a="1"/>
  <c r="I77" i="44" s="1"/>
  <c r="I78" i="44" s="1"/>
  <c r="I79" i="44" s="1"/>
  <c r="I80" i="44" s="1" a="1"/>
  <c r="I80" i="44" s="1"/>
  <c r="G108" i="44" a="1"/>
  <c r="G108" i="44" s="1"/>
  <c r="G109" i="44" s="1"/>
  <c r="G110" i="44" s="1"/>
  <c r="G111" i="44" s="1" a="1"/>
  <c r="G111" i="44" s="1"/>
  <c r="I99" i="44" a="1"/>
  <c r="I99" i="44" s="1"/>
  <c r="I100" i="44" s="1"/>
  <c r="I101" i="44" s="1"/>
  <c r="I102" i="44" s="1" a="1"/>
  <c r="I102" i="44" s="1"/>
  <c r="G99" i="44" a="1"/>
  <c r="G99" i="44" s="1"/>
  <c r="G100" i="44" s="1"/>
  <c r="G101" i="44" s="1"/>
  <c r="G102" i="44" s="1" a="1"/>
  <c r="G102" i="44" s="1"/>
  <c r="J99" i="44" a="1"/>
  <c r="J99" i="44" s="1"/>
  <c r="J100" i="44" s="1"/>
  <c r="J101" i="44" s="1"/>
  <c r="J102" i="44" s="1" a="1"/>
  <c r="J102" i="44" s="1"/>
  <c r="G70" i="44" a="1"/>
  <c r="G70" i="44" s="1"/>
  <c r="G71" i="44" s="1"/>
  <c r="I61" i="53"/>
  <c r="J34" i="53" s="1"/>
  <c r="U12" i="51" l="1" a="1"/>
  <c r="U12" i="51" s="1"/>
  <c r="O93" i="67"/>
  <c r="H96" i="67"/>
  <c r="O105" i="65"/>
  <c r="L65" i="52"/>
  <c r="M58" i="74"/>
  <c r="J31" i="44" a="1"/>
  <c r="J31" i="44" s="1"/>
  <c r="E67" i="52"/>
  <c r="I20" i="67" s="1"/>
  <c r="G96" i="51"/>
  <c r="K84" i="51" a="1"/>
  <c r="K84" i="51" s="1"/>
  <c r="R13" i="51" a="1"/>
  <c r="R13" i="51" s="1"/>
  <c r="R59" i="51" a="1"/>
  <c r="R59" i="51" s="1"/>
  <c r="R44" i="51"/>
  <c r="Q44" i="51"/>
  <c r="K13" i="51" a="1"/>
  <c r="K13" i="51" s="1"/>
  <c r="K59" i="51" a="1"/>
  <c r="K59" i="51" s="1"/>
  <c r="I48" i="51"/>
  <c r="Q13" i="51" a="1"/>
  <c r="Q13" i="51" s="1"/>
  <c r="Q59" i="51" a="1"/>
  <c r="Q59" i="51" s="1"/>
  <c r="U20" i="51"/>
  <c r="K40" i="44" a="1"/>
  <c r="K40" i="44" s="1"/>
  <c r="J44" i="51"/>
  <c r="H55" i="51" a="1"/>
  <c r="H55" i="51" s="1"/>
  <c r="H9" i="51" a="1"/>
  <c r="H9" i="51" s="1"/>
  <c r="U48" i="51"/>
  <c r="T13" i="51" a="1"/>
  <c r="T13" i="51" s="1"/>
  <c r="T59" i="51" a="1"/>
  <c r="T59" i="51" s="1"/>
  <c r="S44" i="51"/>
  <c r="I48" i="44" a="1"/>
  <c r="I48" i="44" s="1"/>
  <c r="S24" i="51"/>
  <c r="J13" i="51" a="1"/>
  <c r="J13" i="51" s="1"/>
  <c r="J59" i="51" a="1"/>
  <c r="J59" i="51" s="1"/>
  <c r="H13" i="51" a="1"/>
  <c r="H13" i="51" s="1"/>
  <c r="H59" i="51" a="1"/>
  <c r="H59" i="51" s="1"/>
  <c r="K44" i="51"/>
  <c r="J40" i="44" a="1"/>
  <c r="J40" i="44" s="1"/>
  <c r="T20" i="51"/>
  <c r="G67" i="53" s="1"/>
  <c r="K92" i="67" s="1"/>
  <c r="G13" i="51" a="1"/>
  <c r="G13" i="51" s="1"/>
  <c r="G59" i="51" a="1"/>
  <c r="G59" i="51" s="1"/>
  <c r="K134" i="51" a="1"/>
  <c r="K134" i="51" s="1"/>
  <c r="G88" i="51" a="1"/>
  <c r="G88" i="51" s="1"/>
  <c r="K130" i="51" a="1"/>
  <c r="K130" i="51" s="1"/>
  <c r="K88" i="51" a="1"/>
  <c r="K88" i="51" s="1"/>
  <c r="U101" i="51"/>
  <c r="K98" i="51"/>
  <c r="G134" i="51" a="1"/>
  <c r="G134" i="51" s="1"/>
  <c r="Q130" i="51" a="1"/>
  <c r="Q130" i="51" s="1"/>
  <c r="H100" i="51"/>
  <c r="K100" i="51"/>
  <c r="U84" i="51" a="1"/>
  <c r="U84" i="51" s="1"/>
  <c r="I84" i="51" a="1"/>
  <c r="I84" i="51" s="1"/>
  <c r="R84" i="51" a="1"/>
  <c r="R84" i="51" s="1"/>
  <c r="R119" i="51" s="1"/>
  <c r="T98" i="51"/>
  <c r="I88" i="51" a="1"/>
  <c r="I88" i="51" s="1"/>
  <c r="I123" i="51" s="1"/>
  <c r="I134" i="51" a="1"/>
  <c r="I134" i="51" s="1"/>
  <c r="T130" i="51" a="1"/>
  <c r="T130" i="51" s="1"/>
  <c r="T84" i="51" a="1"/>
  <c r="T84" i="51" s="1"/>
  <c r="I100" i="51"/>
  <c r="T134" i="51" a="1"/>
  <c r="T134" i="51" s="1"/>
  <c r="H130" i="51" a="1"/>
  <c r="H130" i="51" s="1"/>
  <c r="J98" i="51"/>
  <c r="J88" i="51" a="1"/>
  <c r="J88" i="51" s="1"/>
  <c r="K102" i="51"/>
  <c r="J134" i="51" a="1"/>
  <c r="J134" i="51" s="1"/>
  <c r="G97" i="51"/>
  <c r="T88" i="51" a="1"/>
  <c r="T88" i="51" s="1"/>
  <c r="R134" i="51" a="1"/>
  <c r="R134" i="51" s="1"/>
  <c r="I102" i="51"/>
  <c r="R88" i="51" a="1"/>
  <c r="R88" i="51" s="1"/>
  <c r="R123" i="51" s="1"/>
  <c r="J101" i="51"/>
  <c r="Q100" i="51"/>
  <c r="R98" i="51"/>
  <c r="H12" i="51" a="1"/>
  <c r="H12" i="51" s="1"/>
  <c r="G100" i="51"/>
  <c r="J102" i="51"/>
  <c r="H101" i="51"/>
  <c r="U47" i="51"/>
  <c r="S100" i="51"/>
  <c r="I101" i="51"/>
  <c r="J12" i="51" a="1"/>
  <c r="J12" i="51" s="1"/>
  <c r="G67" i="52"/>
  <c r="R12" i="51" a="1"/>
  <c r="R12" i="51" s="1"/>
  <c r="E67" i="53"/>
  <c r="E69" i="53" s="1"/>
  <c r="S12" i="51" a="1"/>
  <c r="S12" i="51" s="1"/>
  <c r="S47" i="51" s="1"/>
  <c r="F67" i="53"/>
  <c r="F69" i="53" s="1"/>
  <c r="T12" i="51" a="1"/>
  <c r="T12" i="51" s="1"/>
  <c r="K12" i="51" a="1"/>
  <c r="K12" i="51" s="1"/>
  <c r="K47" i="51" s="1"/>
  <c r="H67" i="52"/>
  <c r="I326" i="44" a="1"/>
  <c r="I326" i="44" s="1"/>
  <c r="I98" i="51"/>
  <c r="N67" i="52" s="1"/>
  <c r="G91" i="51" a="1"/>
  <c r="G91" i="51" s="1"/>
  <c r="G341" i="44" a="1"/>
  <c r="G341" i="44" s="1"/>
  <c r="G101" i="51"/>
  <c r="H51" i="51"/>
  <c r="R49" i="51"/>
  <c r="U50" i="51"/>
  <c r="K51" i="51"/>
  <c r="K50" i="51"/>
  <c r="H49" i="51"/>
  <c r="R50" i="51"/>
  <c r="H50" i="51"/>
  <c r="U134" i="51" a="1"/>
  <c r="U134" i="51" s="1"/>
  <c r="U88" i="51" a="1"/>
  <c r="U88" i="51" s="1"/>
  <c r="I35" i="52"/>
  <c r="N110" i="65"/>
  <c r="N125" i="65" s="1"/>
  <c r="H119" i="51"/>
  <c r="J135" i="51" a="1"/>
  <c r="J135" i="51" s="1"/>
  <c r="J89" i="51" a="1"/>
  <c r="J89" i="51" s="1"/>
  <c r="Q134" i="51" a="1"/>
  <c r="Q134" i="51" s="1"/>
  <c r="Q88" i="51" a="1"/>
  <c r="Q88" i="51" s="1"/>
  <c r="Q119" i="51"/>
  <c r="G137" i="51" a="1"/>
  <c r="G137" i="51" s="1"/>
  <c r="O65" i="52"/>
  <c r="P65" i="52"/>
  <c r="M65" i="52"/>
  <c r="N65" i="52"/>
  <c r="N97" i="67"/>
  <c r="G78" i="74" s="1" a="1"/>
  <c r="G78" i="74" s="1"/>
  <c r="J39" i="53"/>
  <c r="N96" i="67"/>
  <c r="G77" i="74" s="1" a="1"/>
  <c r="G77" i="74" s="1"/>
  <c r="O115" i="65"/>
  <c r="I61" i="52"/>
  <c r="J34" i="52" s="1"/>
  <c r="S99" i="51"/>
  <c r="R61" i="51" a="1"/>
  <c r="R61" i="51" s="1"/>
  <c r="T58" i="51" a="1"/>
  <c r="T58" i="51" s="1"/>
  <c r="J58" i="51" a="1"/>
  <c r="J58" i="51" s="1"/>
  <c r="H61" i="51" a="1"/>
  <c r="H61" i="51" s="1"/>
  <c r="K58" i="51" a="1"/>
  <c r="K58" i="51" s="1"/>
  <c r="H60" i="51" a="1"/>
  <c r="H60" i="51" s="1"/>
  <c r="Q57" i="51" a="1"/>
  <c r="Q57" i="51" s="1"/>
  <c r="K62" i="51" a="1"/>
  <c r="K62" i="51" s="1"/>
  <c r="R60" i="51" a="1"/>
  <c r="R60" i="51" s="1"/>
  <c r="H58" i="51" a="1"/>
  <c r="H58" i="51" s="1"/>
  <c r="K61" i="51" a="1"/>
  <c r="K61" i="51" s="1"/>
  <c r="R58" i="51" a="1"/>
  <c r="R58" i="51" s="1"/>
  <c r="H62" i="51" a="1"/>
  <c r="H62" i="51" s="1"/>
  <c r="S58" i="51" a="1"/>
  <c r="S58" i="51" s="1"/>
  <c r="U61" i="51" a="1"/>
  <c r="U61" i="51" s="1"/>
  <c r="N122" i="65"/>
  <c r="O114" i="65"/>
  <c r="N116" i="65"/>
  <c r="N123" i="65"/>
  <c r="N113" i="65"/>
  <c r="N120" i="65"/>
  <c r="N117" i="65"/>
  <c r="N124" i="65"/>
  <c r="N114" i="65"/>
  <c r="N121" i="65"/>
  <c r="M118" i="65"/>
  <c r="J95" i="51"/>
  <c r="U100" i="51"/>
  <c r="H99" i="51"/>
  <c r="K101" i="51"/>
  <c r="K370" i="44"/>
  <c r="K371" i="44" s="1" a="1"/>
  <c r="K371" i="44" s="1"/>
  <c r="H378" i="44"/>
  <c r="H379" i="44" s="1" a="1"/>
  <c r="H379" i="44" s="1"/>
  <c r="Q96" i="51"/>
  <c r="T100" i="51"/>
  <c r="H325" i="44"/>
  <c r="H326" i="44" s="1" a="1"/>
  <c r="H326" i="44" s="1"/>
  <c r="H102" i="51"/>
  <c r="R101" i="51"/>
  <c r="Q101" i="51"/>
  <c r="I385" i="44"/>
  <c r="I386" i="44" s="1" a="1"/>
  <c r="I386" i="44" s="1"/>
  <c r="G363" i="44"/>
  <c r="G364" i="44" s="1" a="1"/>
  <c r="G364" i="44" s="1"/>
  <c r="J385" i="44"/>
  <c r="J386" i="44" s="1" a="1"/>
  <c r="J386" i="44" s="1"/>
  <c r="I370" i="44"/>
  <c r="I371" i="44" s="1" a="1"/>
  <c r="I371" i="44" s="1"/>
  <c r="G95" i="51"/>
  <c r="S95" i="51"/>
  <c r="Q61" i="52"/>
  <c r="G132" i="44"/>
  <c r="G133" i="44" s="1" a="1"/>
  <c r="G133" i="44" s="1"/>
  <c r="S26" i="51"/>
  <c r="S15" i="51" s="1" a="1"/>
  <c r="S15" i="51" s="1"/>
  <c r="Q26" i="51"/>
  <c r="S25" i="51"/>
  <c r="S14" i="51" s="1" a="1"/>
  <c r="S14" i="51" s="1"/>
  <c r="J131" i="44"/>
  <c r="J132" i="44" s="1"/>
  <c r="J133" i="44" s="1" a="1"/>
  <c r="J133" i="44" s="1"/>
  <c r="U25" i="51"/>
  <c r="U14" i="51" s="1" a="1"/>
  <c r="U14" i="51" s="1"/>
  <c r="J138" i="44"/>
  <c r="J139" i="44" s="1"/>
  <c r="J140" i="44" s="1" a="1"/>
  <c r="J140" i="44" s="1"/>
  <c r="G21" i="51"/>
  <c r="Q21" i="51"/>
  <c r="G27" i="51"/>
  <c r="I27" i="51"/>
  <c r="I16" i="51" s="1" a="1"/>
  <c r="I16" i="51" s="1"/>
  <c r="G26" i="51"/>
  <c r="I25" i="51"/>
  <c r="I14" i="51" s="1" a="1"/>
  <c r="I14" i="51" s="1"/>
  <c r="K25" i="51"/>
  <c r="K14" i="51" s="1" a="1"/>
  <c r="K14" i="51" s="1"/>
  <c r="J27" i="51"/>
  <c r="J16" i="51" s="1" a="1"/>
  <c r="J16" i="51" s="1"/>
  <c r="I23" i="51"/>
  <c r="G87" i="44"/>
  <c r="G88" i="44" s="1" a="1"/>
  <c r="G88" i="44" s="1"/>
  <c r="J87" i="44"/>
  <c r="J88" i="44" s="1" a="1"/>
  <c r="J88" i="44" s="1"/>
  <c r="I94" i="44"/>
  <c r="I95" i="44" s="1" a="1"/>
  <c r="I95" i="44" s="1"/>
  <c r="J94" i="44"/>
  <c r="J95" i="44" s="1" a="1"/>
  <c r="J95" i="44" s="1"/>
  <c r="G72" i="44"/>
  <c r="G73" i="44" s="1" a="1"/>
  <c r="G73" i="44" s="1"/>
  <c r="AF139" i="67" l="1"/>
  <c r="AF140" i="67"/>
  <c r="AF134" i="67"/>
  <c r="AF135" i="67"/>
  <c r="E69" i="52"/>
  <c r="AD48" i="67"/>
  <c r="AD68" i="67"/>
  <c r="AD67" i="67"/>
  <c r="G123" i="51"/>
  <c r="K119" i="51"/>
  <c r="L67" i="52"/>
  <c r="G85" i="51" a="1"/>
  <c r="G85" i="51" s="1"/>
  <c r="G131" i="51" a="1"/>
  <c r="G131" i="51" s="1"/>
  <c r="Q65" i="52"/>
  <c r="M78" i="74"/>
  <c r="G48" i="51"/>
  <c r="T48" i="51"/>
  <c r="H44" i="51"/>
  <c r="U9" i="51" a="1"/>
  <c r="U9" i="51" s="1"/>
  <c r="U55" i="51" a="1"/>
  <c r="U55" i="51" s="1"/>
  <c r="H67" i="53"/>
  <c r="T9" i="51" a="1"/>
  <c r="T9" i="51" s="1"/>
  <c r="T55" i="51" a="1"/>
  <c r="T55" i="51" s="1"/>
  <c r="H48" i="51"/>
  <c r="K48" i="51"/>
  <c r="Q48" i="51"/>
  <c r="J48" i="51"/>
  <c r="S13" i="51" a="1"/>
  <c r="S13" i="51" s="1"/>
  <c r="O12" i="50" s="1"/>
  <c r="S59" i="51" a="1"/>
  <c r="S59" i="51" s="1"/>
  <c r="R48" i="51"/>
  <c r="H135" i="51" a="1"/>
  <c r="H135" i="51" s="1"/>
  <c r="H89" i="51" a="1"/>
  <c r="H89" i="51" s="1"/>
  <c r="K123" i="51"/>
  <c r="G51" i="74"/>
  <c r="U119" i="51"/>
  <c r="F11" i="50"/>
  <c r="N12" i="50"/>
  <c r="N16" i="50" s="1"/>
  <c r="N13" i="50"/>
  <c r="N17" i="50" s="1"/>
  <c r="N11" i="50"/>
  <c r="N15" i="50" s="1"/>
  <c r="F12" i="50"/>
  <c r="F13" i="50"/>
  <c r="F17" i="50" s="1"/>
  <c r="U90" i="51" a="1"/>
  <c r="U90" i="51" s="1"/>
  <c r="U125" i="51" s="1"/>
  <c r="U136" i="51" a="1"/>
  <c r="U136" i="51" s="1"/>
  <c r="N93" i="67"/>
  <c r="K133" i="51" a="1"/>
  <c r="K133" i="51" s="1"/>
  <c r="P67" i="52"/>
  <c r="S20" i="67" s="1"/>
  <c r="K87" i="51" a="1"/>
  <c r="K87" i="51" s="1"/>
  <c r="K135" i="51" a="1"/>
  <c r="K135" i="51" s="1"/>
  <c r="J123" i="51"/>
  <c r="K89" i="51" a="1"/>
  <c r="K89" i="51" s="1"/>
  <c r="T123" i="51"/>
  <c r="T87" i="51" a="1"/>
  <c r="T87" i="51" s="1"/>
  <c r="O67" i="53"/>
  <c r="I39" i="52"/>
  <c r="Q89" i="51" a="1"/>
  <c r="Q89" i="51" s="1"/>
  <c r="Q135" i="51" a="1"/>
  <c r="Q135" i="51" s="1"/>
  <c r="G86" i="51" a="1"/>
  <c r="G86" i="51" s="1"/>
  <c r="G132" i="51" a="1"/>
  <c r="G132" i="51" s="1"/>
  <c r="T133" i="51" a="1"/>
  <c r="T133" i="51" s="1"/>
  <c r="I119" i="51"/>
  <c r="T119" i="51"/>
  <c r="I89" i="51" a="1"/>
  <c r="I89" i="51" s="1"/>
  <c r="I135" i="51" a="1"/>
  <c r="I135" i="51" s="1"/>
  <c r="J87" i="51" a="1"/>
  <c r="J87" i="51" s="1"/>
  <c r="J90" i="51" a="1"/>
  <c r="J90" i="51" s="1"/>
  <c r="H25" i="50" s="1"/>
  <c r="H29" i="50" s="1"/>
  <c r="J136" i="51" a="1"/>
  <c r="J136" i="51" s="1"/>
  <c r="J133" i="51" a="1"/>
  <c r="J133" i="51" s="1"/>
  <c r="G135" i="51" a="1"/>
  <c r="G135" i="51" s="1"/>
  <c r="K91" i="51" a="1"/>
  <c r="K91" i="51" s="1"/>
  <c r="J137" i="51" a="1"/>
  <c r="J137" i="51" s="1"/>
  <c r="I137" i="51" a="1"/>
  <c r="I137" i="51" s="1"/>
  <c r="I90" i="51" a="1"/>
  <c r="I90" i="51" s="1"/>
  <c r="I125" i="51" s="1"/>
  <c r="Q13" i="50"/>
  <c r="Q12" i="50"/>
  <c r="Q11" i="50"/>
  <c r="I136" i="51" a="1"/>
  <c r="I136" i="51" s="1"/>
  <c r="K137" i="51" a="1"/>
  <c r="K137" i="51" s="1"/>
  <c r="R87" i="51" a="1"/>
  <c r="R87" i="51" s="1"/>
  <c r="R133" i="51" a="1"/>
  <c r="R133" i="51" s="1"/>
  <c r="I13" i="50"/>
  <c r="I11" i="50"/>
  <c r="I12" i="50"/>
  <c r="J47" i="51"/>
  <c r="I91" i="51" a="1"/>
  <c r="I91" i="51" s="1"/>
  <c r="J91" i="51" a="1"/>
  <c r="J91" i="51" s="1"/>
  <c r="H47" i="51"/>
  <c r="G89" i="51" a="1"/>
  <c r="G89" i="51" s="1"/>
  <c r="T47" i="51"/>
  <c r="M67" i="53"/>
  <c r="M69" i="53" s="1"/>
  <c r="R47" i="51"/>
  <c r="H90" i="51" a="1"/>
  <c r="H90" i="51" s="1"/>
  <c r="H136" i="51" a="1"/>
  <c r="H136" i="51" s="1"/>
  <c r="S89" i="51" a="1"/>
  <c r="S89" i="51" s="1"/>
  <c r="S124" i="51" s="1"/>
  <c r="S135" i="51" a="1"/>
  <c r="S135" i="51" s="1"/>
  <c r="O67" i="52"/>
  <c r="I12" i="51" a="1"/>
  <c r="I12" i="51" s="1"/>
  <c r="F67" i="52"/>
  <c r="J20" i="67" s="1"/>
  <c r="J92" i="67"/>
  <c r="I133" i="51" a="1"/>
  <c r="I133" i="51" s="1"/>
  <c r="I87" i="51" a="1"/>
  <c r="I87" i="51" s="1"/>
  <c r="G136" i="51" a="1"/>
  <c r="G136" i="51" s="1"/>
  <c r="G90" i="51" a="1"/>
  <c r="G90" i="51" s="1"/>
  <c r="I92" i="67"/>
  <c r="G69" i="53"/>
  <c r="I51" i="51"/>
  <c r="U49" i="51"/>
  <c r="I49" i="51"/>
  <c r="K49" i="51"/>
  <c r="S49" i="51"/>
  <c r="J51" i="51"/>
  <c r="S50" i="51"/>
  <c r="S130" i="51" a="1"/>
  <c r="S130" i="51" s="1"/>
  <c r="S84" i="51" a="1"/>
  <c r="S84" i="51" s="1"/>
  <c r="G130" i="51" a="1"/>
  <c r="G130" i="51" s="1"/>
  <c r="G84" i="51" a="1"/>
  <c r="G84" i="51" s="1"/>
  <c r="G126" i="51"/>
  <c r="J124" i="51"/>
  <c r="H134" i="51" a="1"/>
  <c r="H134" i="51" s="1"/>
  <c r="H88" i="51" a="1"/>
  <c r="H88" i="51" s="1"/>
  <c r="U135" i="51" a="1"/>
  <c r="U135" i="51" s="1"/>
  <c r="U89" i="51" a="1"/>
  <c r="U89" i="51" s="1"/>
  <c r="U123" i="51"/>
  <c r="J35" i="52"/>
  <c r="O110" i="65"/>
  <c r="O125" i="65" s="1"/>
  <c r="T135" i="51" a="1"/>
  <c r="T135" i="51" s="1"/>
  <c r="T89" i="51" a="1"/>
  <c r="T89" i="51" s="1"/>
  <c r="Q131" i="51" a="1"/>
  <c r="Q131" i="51" s="1"/>
  <c r="Q85" i="51" a="1"/>
  <c r="Q85" i="51" s="1"/>
  <c r="J130" i="51" a="1"/>
  <c r="J130" i="51" s="1"/>
  <c r="J84" i="51" a="1"/>
  <c r="J84" i="51" s="1"/>
  <c r="H137" i="51" a="1"/>
  <c r="H137" i="51" s="1"/>
  <c r="H91" i="51" a="1"/>
  <c r="H91" i="51" s="1"/>
  <c r="S134" i="51" a="1"/>
  <c r="S134" i="51" s="1"/>
  <c r="S88" i="51" a="1"/>
  <c r="S88" i="51" s="1"/>
  <c r="Q136" i="51" a="1"/>
  <c r="Q136" i="51" s="1"/>
  <c r="Q90" i="51" a="1"/>
  <c r="Q90" i="51" s="1"/>
  <c r="R136" i="51" a="1"/>
  <c r="R136" i="51" s="1"/>
  <c r="R90" i="51" a="1"/>
  <c r="R90" i="51" s="1"/>
  <c r="K136" i="51" a="1"/>
  <c r="K136" i="51" s="1"/>
  <c r="K90" i="51" a="1"/>
  <c r="K90" i="51" s="1"/>
  <c r="Q123" i="51"/>
  <c r="H69" i="52"/>
  <c r="L20" i="67"/>
  <c r="K94" i="67"/>
  <c r="O122" i="65"/>
  <c r="AD56" i="67"/>
  <c r="AF111" i="67"/>
  <c r="AF118" i="67"/>
  <c r="AF112" i="67"/>
  <c r="AF107" i="67"/>
  <c r="AF128" i="67"/>
  <c r="AF114" i="67"/>
  <c r="AF110" i="67"/>
  <c r="AF117" i="67"/>
  <c r="AF101" i="67"/>
  <c r="AF99" i="67"/>
  <c r="AF109" i="67"/>
  <c r="AF115" i="67"/>
  <c r="G69" i="52"/>
  <c r="K20" i="67"/>
  <c r="J62" i="51" a="1"/>
  <c r="J62" i="51" s="1"/>
  <c r="Q61" i="51" a="1"/>
  <c r="Q61" i="51" s="1"/>
  <c r="G56" i="51" a="1"/>
  <c r="G56" i="51" s="1"/>
  <c r="G61" i="51" a="1"/>
  <c r="G61" i="51" s="1"/>
  <c r="S61" i="51" a="1"/>
  <c r="S61" i="51" s="1"/>
  <c r="I58" i="51" a="1"/>
  <c r="I58" i="51" s="1"/>
  <c r="K60" i="51" a="1"/>
  <c r="K60" i="51" s="1"/>
  <c r="I60" i="51" a="1"/>
  <c r="I60" i="51" s="1"/>
  <c r="I62" i="51" a="1"/>
  <c r="I62" i="51" s="1"/>
  <c r="G62" i="51" a="1"/>
  <c r="G62" i="51" s="1"/>
  <c r="Q56" i="51" a="1"/>
  <c r="Q56" i="51" s="1"/>
  <c r="U60" i="51" a="1"/>
  <c r="U60" i="51" s="1"/>
  <c r="S60" i="51" a="1"/>
  <c r="S60" i="51" s="1"/>
  <c r="O121" i="65"/>
  <c r="O113" i="65"/>
  <c r="O120" i="65"/>
  <c r="O116" i="65"/>
  <c r="O123" i="65"/>
  <c r="O117" i="65"/>
  <c r="O124" i="65"/>
  <c r="N118" i="65"/>
  <c r="D3" i="44"/>
  <c r="U98" i="51"/>
  <c r="R100" i="51"/>
  <c r="S98" i="51"/>
  <c r="H98" i="51"/>
  <c r="H87" i="51" s="1" a="1"/>
  <c r="H87" i="51" s="1"/>
  <c r="T101" i="51"/>
  <c r="Q97" i="51"/>
  <c r="S101" i="51"/>
  <c r="Q25" i="51"/>
  <c r="T26" i="51"/>
  <c r="T15" i="51" s="1" a="1"/>
  <c r="T15" i="51" s="1"/>
  <c r="T25" i="51"/>
  <c r="T14" i="51" s="1" a="1"/>
  <c r="T14" i="51" s="1"/>
  <c r="F15" i="50"/>
  <c r="I26" i="51"/>
  <c r="I15" i="51" s="1" a="1"/>
  <c r="I15" i="51" s="1"/>
  <c r="G11" i="50" s="1"/>
  <c r="J26" i="51"/>
  <c r="J15" i="51" s="1" a="1"/>
  <c r="J15" i="51" s="1"/>
  <c r="J25" i="51"/>
  <c r="J14" i="51" s="1" a="1"/>
  <c r="J14" i="51" s="1"/>
  <c r="G22" i="51"/>
  <c r="G25" i="51"/>
  <c r="G120" i="51" l="1"/>
  <c r="I94" i="67"/>
  <c r="AD139" i="67"/>
  <c r="AD140" i="67"/>
  <c r="AD134" i="67"/>
  <c r="AD135" i="67"/>
  <c r="AE117" i="67"/>
  <c r="AE139" i="67"/>
  <c r="AE140" i="67"/>
  <c r="AE134" i="67"/>
  <c r="AE135" i="67"/>
  <c r="AG38" i="67"/>
  <c r="AG68" i="67"/>
  <c r="AG48" i="67"/>
  <c r="AG67" i="67"/>
  <c r="AE68" i="67"/>
  <c r="AE67" i="67"/>
  <c r="AE48" i="67"/>
  <c r="AE61" i="67"/>
  <c r="AF68" i="67"/>
  <c r="AF67" i="67"/>
  <c r="AF48" i="67"/>
  <c r="AN68" i="67"/>
  <c r="AN67" i="67"/>
  <c r="AN62" i="67"/>
  <c r="AN61" i="67"/>
  <c r="H124" i="51"/>
  <c r="M27" i="50"/>
  <c r="M31" i="50" s="1"/>
  <c r="O13" i="50"/>
  <c r="O17" i="50" s="1"/>
  <c r="U44" i="51"/>
  <c r="S48" i="51"/>
  <c r="O11" i="50"/>
  <c r="O15" i="50" s="1"/>
  <c r="T44" i="51"/>
  <c r="H69" i="53"/>
  <c r="L92" i="67"/>
  <c r="K122" i="51"/>
  <c r="Q25" i="50"/>
  <c r="Q29" i="50" s="1"/>
  <c r="G121" i="51"/>
  <c r="K124" i="51"/>
  <c r="T122" i="51"/>
  <c r="Q124" i="51"/>
  <c r="J39" i="52"/>
  <c r="I124" i="51"/>
  <c r="I126" i="51"/>
  <c r="H26" i="50"/>
  <c r="H30" i="50" s="1"/>
  <c r="J125" i="51"/>
  <c r="H27" i="50"/>
  <c r="H31" i="50" s="1"/>
  <c r="J122" i="51"/>
  <c r="G25" i="50"/>
  <c r="G29" i="50" s="1"/>
  <c r="J126" i="51"/>
  <c r="K126" i="51"/>
  <c r="G26" i="50"/>
  <c r="G30" i="50" s="1"/>
  <c r="G27" i="50"/>
  <c r="G31" i="50" s="1"/>
  <c r="R122" i="51"/>
  <c r="M25" i="50"/>
  <c r="M29" i="50" s="1"/>
  <c r="G12" i="50"/>
  <c r="M26" i="50"/>
  <c r="M30" i="50" s="1"/>
  <c r="G13" i="50"/>
  <c r="H12" i="50"/>
  <c r="H13" i="50"/>
  <c r="H11" i="50"/>
  <c r="F26" i="50"/>
  <c r="F30" i="50" s="1"/>
  <c r="F27" i="50"/>
  <c r="F31" i="50" s="1"/>
  <c r="F25" i="50"/>
  <c r="F29" i="50" s="1"/>
  <c r="Q26" i="50"/>
  <c r="Q30" i="50" s="1"/>
  <c r="Q27" i="50"/>
  <c r="Q31" i="50" s="1"/>
  <c r="P12" i="50"/>
  <c r="P13" i="50"/>
  <c r="P11" i="50"/>
  <c r="E26" i="50"/>
  <c r="E30" i="50" s="1"/>
  <c r="E27" i="50"/>
  <c r="E31" i="50" s="1"/>
  <c r="E25" i="50"/>
  <c r="E29" i="50" s="1"/>
  <c r="I26" i="50"/>
  <c r="I30" i="50" s="1"/>
  <c r="I25" i="50"/>
  <c r="I29" i="50" s="1"/>
  <c r="G124" i="51"/>
  <c r="I27" i="50"/>
  <c r="I31" i="50" s="1"/>
  <c r="H125" i="51"/>
  <c r="I47" i="51"/>
  <c r="J94" i="67"/>
  <c r="AE107" i="67"/>
  <c r="P67" i="53"/>
  <c r="L67" i="53"/>
  <c r="O92" i="67" s="1"/>
  <c r="O94" i="67" s="1"/>
  <c r="M67" i="52"/>
  <c r="N67" i="53"/>
  <c r="AE111" i="67"/>
  <c r="AD101" i="67"/>
  <c r="AD128" i="67"/>
  <c r="AD112" i="67"/>
  <c r="AD110" i="67"/>
  <c r="AE101" i="67"/>
  <c r="AE99" i="67"/>
  <c r="AE110" i="67"/>
  <c r="AE118" i="67"/>
  <c r="AE115" i="67"/>
  <c r="AE109" i="67"/>
  <c r="AE112" i="67"/>
  <c r="AE114" i="67"/>
  <c r="AE128" i="67"/>
  <c r="AD114" i="67"/>
  <c r="AD99" i="67"/>
  <c r="AD115" i="67"/>
  <c r="AD118" i="67"/>
  <c r="AD109" i="67"/>
  <c r="AD111" i="67"/>
  <c r="AD117" i="67"/>
  <c r="AD107" i="67"/>
  <c r="I122" i="51"/>
  <c r="G125" i="51"/>
  <c r="F69" i="52"/>
  <c r="E109" i="65"/>
  <c r="E124" i="65" s="1"/>
  <c r="P69" i="52"/>
  <c r="P92" i="67"/>
  <c r="P94" i="67" s="1"/>
  <c r="I50" i="51"/>
  <c r="J50" i="51"/>
  <c r="J49" i="51"/>
  <c r="T49" i="51"/>
  <c r="T50" i="51"/>
  <c r="S136" i="51" a="1"/>
  <c r="S136" i="51" s="1"/>
  <c r="S90" i="51" a="1"/>
  <c r="S90" i="51" s="1"/>
  <c r="O26" i="50" s="1"/>
  <c r="O30" i="50" s="1"/>
  <c r="R135" i="51" a="1"/>
  <c r="R135" i="51" s="1"/>
  <c r="R89" i="51" a="1"/>
  <c r="R89" i="51" s="1"/>
  <c r="T124" i="51"/>
  <c r="U124" i="51"/>
  <c r="L69" i="52"/>
  <c r="G119" i="51"/>
  <c r="K125" i="51"/>
  <c r="S123" i="51"/>
  <c r="H123" i="51"/>
  <c r="S119" i="51"/>
  <c r="H133" i="51" a="1"/>
  <c r="H133" i="51" s="1"/>
  <c r="R125" i="51"/>
  <c r="S133" i="51" a="1"/>
  <c r="S133" i="51" s="1"/>
  <c r="S87" i="51" a="1"/>
  <c r="S87" i="51" s="1"/>
  <c r="H126" i="51"/>
  <c r="J119" i="51"/>
  <c r="Q132" i="51" a="1"/>
  <c r="Q132" i="51" s="1"/>
  <c r="Q86" i="51" a="1"/>
  <c r="Q86" i="51" s="1"/>
  <c r="T136" i="51" a="1"/>
  <c r="T136" i="51" s="1"/>
  <c r="T90" i="51" a="1"/>
  <c r="T90" i="51" s="1"/>
  <c r="P27" i="50" s="1"/>
  <c r="P31" i="50" s="1"/>
  <c r="Q125" i="51"/>
  <c r="U133" i="51" a="1"/>
  <c r="U133" i="51" s="1"/>
  <c r="U87" i="51" a="1"/>
  <c r="U87" i="51" s="1"/>
  <c r="R92" i="67"/>
  <c r="R94" i="67" s="1"/>
  <c r="O69" i="53"/>
  <c r="Q120" i="51"/>
  <c r="AN27" i="67"/>
  <c r="AN56" i="67"/>
  <c r="AN29" i="67"/>
  <c r="AN20" i="67"/>
  <c r="AN43" i="67"/>
  <c r="AN42" i="67"/>
  <c r="AN38" i="67"/>
  <c r="AN39" i="67"/>
  <c r="AN37" i="67"/>
  <c r="AN35" i="67"/>
  <c r="AN46" i="67"/>
  <c r="AN45" i="67"/>
  <c r="AN40" i="67"/>
  <c r="AD38" i="67"/>
  <c r="AD35" i="67"/>
  <c r="AD40" i="67"/>
  <c r="AD29" i="67"/>
  <c r="AG40" i="67"/>
  <c r="AD39" i="67"/>
  <c r="AD37" i="67"/>
  <c r="AD43" i="67"/>
  <c r="AD46" i="67"/>
  <c r="AG35" i="67"/>
  <c r="AG29" i="67"/>
  <c r="Z20" i="67"/>
  <c r="AG20" i="67" s="1"/>
  <c r="AG42" i="67"/>
  <c r="AG45" i="67"/>
  <c r="AD27" i="67"/>
  <c r="AG56" i="67"/>
  <c r="AG46" i="67"/>
  <c r="AG39" i="67"/>
  <c r="AG43" i="67"/>
  <c r="AG27" i="67"/>
  <c r="AG37" i="67"/>
  <c r="AD45" i="67"/>
  <c r="AD42" i="67"/>
  <c r="AF38" i="67"/>
  <c r="AF40" i="67"/>
  <c r="AF35" i="67"/>
  <c r="AF46" i="67"/>
  <c r="AF45" i="67"/>
  <c r="AF42" i="67"/>
  <c r="AF29" i="67"/>
  <c r="AF37" i="67"/>
  <c r="AF43" i="67"/>
  <c r="AF39" i="67"/>
  <c r="AF56" i="67"/>
  <c r="AF27" i="67"/>
  <c r="AE27" i="67"/>
  <c r="AE35" i="67"/>
  <c r="AE37" i="67"/>
  <c r="AE43" i="67"/>
  <c r="AE45" i="67"/>
  <c r="AE39" i="67"/>
  <c r="AE38" i="67"/>
  <c r="AE40" i="67"/>
  <c r="AE56" i="67"/>
  <c r="AE42" i="67"/>
  <c r="AE29" i="67"/>
  <c r="AE46" i="67"/>
  <c r="Q60" i="51" a="1"/>
  <c r="Q60" i="51" s="1"/>
  <c r="G57" i="51" a="1"/>
  <c r="G57" i="51" s="1"/>
  <c r="J61" i="51" a="1"/>
  <c r="J61" i="51" s="1"/>
  <c r="G60" i="51" a="1"/>
  <c r="G60" i="51" s="1"/>
  <c r="J60" i="51" a="1"/>
  <c r="J60" i="51" s="1"/>
  <c r="T60" i="51" a="1"/>
  <c r="T60" i="51" s="1"/>
  <c r="I61" i="51" a="1"/>
  <c r="I61" i="51" s="1"/>
  <c r="T61" i="51" a="1"/>
  <c r="T61" i="51" s="1"/>
  <c r="F16" i="50"/>
  <c r="O118" i="65"/>
  <c r="E3" i="44"/>
  <c r="E21" i="25" s="1"/>
  <c r="Q17" i="50"/>
  <c r="Q15" i="50"/>
  <c r="Q16" i="50"/>
  <c r="I17" i="50"/>
  <c r="I15" i="50"/>
  <c r="O16" i="50"/>
  <c r="D21" i="25"/>
  <c r="AG140" i="67" l="1"/>
  <c r="AG139" i="67"/>
  <c r="AG134" i="67"/>
  <c r="AG135" i="67"/>
  <c r="Q67" i="52"/>
  <c r="K35" i="52" s="1"/>
  <c r="G38" i="52" s="1"/>
  <c r="AG110" i="67"/>
  <c r="AG114" i="67"/>
  <c r="AG107" i="67"/>
  <c r="AG112" i="67"/>
  <c r="AG128" i="67"/>
  <c r="AG115" i="67"/>
  <c r="AG101" i="67"/>
  <c r="AG117" i="67"/>
  <c r="L94" i="67"/>
  <c r="AG99" i="67"/>
  <c r="AG111" i="67"/>
  <c r="AG118" i="67"/>
  <c r="AG109" i="67"/>
  <c r="Q67" i="53"/>
  <c r="N25" i="50"/>
  <c r="N29" i="50" s="1"/>
  <c r="N26" i="50"/>
  <c r="N30" i="50" s="1"/>
  <c r="N27" i="50"/>
  <c r="N31" i="50" s="1"/>
  <c r="P25" i="50"/>
  <c r="P29" i="50" s="1"/>
  <c r="P26" i="50"/>
  <c r="P30" i="50" s="1"/>
  <c r="O27" i="50"/>
  <c r="O31" i="50" s="1"/>
  <c r="O25" i="50"/>
  <c r="O29" i="50" s="1"/>
  <c r="Q20" i="67"/>
  <c r="E107" i="65"/>
  <c r="N69" i="52"/>
  <c r="E117" i="65"/>
  <c r="Q117" i="65" s="1"/>
  <c r="Q109" i="65"/>
  <c r="W92" i="67"/>
  <c r="AD92" i="67" s="1"/>
  <c r="AD94" i="67" s="1"/>
  <c r="N69" i="53"/>
  <c r="Y92" i="67"/>
  <c r="AF92" i="67" s="1"/>
  <c r="AF94" i="67" s="1"/>
  <c r="H122" i="51"/>
  <c r="T125" i="51"/>
  <c r="S122" i="51"/>
  <c r="E105" i="65"/>
  <c r="O20" i="67"/>
  <c r="R124" i="51"/>
  <c r="E108" i="65"/>
  <c r="Q108" i="65" s="1"/>
  <c r="R20" i="67"/>
  <c r="Q121" i="51"/>
  <c r="U122" i="51"/>
  <c r="S125" i="51"/>
  <c r="O69" i="52"/>
  <c r="AN48" i="67"/>
  <c r="I16" i="50"/>
  <c r="G17" i="50"/>
  <c r="H17" i="50"/>
  <c r="H15" i="50"/>
  <c r="I37" i="50"/>
  <c r="Q37" i="50"/>
  <c r="Q36" i="50"/>
  <c r="P17" i="50"/>
  <c r="P16" i="50"/>
  <c r="P15" i="50"/>
  <c r="Q38" i="50"/>
  <c r="G15" i="50"/>
  <c r="F38" i="50"/>
  <c r="I36" i="50"/>
  <c r="I38" i="50"/>
  <c r="F36" i="50"/>
  <c r="F37" i="50"/>
  <c r="H3" i="50" l="1"/>
  <c r="AM43" i="67"/>
  <c r="AM67" i="67"/>
  <c r="AM68" i="67"/>
  <c r="AM62" i="67"/>
  <c r="AM61" i="67"/>
  <c r="AJ42" i="67"/>
  <c r="AJ67" i="67"/>
  <c r="AJ68" i="67"/>
  <c r="AJ62" i="67"/>
  <c r="AJ61" i="67"/>
  <c r="AL67" i="67"/>
  <c r="AL68" i="67"/>
  <c r="AL62" i="67"/>
  <c r="AL61" i="67"/>
  <c r="D38" i="52"/>
  <c r="E38" i="52"/>
  <c r="G3" i="51"/>
  <c r="E25" i="25" s="1"/>
  <c r="M35" i="52"/>
  <c r="E115" i="65"/>
  <c r="Q115" i="65" s="1"/>
  <c r="Q107" i="65"/>
  <c r="E122" i="65"/>
  <c r="AL43" i="67"/>
  <c r="AL42" i="67"/>
  <c r="AL29" i="67"/>
  <c r="AL40" i="67"/>
  <c r="AL39" i="67"/>
  <c r="AL20" i="67"/>
  <c r="X20" i="67"/>
  <c r="AE20" i="67" s="1"/>
  <c r="AL35" i="67"/>
  <c r="AL37" i="67"/>
  <c r="AL27" i="67"/>
  <c r="AL56" i="67"/>
  <c r="AL45" i="67"/>
  <c r="AL38" i="67"/>
  <c r="AL46" i="67"/>
  <c r="L69" i="53"/>
  <c r="O37" i="50"/>
  <c r="N38" i="50"/>
  <c r="AJ37" i="67"/>
  <c r="E123" i="65"/>
  <c r="AM29" i="67"/>
  <c r="AM20" i="67"/>
  <c r="AM56" i="67"/>
  <c r="AJ46" i="67"/>
  <c r="AM39" i="67"/>
  <c r="AM35" i="67"/>
  <c r="AM46" i="67"/>
  <c r="AM37" i="67"/>
  <c r="AM42" i="67"/>
  <c r="AJ35" i="67"/>
  <c r="AM40" i="67"/>
  <c r="AM27" i="67"/>
  <c r="AJ45" i="67"/>
  <c r="AM45" i="67"/>
  <c r="Y20" i="67"/>
  <c r="AF20" i="67" s="1"/>
  <c r="AJ56" i="67"/>
  <c r="AM38" i="67"/>
  <c r="AJ27" i="67"/>
  <c r="AJ40" i="67"/>
  <c r="AJ20" i="67"/>
  <c r="AJ38" i="67"/>
  <c r="AJ43" i="67"/>
  <c r="N37" i="50"/>
  <c r="AJ39" i="67"/>
  <c r="AJ29" i="67"/>
  <c r="E116" i="65"/>
  <c r="Q116" i="65" s="1"/>
  <c r="S92" i="67"/>
  <c r="E106" i="65"/>
  <c r="P20" i="67"/>
  <c r="N36" i="50"/>
  <c r="Q92" i="67"/>
  <c r="X92" i="67" s="1"/>
  <c r="M69" i="52"/>
  <c r="P69" i="53"/>
  <c r="Q105" i="65"/>
  <c r="E113" i="65"/>
  <c r="Q113" i="65" s="1"/>
  <c r="E120" i="65"/>
  <c r="H16" i="50"/>
  <c r="G16" i="50"/>
  <c r="O36" i="50"/>
  <c r="O38" i="50"/>
  <c r="G38" i="50"/>
  <c r="G37" i="50"/>
  <c r="H38" i="50"/>
  <c r="H37" i="50"/>
  <c r="H36" i="50"/>
  <c r="G36" i="50"/>
  <c r="P38" i="50"/>
  <c r="P36" i="50"/>
  <c r="P37" i="50"/>
  <c r="AK67" i="67" l="1"/>
  <c r="AK68" i="67"/>
  <c r="AK61" i="67"/>
  <c r="AK62" i="67"/>
  <c r="AL48" i="67"/>
  <c r="AJ48" i="67"/>
  <c r="AM48" i="67"/>
  <c r="E110" i="65"/>
  <c r="Q94" i="67"/>
  <c r="K35" i="53"/>
  <c r="Z92" i="67"/>
  <c r="AG92" i="67" s="1"/>
  <c r="AG94" i="67" s="1"/>
  <c r="S94" i="67"/>
  <c r="N92" i="67"/>
  <c r="N94" i="67" s="1"/>
  <c r="W20" i="67"/>
  <c r="AD20" i="67" s="1"/>
  <c r="AK37" i="67"/>
  <c r="AK20" i="67"/>
  <c r="AK39" i="67"/>
  <c r="AK27" i="67"/>
  <c r="AK35" i="67"/>
  <c r="N20" i="67"/>
  <c r="AK56" i="67"/>
  <c r="AK46" i="67"/>
  <c r="AK29" i="67"/>
  <c r="AK40" i="67"/>
  <c r="AK42" i="67"/>
  <c r="AK45" i="67"/>
  <c r="AK43" i="67"/>
  <c r="AK38" i="67"/>
  <c r="E121" i="65"/>
  <c r="Q106" i="65"/>
  <c r="E114" i="65"/>
  <c r="Q114" i="65" s="1"/>
  <c r="AE92" i="67"/>
  <c r="AE94" i="67" s="1"/>
  <c r="E27" i="25"/>
  <c r="AI67" i="67" l="1"/>
  <c r="AI68" i="67"/>
  <c r="M35" i="53"/>
  <c r="E31" i="25" s="1"/>
  <c r="AI62" i="67"/>
  <c r="AI61" i="67"/>
  <c r="D38" i="53"/>
  <c r="G3" i="52"/>
  <c r="E29" i="25" s="1"/>
  <c r="AI51" i="67"/>
  <c r="K38" i="53"/>
  <c r="J38" i="53"/>
  <c r="I38" i="53"/>
  <c r="E38" i="53"/>
  <c r="AI43" i="67"/>
  <c r="AI38" i="67"/>
  <c r="AI46" i="67"/>
  <c r="AI45" i="67"/>
  <c r="AI40" i="67"/>
  <c r="AI39" i="67"/>
  <c r="AI35" i="67"/>
  <c r="AI27" i="67"/>
  <c r="AI20" i="67"/>
  <c r="AI42" i="67"/>
  <c r="AI37" i="67"/>
  <c r="AK48" i="67"/>
  <c r="AI48" i="67" s="1"/>
  <c r="F38" i="52"/>
  <c r="H38" i="52"/>
  <c r="I38" i="52"/>
  <c r="J38" i="52"/>
  <c r="K38" i="52"/>
  <c r="E118" i="65"/>
  <c r="Q118" i="65" s="1"/>
  <c r="Q110" i="65"/>
  <c r="H38" i="53"/>
  <c r="E125" i="65"/>
  <c r="F38" i="53"/>
  <c r="G38" i="53"/>
  <c r="B59" i="49" l="1"/>
  <c r="B237" i="49" l="1"/>
  <c r="B292" i="49" s="1"/>
  <c r="B167" i="44" l="1"/>
  <c r="B173" i="44" l="1"/>
  <c r="B186" i="44" l="1"/>
  <c r="B210" i="44" l="1"/>
  <c r="B224" i="44" s="1"/>
  <c r="B253" i="44" l="1"/>
  <c r="B388" i="44" s="1"/>
  <c r="B413" i="44" l="1"/>
  <c r="B419" i="44" l="1"/>
  <c r="B432" i="44" s="1"/>
  <c r="B456" i="44" s="1"/>
  <c r="B470" i="44" s="1"/>
  <c r="K25" i="49" l="1"/>
  <c r="K27" i="49" l="1"/>
  <c r="K28" i="49" l="1"/>
  <c r="K29" i="49" s="1"/>
  <c r="K10" i="49" l="1"/>
  <c r="P10" i="49" s="1"/>
  <c r="H54" i="63" a="1"/>
  <c r="H54" i="63" s="1"/>
  <c r="AM57" i="67"/>
  <c r="AL58" i="67"/>
  <c r="AL31" i="67"/>
  <c r="AK71" i="67"/>
  <c r="AK66" i="67"/>
  <c r="H52" i="67"/>
  <c r="AM32" i="67"/>
  <c r="AL69" i="67"/>
  <c r="AJ69" i="67"/>
  <c r="AJ66" i="67"/>
  <c r="AL66" i="67"/>
  <c r="H59" i="67" a="1"/>
  <c r="H59" i="67" s="1"/>
  <c r="AN32" i="67"/>
  <c r="AM58" i="67"/>
  <c r="AN57" i="67"/>
  <c r="H57" i="67" a="1"/>
  <c r="H57" i="67" s="1"/>
  <c r="AN58" i="67"/>
  <c r="AN30" i="67"/>
  <c r="AK69" i="67"/>
  <c r="AJ59" i="67"/>
  <c r="AK65" i="67"/>
  <c r="AN71" i="67"/>
  <c r="AK32" i="67"/>
  <c r="AN59" i="67"/>
  <c r="AL57" i="67"/>
  <c r="AJ57" i="67"/>
  <c r="AJ32" i="67"/>
  <c r="AK58" i="67"/>
  <c r="AJ30" i="67"/>
  <c r="AL52" i="67"/>
  <c r="AL53" i="67"/>
  <c r="AK53" i="67"/>
  <c r="AM59" i="67"/>
  <c r="AL32" i="67"/>
  <c r="AJ58" i="67"/>
  <c r="AM53" i="67"/>
  <c r="AN31" i="67"/>
  <c r="AJ31" i="67"/>
  <c r="AM66" i="67"/>
  <c r="AN65" i="67"/>
  <c r="L51" i="67"/>
  <c r="AN69" i="67"/>
  <c r="AM69" i="67"/>
  <c r="AJ52" i="67"/>
  <c r="AM52" i="67"/>
  <c r="AL65" i="67"/>
  <c r="AM30" i="67"/>
  <c r="AM71" i="67"/>
  <c r="V141" i="67"/>
  <c r="K51" i="67"/>
  <c r="AK52" i="67"/>
  <c r="AK59" i="67"/>
  <c r="AL71" i="67"/>
  <c r="H58" i="67" a="1"/>
  <c r="H58" i="67" s="1"/>
  <c r="AJ71" i="67"/>
  <c r="AM65" i="67"/>
  <c r="AN51" i="67"/>
  <c r="J51" i="67"/>
  <c r="AN52" i="67"/>
  <c r="AL51" i="67"/>
  <c r="AK51" i="67"/>
  <c r="AL30" i="67"/>
  <c r="AJ65" i="67"/>
  <c r="AN53" i="67"/>
  <c r="AK31" i="67"/>
  <c r="I58" i="67" a="1"/>
  <c r="I58" i="67" s="1"/>
  <c r="K58" i="67" a="1"/>
  <c r="K58" i="67" s="1"/>
  <c r="L58" i="67" a="1"/>
  <c r="L58" i="67" s="1"/>
  <c r="J58" i="67" a="1"/>
  <c r="J58" i="67" s="1"/>
  <c r="AK57" i="67"/>
  <c r="AJ53" i="67"/>
  <c r="AL59" i="67"/>
  <c r="AM51" i="67"/>
  <c r="V138" i="67"/>
  <c r="V125" i="67"/>
  <c r="AM31" i="67"/>
  <c r="H51" i="67"/>
  <c r="X137" i="67"/>
  <c r="AE137" i="67" s="1"/>
  <c r="AN66" i="67"/>
  <c r="J57" i="67" a="1"/>
  <c r="J57" i="67" s="1"/>
  <c r="I57" i="67" a="1"/>
  <c r="I57" i="67" s="1"/>
  <c r="K57" i="67" a="1"/>
  <c r="K57" i="67" s="1"/>
  <c r="Z102" i="67"/>
  <c r="L57" i="67" a="1"/>
  <c r="L57" i="67" s="1"/>
  <c r="W137" i="67"/>
  <c r="AD137" i="67" s="1"/>
  <c r="X130" i="67"/>
  <c r="AE130" i="67" s="1"/>
  <c r="K59" i="67" a="1"/>
  <c r="K59" i="67" s="1"/>
  <c r="K52" i="67"/>
  <c r="W125" i="67"/>
  <c r="AD125" i="67" s="1"/>
  <c r="I59" i="67" a="1"/>
  <c r="I59" i="67" s="1"/>
  <c r="J53" i="67"/>
  <c r="X141" i="67"/>
  <c r="AE141" i="67" s="1"/>
  <c r="W141" i="67"/>
  <c r="AD141" i="67" s="1"/>
  <c r="I71" i="67"/>
  <c r="I61" i="67" s="1"/>
  <c r="J52" i="67"/>
  <c r="L59" i="67" a="1"/>
  <c r="L59" i="67" s="1"/>
  <c r="L71" i="67"/>
  <c r="L61" i="67" s="1"/>
  <c r="Z61" i="67" s="1"/>
  <c r="AG61" i="67" s="1"/>
  <c r="X143" i="67"/>
  <c r="AE143" i="67" s="1"/>
  <c r="L52" i="67"/>
  <c r="Y141" i="67"/>
  <c r="AF141" i="67" s="1"/>
  <c r="Y124" i="67"/>
  <c r="AF124" i="67" s="1"/>
  <c r="Z138" i="67"/>
  <c r="AG138" i="67" s="1"/>
  <c r="I53" i="67"/>
  <c r="K71" i="67"/>
  <c r="K61" i="67" s="1"/>
  <c r="Y61" i="67" s="1"/>
  <c r="AF61" i="67" s="1"/>
  <c r="L53" i="67"/>
  <c r="I52" i="67"/>
  <c r="X138" i="67"/>
  <c r="AE138" i="67" s="1"/>
  <c r="K53" i="67"/>
  <c r="W124" i="67"/>
  <c r="AD124" i="67" s="1"/>
  <c r="Z143" i="67"/>
  <c r="AG143" i="67" s="1"/>
  <c r="J59" i="67" a="1"/>
  <c r="J59" i="67" s="1"/>
  <c r="Y143" i="67"/>
  <c r="AF143" i="67" s="1"/>
  <c r="I51" i="67"/>
  <c r="G61" i="67" l="1"/>
  <c r="U61" i="67" s="1"/>
  <c r="W61" i="67"/>
  <c r="AD61" i="67" s="1"/>
  <c r="H62" i="67"/>
  <c r="H73" i="67" s="1"/>
  <c r="J62" i="67"/>
  <c r="X62" i="67" s="1"/>
  <c r="AE62" i="67" s="1"/>
  <c r="K62" i="67"/>
  <c r="Y62" i="67" s="1"/>
  <c r="AF62" i="67" s="1"/>
  <c r="L62" i="67"/>
  <c r="Z62" i="67" s="1"/>
  <c r="AG62" i="67" s="1"/>
  <c r="I62" i="67"/>
  <c r="W62" i="67" s="1"/>
  <c r="AD62" i="67" s="1"/>
  <c r="H73" i="63" a="1"/>
  <c r="H73" i="63" s="1"/>
  <c r="G38" i="51" s="1" a="1"/>
  <c r="G38" i="51" s="1"/>
  <c r="H67" i="63" a="1"/>
  <c r="H67" i="63" s="1"/>
  <c r="H71" i="63" a="1"/>
  <c r="H71" i="63" s="1"/>
  <c r="G37" i="51" s="1" a="1"/>
  <c r="G37" i="51" s="1"/>
  <c r="H66" i="63" a="1"/>
  <c r="H66" i="63" s="1"/>
  <c r="G34" i="51" s="1" a="1"/>
  <c r="G34" i="51" s="1"/>
  <c r="H72" i="63" a="1"/>
  <c r="H72" i="63" s="1"/>
  <c r="H68" i="63" a="1"/>
  <c r="H68" i="63" s="1"/>
  <c r="G35" i="51" s="1" a="1"/>
  <c r="G35" i="51" s="1"/>
  <c r="H70" i="63" a="1"/>
  <c r="H70" i="63" s="1"/>
  <c r="G39" i="51" s="1" a="1"/>
  <c r="G39" i="51" s="1"/>
  <c r="H69" i="63" a="1"/>
  <c r="H69" i="63" s="1"/>
  <c r="H74" i="63" a="1"/>
  <c r="H74" i="63" s="1"/>
  <c r="AK30" i="67"/>
  <c r="AI30" i="67"/>
  <c r="AJ51" i="67"/>
  <c r="AG102" i="67"/>
  <c r="W66" i="67"/>
  <c r="AD66" i="67" s="1"/>
  <c r="V71" i="67"/>
  <c r="W52" i="67"/>
  <c r="AD52" i="67" s="1"/>
  <c r="X71" i="67"/>
  <c r="AE71" i="67" s="1"/>
  <c r="V59" i="67"/>
  <c r="X30" i="67"/>
  <c r="AE30" i="67" s="1"/>
  <c r="X52" i="67"/>
  <c r="AE52" i="67" s="1"/>
  <c r="Y31" i="67"/>
  <c r="AF31" i="67" s="1"/>
  <c r="Z52" i="67"/>
  <c r="AG52" i="67" s="1"/>
  <c r="Y51" i="67"/>
  <c r="AF51" i="67" s="1"/>
  <c r="V69" i="67"/>
  <c r="Y138" i="67"/>
  <c r="AF138" i="67" s="1"/>
  <c r="X125" i="67"/>
  <c r="AE125" i="67" s="1"/>
  <c r="Y69" i="67"/>
  <c r="AF69" i="67" s="1"/>
  <c r="N53" i="67"/>
  <c r="Z141" i="67"/>
  <c r="AG141" i="67" s="1"/>
  <c r="W51" i="67"/>
  <c r="AD51" i="67" s="1"/>
  <c r="Y102" i="67"/>
  <c r="N52" i="67"/>
  <c r="X103" i="67"/>
  <c r="AE103" i="67" s="1"/>
  <c r="X51" i="67"/>
  <c r="AE51" i="67" s="1"/>
  <c r="Z51" i="67"/>
  <c r="AG51" i="67" s="1"/>
  <c r="W31" i="67"/>
  <c r="AD31" i="67" s="1"/>
  <c r="N65" i="67"/>
  <c r="V52" i="67"/>
  <c r="X102" i="67"/>
  <c r="W30" i="67"/>
  <c r="AD30" i="67" s="1"/>
  <c r="Z103" i="67"/>
  <c r="AG103" i="67" s="1"/>
  <c r="V124" i="67"/>
  <c r="X123" i="67"/>
  <c r="AE123" i="67" s="1"/>
  <c r="W102" i="67"/>
  <c r="W57" i="67"/>
  <c r="AD57" i="67" s="1"/>
  <c r="W143" i="67"/>
  <c r="AD143" i="67" s="1"/>
  <c r="Z53" i="67"/>
  <c r="AG53" i="67" s="1"/>
  <c r="Z129" i="67"/>
  <c r="AG129" i="67" s="1"/>
  <c r="Y129" i="67"/>
  <c r="AF129" i="67" s="1"/>
  <c r="V104" i="67"/>
  <c r="X104" i="67"/>
  <c r="AE104" i="67" s="1"/>
  <c r="Z123" i="67"/>
  <c r="AG123" i="67" s="1"/>
  <c r="Z66" i="67"/>
  <c r="AG66" i="67" s="1"/>
  <c r="Y59" i="67"/>
  <c r="AF59" i="67" s="1"/>
  <c r="U143" i="67"/>
  <c r="Y53" i="67"/>
  <c r="AF53" i="67" s="1"/>
  <c r="G53" i="67"/>
  <c r="W59" i="67"/>
  <c r="AD59" i="67" s="1"/>
  <c r="Z137" i="67"/>
  <c r="AG137" i="67" s="1"/>
  <c r="W58" i="67"/>
  <c r="AD58" i="67" s="1"/>
  <c r="W129" i="67"/>
  <c r="AD129" i="67" s="1"/>
  <c r="X59" i="67"/>
  <c r="AE59" i="67" s="1"/>
  <c r="G58" i="67"/>
  <c r="W103" i="67"/>
  <c r="AD103" i="67" s="1"/>
  <c r="X129" i="67"/>
  <c r="AE129" i="67" s="1"/>
  <c r="Y103" i="67"/>
  <c r="AF103" i="67" s="1"/>
  <c r="X131" i="67"/>
  <c r="AE131" i="67" s="1"/>
  <c r="V130" i="67"/>
  <c r="W104" i="67"/>
  <c r="AD104" i="67" s="1"/>
  <c r="X65" i="67"/>
  <c r="AE65" i="67" s="1"/>
  <c r="X53" i="67"/>
  <c r="AE53" i="67" s="1"/>
  <c r="W65" i="67"/>
  <c r="AD65" i="67" s="1"/>
  <c r="G71" i="67"/>
  <c r="Y57" i="67"/>
  <c r="AF57" i="67" s="1"/>
  <c r="V53" i="67"/>
  <c r="Y65" i="67"/>
  <c r="AF65" i="67" s="1"/>
  <c r="Y30" i="67"/>
  <c r="AF30" i="67" s="1"/>
  <c r="Z69" i="67"/>
  <c r="AG69" i="67" s="1"/>
  <c r="Z125" i="67"/>
  <c r="AG125" i="67" s="1"/>
  <c r="Z104" i="67"/>
  <c r="AG104" i="67" s="1"/>
  <c r="AI32" i="67"/>
  <c r="V32" i="67"/>
  <c r="Z58" i="67"/>
  <c r="AG58" i="67" s="1"/>
  <c r="Y130" i="67"/>
  <c r="AF130" i="67" s="1"/>
  <c r="X124" i="67"/>
  <c r="AE124" i="67" s="1"/>
  <c r="G59" i="67"/>
  <c r="G51" i="67"/>
  <c r="U123" i="67"/>
  <c r="V143" i="67"/>
  <c r="Z130" i="67"/>
  <c r="AG130" i="67" s="1"/>
  <c r="Y52" i="67"/>
  <c r="AF52" i="67" s="1"/>
  <c r="Y137" i="67"/>
  <c r="AF137" i="67" s="1"/>
  <c r="X32" i="67"/>
  <c r="AE32" i="67" s="1"/>
  <c r="W130" i="67"/>
  <c r="AD130" i="67" s="1"/>
  <c r="X69" i="67"/>
  <c r="AE69" i="67" s="1"/>
  <c r="G52" i="67"/>
  <c r="U129" i="67"/>
  <c r="V123" i="67"/>
  <c r="N71" i="67"/>
  <c r="AI71" i="67" s="1"/>
  <c r="W123" i="67"/>
  <c r="AD123" i="67" s="1"/>
  <c r="Z131" i="67"/>
  <c r="AG131" i="67" s="1"/>
  <c r="N57" i="67"/>
  <c r="AI57" i="67" s="1"/>
  <c r="N56" i="67"/>
  <c r="V57" i="67"/>
  <c r="V137" i="67"/>
  <c r="V51" i="67"/>
  <c r="V65" i="67"/>
  <c r="Y104" i="67"/>
  <c r="AF104" i="67" s="1"/>
  <c r="AI29" i="67"/>
  <c r="X57" i="67"/>
  <c r="AE57" i="67" s="1"/>
  <c r="W69" i="67"/>
  <c r="AD69" i="67" s="1"/>
  <c r="G57" i="67"/>
  <c r="X66" i="67"/>
  <c r="AE66" i="67" s="1"/>
  <c r="Z124" i="67"/>
  <c r="AG124" i="67" s="1"/>
  <c r="W71" i="67"/>
  <c r="AD71" i="67" s="1"/>
  <c r="Y66" i="67"/>
  <c r="AF66" i="67" s="1"/>
  <c r="N31" i="67"/>
  <c r="AI31" i="67" s="1"/>
  <c r="Z59" i="67"/>
  <c r="AG59" i="67" s="1"/>
  <c r="Z57" i="67"/>
  <c r="AG57" i="67" s="1"/>
  <c r="AI66" i="67"/>
  <c r="X31" i="67"/>
  <c r="AE31" i="67" s="1"/>
  <c r="W138" i="67"/>
  <c r="AD138" i="67" s="1"/>
  <c r="Z65" i="67"/>
  <c r="AG65" i="67" s="1"/>
  <c r="V131" i="67"/>
  <c r="W53" i="67"/>
  <c r="AD53" i="67" s="1"/>
  <c r="W32" i="67"/>
  <c r="AD32" i="67" s="1"/>
  <c r="Y58" i="67"/>
  <c r="AF58" i="67" s="1"/>
  <c r="Y125" i="67"/>
  <c r="AF125" i="67" s="1"/>
  <c r="Y32" i="67"/>
  <c r="AF32" i="67" s="1"/>
  <c r="Y123" i="67"/>
  <c r="AF123" i="67" s="1"/>
  <c r="V129" i="67"/>
  <c r="U137" i="67"/>
  <c r="Y71" i="67"/>
  <c r="AF71" i="67" s="1"/>
  <c r="Z31" i="67"/>
  <c r="AG31" i="67" s="1"/>
  <c r="V58" i="67"/>
  <c r="N58" i="67"/>
  <c r="AI58" i="67" s="1"/>
  <c r="Y131" i="67"/>
  <c r="AF131" i="67" s="1"/>
  <c r="Z71" i="67"/>
  <c r="AG71" i="67" s="1"/>
  <c r="Z30" i="67"/>
  <c r="Z32" i="67"/>
  <c r="AG32" i="67" s="1"/>
  <c r="W131" i="67"/>
  <c r="AD131" i="67" s="1"/>
  <c r="X58" i="67"/>
  <c r="AE58" i="67" s="1"/>
  <c r="G56" i="67"/>
  <c r="V66" i="67"/>
  <c r="AI69" i="67"/>
  <c r="N59" i="67"/>
  <c r="AI59" i="67" s="1"/>
  <c r="L73" i="67" l="1"/>
  <c r="L25" i="67" s="1"/>
  <c r="K73" i="67"/>
  <c r="K25" i="67" s="1"/>
  <c r="J73" i="67"/>
  <c r="J25" i="67" s="1"/>
  <c r="J24" i="67" s="1"/>
  <c r="J21" i="67" s="1"/>
  <c r="J22" i="67" s="1"/>
  <c r="I73" i="67"/>
  <c r="I25" i="67" s="1"/>
  <c r="G62" i="67"/>
  <c r="V62" i="67"/>
  <c r="AG30" i="67"/>
  <c r="AI65" i="67"/>
  <c r="G31" i="74" a="1"/>
  <c r="G31" i="74" s="1"/>
  <c r="AI53" i="67"/>
  <c r="G26" i="74" a="1"/>
  <c r="G26" i="74" s="1"/>
  <c r="G36" i="74" a="1"/>
  <c r="G36" i="74" s="1"/>
  <c r="AI52" i="67"/>
  <c r="G25" i="74" a="1"/>
  <c r="G25" i="74" s="1"/>
  <c r="AI56" i="67"/>
  <c r="G27" i="74" a="1"/>
  <c r="G27" i="74" s="1"/>
  <c r="F25" i="74" a="1"/>
  <c r="F25" i="74" s="1"/>
  <c r="F27" i="74" a="1"/>
  <c r="F27" i="74" s="1"/>
  <c r="F24" i="74" a="1"/>
  <c r="F24" i="74" s="1"/>
  <c r="F36" i="74" a="1"/>
  <c r="F36" i="74" s="1"/>
  <c r="F26" i="74" a="1"/>
  <c r="F26" i="74" s="1"/>
  <c r="AK63" i="67"/>
  <c r="AK73" i="67" s="1"/>
  <c r="P25" i="67"/>
  <c r="AK25" i="67" s="1"/>
  <c r="AN63" i="67"/>
  <c r="AN73" i="67" s="1"/>
  <c r="S25" i="67"/>
  <c r="AN25" i="67" s="1"/>
  <c r="AL63" i="67"/>
  <c r="AL73" i="67" s="1"/>
  <c r="Q25" i="67"/>
  <c r="AL25" i="67" s="1"/>
  <c r="H104" i="63"/>
  <c r="G70" i="51" a="1"/>
  <c r="G70" i="51" s="1"/>
  <c r="H108" i="63"/>
  <c r="Q37" i="51" a="1"/>
  <c r="Q37" i="51" s="1"/>
  <c r="H102" i="63"/>
  <c r="G69" i="51" a="1"/>
  <c r="G69" i="51" s="1"/>
  <c r="H107" i="63"/>
  <c r="G72" i="51" a="1"/>
  <c r="G72" i="51" s="1"/>
  <c r="H103" i="63"/>
  <c r="Q34" i="51" a="1"/>
  <c r="Q34" i="51" s="1"/>
  <c r="Q38" i="51" a="1"/>
  <c r="Q38" i="51" s="1"/>
  <c r="H110" i="63"/>
  <c r="H109" i="63"/>
  <c r="G73" i="51" a="1"/>
  <c r="G73" i="51" s="1"/>
  <c r="H105" i="63"/>
  <c r="Q35" i="51" a="1"/>
  <c r="Q35" i="51" s="1"/>
  <c r="H106" i="63"/>
  <c r="G74" i="51" a="1"/>
  <c r="G74" i="51" s="1"/>
  <c r="AJ63" i="67"/>
  <c r="AJ73" i="67" s="1"/>
  <c r="R25" i="67"/>
  <c r="AM25" i="67" s="1"/>
  <c r="AM63" i="67"/>
  <c r="AM73" i="67" s="1"/>
  <c r="O25" i="67"/>
  <c r="AE102" i="67"/>
  <c r="AF102" i="67"/>
  <c r="AD102" i="67"/>
  <c r="H25" i="67"/>
  <c r="H24" i="67" s="1"/>
  <c r="H21" i="67" s="1"/>
  <c r="U53" i="67"/>
  <c r="U52" i="67"/>
  <c r="W63" i="67"/>
  <c r="AD63" i="67" s="1"/>
  <c r="U131" i="67"/>
  <c r="U69" i="67"/>
  <c r="Z63" i="67"/>
  <c r="AG63" i="67" s="1"/>
  <c r="X63" i="67"/>
  <c r="AE63" i="67" s="1"/>
  <c r="U65" i="67"/>
  <c r="U71" i="67"/>
  <c r="Z133" i="67"/>
  <c r="AG133" i="67" s="1"/>
  <c r="U59" i="67"/>
  <c r="U141" i="67"/>
  <c r="W133" i="67"/>
  <c r="AD133" i="67" s="1"/>
  <c r="U58" i="67"/>
  <c r="U125" i="67"/>
  <c r="U57" i="67"/>
  <c r="U104" i="67"/>
  <c r="U51" i="67"/>
  <c r="U128" i="67"/>
  <c r="X133" i="67"/>
  <c r="AE133" i="67" s="1"/>
  <c r="U124" i="67"/>
  <c r="V133" i="67"/>
  <c r="U56" i="67"/>
  <c r="U130" i="67"/>
  <c r="G63" i="67"/>
  <c r="F30" i="74" s="1" a="1"/>
  <c r="F30" i="74" s="1"/>
  <c r="Y133" i="67"/>
  <c r="AF133" i="67" s="1"/>
  <c r="U32" i="67"/>
  <c r="Y63" i="67"/>
  <c r="AF63" i="67" s="1"/>
  <c r="U66" i="67"/>
  <c r="V63" i="67"/>
  <c r="U138" i="67"/>
  <c r="I30" i="74" l="1"/>
  <c r="J30" i="74"/>
  <c r="M30" i="74"/>
  <c r="U62" i="67"/>
  <c r="F29" i="74" a="1"/>
  <c r="F29" i="74" s="1"/>
  <c r="AI73" i="67"/>
  <c r="M25" i="74"/>
  <c r="M36" i="74"/>
  <c r="M24" i="74"/>
  <c r="M26" i="74"/>
  <c r="M31" i="74"/>
  <c r="M27" i="74"/>
  <c r="I26" i="74"/>
  <c r="J26" i="74"/>
  <c r="I36" i="74"/>
  <c r="J36" i="74"/>
  <c r="I24" i="74"/>
  <c r="J24" i="74"/>
  <c r="I25" i="74"/>
  <c r="J25" i="74"/>
  <c r="I27" i="74"/>
  <c r="J27" i="74"/>
  <c r="AI63" i="67"/>
  <c r="G28" i="74" a="1"/>
  <c r="G28" i="74" s="1"/>
  <c r="F28" i="74" a="1"/>
  <c r="F28" i="74" s="1"/>
  <c r="I24" i="67"/>
  <c r="I21" i="67" s="1"/>
  <c r="I22" i="67" s="1"/>
  <c r="Q73" i="51" a="1"/>
  <c r="Q73" i="51" s="1"/>
  <c r="Q15" i="51" a="1"/>
  <c r="Q15" i="51" s="1"/>
  <c r="G14" i="51" a="1"/>
  <c r="G14" i="51" s="1"/>
  <c r="Q72" i="51" a="1"/>
  <c r="Q72" i="51" s="1"/>
  <c r="Q14" i="51" a="1"/>
  <c r="Q14" i="51" s="1"/>
  <c r="Q70" i="51" a="1"/>
  <c r="Q70" i="51" s="1"/>
  <c r="D101" i="53" a="1"/>
  <c r="D101" i="53" s="1"/>
  <c r="Q11" i="51" a="1"/>
  <c r="Q11" i="51" s="1"/>
  <c r="G15" i="51" a="1"/>
  <c r="G15" i="51" s="1"/>
  <c r="D100" i="52" a="1"/>
  <c r="D100" i="52" s="1"/>
  <c r="G10" i="51" a="1"/>
  <c r="G10" i="51" s="1"/>
  <c r="D67" i="52"/>
  <c r="I67" i="52" s="1"/>
  <c r="D101" i="52" a="1"/>
  <c r="D101" i="52" s="1"/>
  <c r="G11" i="51" a="1"/>
  <c r="G11" i="51" s="1"/>
  <c r="G16" i="51" a="1"/>
  <c r="G16" i="51" s="1"/>
  <c r="D100" i="53" a="1"/>
  <c r="D100" i="53" s="1"/>
  <c r="Q69" i="51" a="1"/>
  <c r="Q69" i="51" s="1"/>
  <c r="Q10" i="51" a="1"/>
  <c r="Q10" i="51" s="1"/>
  <c r="D67" i="53"/>
  <c r="D3" i="63"/>
  <c r="D23" i="25" s="1"/>
  <c r="N25" i="67"/>
  <c r="Y73" i="67"/>
  <c r="AF73" i="67" s="1"/>
  <c r="O24" i="67"/>
  <c r="O21" i="67" s="1"/>
  <c r="AJ25" i="67"/>
  <c r="R24" i="67"/>
  <c r="G96" i="67"/>
  <c r="L24" i="67"/>
  <c r="L21" i="67" s="1"/>
  <c r="L22" i="67" s="1"/>
  <c r="U63" i="67"/>
  <c r="Z145" i="67"/>
  <c r="Z97" i="67"/>
  <c r="AG97" i="67" s="1"/>
  <c r="Y97" i="67"/>
  <c r="AF97" i="67" s="1"/>
  <c r="Y145" i="67"/>
  <c r="K24" i="67"/>
  <c r="K21" i="67" s="1"/>
  <c r="K22" i="67" s="1"/>
  <c r="W97" i="67"/>
  <c r="AD97" i="67" s="1"/>
  <c r="W145" i="67"/>
  <c r="G73" i="67"/>
  <c r="Z25" i="67"/>
  <c r="AG25" i="67" s="1"/>
  <c r="Z73" i="67"/>
  <c r="AG73" i="67" s="1"/>
  <c r="X97" i="67"/>
  <c r="AE97" i="67" s="1"/>
  <c r="X145" i="67"/>
  <c r="N73" i="67"/>
  <c r="V73" i="67"/>
  <c r="V145" i="67"/>
  <c r="W25" i="67"/>
  <c r="AD25" i="67" s="1"/>
  <c r="W73" i="67"/>
  <c r="AD73" i="67" s="1"/>
  <c r="X25" i="67"/>
  <c r="AE25" i="67" s="1"/>
  <c r="X73" i="67"/>
  <c r="AE73" i="67" s="1"/>
  <c r="U133" i="67"/>
  <c r="Y25" i="67"/>
  <c r="AF25" i="67" s="1"/>
  <c r="I29" i="74" l="1"/>
  <c r="J29" i="74"/>
  <c r="M29" i="74"/>
  <c r="M28" i="74"/>
  <c r="I28" i="74"/>
  <c r="J28" i="74"/>
  <c r="F77" i="74" a="1"/>
  <c r="F77" i="74" s="1"/>
  <c r="E51" i="74"/>
  <c r="AI25" i="67"/>
  <c r="G38" i="74" a="1"/>
  <c r="G38" i="74" s="1"/>
  <c r="D63" i="52"/>
  <c r="I67" i="53"/>
  <c r="K34" i="53" s="1"/>
  <c r="K39" i="53" s="1"/>
  <c r="D63" i="53"/>
  <c r="I63" i="53" s="1"/>
  <c r="G34" i="53" s="1"/>
  <c r="M13" i="50"/>
  <c r="M11" i="50"/>
  <c r="M12" i="50"/>
  <c r="E13" i="50"/>
  <c r="E12" i="50"/>
  <c r="E11" i="50"/>
  <c r="G103" i="67"/>
  <c r="U103" i="67" s="1"/>
  <c r="V103" i="67"/>
  <c r="K34" i="52"/>
  <c r="H20" i="67"/>
  <c r="U30" i="67"/>
  <c r="V30" i="67"/>
  <c r="G49" i="51"/>
  <c r="V31" i="67"/>
  <c r="G45" i="51"/>
  <c r="H92" i="67"/>
  <c r="G46" i="51"/>
  <c r="G50" i="51"/>
  <c r="Q50" i="51"/>
  <c r="G51" i="51"/>
  <c r="Q45" i="51"/>
  <c r="U101" i="67"/>
  <c r="G102" i="67"/>
  <c r="U102" i="67" s="1"/>
  <c r="H93" i="67"/>
  <c r="V102" i="67"/>
  <c r="Q46" i="51"/>
  <c r="Q49" i="51"/>
  <c r="R21" i="67"/>
  <c r="R22" i="67" s="1"/>
  <c r="AM24" i="67"/>
  <c r="AM21" i="67" s="1"/>
  <c r="AM22" i="67" s="1"/>
  <c r="O22" i="67"/>
  <c r="AJ24" i="67"/>
  <c r="AJ21" i="67" s="1"/>
  <c r="AJ22" i="67" s="1"/>
  <c r="P24" i="67"/>
  <c r="S24" i="67"/>
  <c r="AN24" i="67" s="1"/>
  <c r="AN21" i="67" s="1"/>
  <c r="AN22" i="67" s="1"/>
  <c r="W96" i="67"/>
  <c r="V25" i="67"/>
  <c r="Y24" i="67"/>
  <c r="Y21" i="67" s="1"/>
  <c r="Y22" i="67" s="1"/>
  <c r="G24" i="67"/>
  <c r="V24" i="67"/>
  <c r="Q24" i="67"/>
  <c r="V97" i="67"/>
  <c r="U97" i="67"/>
  <c r="U73" i="67"/>
  <c r="Y96" i="67"/>
  <c r="G25" i="67"/>
  <c r="AC139" i="67" l="1"/>
  <c r="AC140" i="67"/>
  <c r="AC134" i="67"/>
  <c r="AC135" i="67"/>
  <c r="J53" i="74"/>
  <c r="J69" i="74"/>
  <c r="J70" i="74"/>
  <c r="AC48" i="67"/>
  <c r="AC67" i="67"/>
  <c r="AC73" i="67"/>
  <c r="AC68" i="67"/>
  <c r="AC61" i="67"/>
  <c r="AC62" i="67"/>
  <c r="F3" i="51"/>
  <c r="D25" i="25" s="1"/>
  <c r="D37" i="52"/>
  <c r="M34" i="53"/>
  <c r="M77" i="74"/>
  <c r="J77" i="74"/>
  <c r="I77" i="74"/>
  <c r="J60" i="74"/>
  <c r="J73" i="74"/>
  <c r="J72" i="74"/>
  <c r="J67" i="74"/>
  <c r="J61" i="74"/>
  <c r="J74" i="74"/>
  <c r="J75" i="74"/>
  <c r="J57" i="74"/>
  <c r="J65" i="74"/>
  <c r="J54" i="74"/>
  <c r="J64" i="74"/>
  <c r="J66" i="74"/>
  <c r="J76" i="74"/>
  <c r="J63" i="74"/>
  <c r="J58" i="74"/>
  <c r="J62" i="74"/>
  <c r="J55" i="74"/>
  <c r="J59" i="74"/>
  <c r="J56" i="74"/>
  <c r="J71" i="74"/>
  <c r="J68" i="74"/>
  <c r="J78" i="74"/>
  <c r="F51" i="74"/>
  <c r="F37" i="74" a="1"/>
  <c r="F37" i="74" s="1"/>
  <c r="G21" i="67"/>
  <c r="F38" i="74" a="1"/>
  <c r="F38" i="74" s="1"/>
  <c r="U31" i="67"/>
  <c r="U29" i="67"/>
  <c r="D65" i="53"/>
  <c r="I65" i="53" s="1"/>
  <c r="AC97" i="67"/>
  <c r="H94" i="67"/>
  <c r="AC102" i="67"/>
  <c r="AC25" i="67"/>
  <c r="H22" i="67"/>
  <c r="D37" i="53"/>
  <c r="I37" i="53"/>
  <c r="E37" i="53"/>
  <c r="J37" i="53"/>
  <c r="F37" i="53"/>
  <c r="K37" i="53"/>
  <c r="H37" i="53"/>
  <c r="E16" i="50"/>
  <c r="E37" i="50"/>
  <c r="AC46" i="67"/>
  <c r="G20" i="67"/>
  <c r="AC40" i="67"/>
  <c r="AC27" i="67"/>
  <c r="AC29" i="67"/>
  <c r="AC35" i="67"/>
  <c r="V20" i="67"/>
  <c r="AC20" i="67" s="1"/>
  <c r="AC37" i="67"/>
  <c r="AC45" i="67"/>
  <c r="AC56" i="67"/>
  <c r="AC38" i="67"/>
  <c r="AC42" i="67"/>
  <c r="AC43" i="67"/>
  <c r="AC39" i="67"/>
  <c r="AC66" i="67"/>
  <c r="AC51" i="67"/>
  <c r="AC69" i="67"/>
  <c r="AC57" i="67"/>
  <c r="AC53" i="67"/>
  <c r="AC32" i="67"/>
  <c r="AC52" i="67"/>
  <c r="AC59" i="67"/>
  <c r="AC65" i="67"/>
  <c r="AC71" i="67"/>
  <c r="AC58" i="67"/>
  <c r="AC63" i="67"/>
  <c r="G92" i="67"/>
  <c r="AC101" i="67"/>
  <c r="AC114" i="67"/>
  <c r="AC118" i="67"/>
  <c r="AC115" i="67"/>
  <c r="AC112" i="67"/>
  <c r="AC128" i="67"/>
  <c r="AC117" i="67"/>
  <c r="AC99" i="67"/>
  <c r="AC110" i="67"/>
  <c r="AC111" i="67"/>
  <c r="AC109" i="67"/>
  <c r="AC107" i="67"/>
  <c r="V92" i="67"/>
  <c r="AC92" i="67" s="1"/>
  <c r="AC94" i="67" s="1"/>
  <c r="AC138" i="67"/>
  <c r="AC141" i="67"/>
  <c r="AC125" i="67"/>
  <c r="AC137" i="67"/>
  <c r="AC143" i="67"/>
  <c r="AC123" i="67"/>
  <c r="AC124" i="67"/>
  <c r="AC129" i="67"/>
  <c r="AC130" i="67"/>
  <c r="AC131" i="67"/>
  <c r="AC104" i="67"/>
  <c r="AC133" i="67"/>
  <c r="J37" i="52"/>
  <c r="K37" i="52"/>
  <c r="E37" i="52"/>
  <c r="H37" i="52"/>
  <c r="I37" i="52"/>
  <c r="F37" i="52"/>
  <c r="K39" i="52"/>
  <c r="M15" i="50"/>
  <c r="M36" i="50"/>
  <c r="AC31" i="67"/>
  <c r="I63" i="52"/>
  <c r="D65" i="52"/>
  <c r="I65" i="52" s="1"/>
  <c r="M17" i="50"/>
  <c r="M38" i="50"/>
  <c r="G93" i="67"/>
  <c r="G39" i="53"/>
  <c r="G37" i="53"/>
  <c r="AC30" i="67"/>
  <c r="M16" i="50"/>
  <c r="M37" i="50"/>
  <c r="E17" i="50"/>
  <c r="E38" i="50"/>
  <c r="AC103" i="67"/>
  <c r="E15" i="50"/>
  <c r="E36" i="50"/>
  <c r="Q21" i="67"/>
  <c r="Q22" i="67" s="1"/>
  <c r="AL24" i="67"/>
  <c r="AL21" i="67" s="1"/>
  <c r="AL22" i="67" s="1"/>
  <c r="P21" i="67"/>
  <c r="P22" i="67" s="1"/>
  <c r="AK24" i="67"/>
  <c r="AK21" i="67" s="1"/>
  <c r="AK22" i="67" s="1"/>
  <c r="V21" i="67"/>
  <c r="AF96" i="67"/>
  <c r="Y93" i="67"/>
  <c r="Y94" i="67" s="1"/>
  <c r="AD96" i="67"/>
  <c r="W93" i="67"/>
  <c r="W94" i="67" s="1"/>
  <c r="Z24" i="67"/>
  <c r="S21" i="67"/>
  <c r="S22" i="67" s="1"/>
  <c r="W24" i="67"/>
  <c r="W21" i="67" s="1"/>
  <c r="W22" i="67" s="1"/>
  <c r="N24" i="67"/>
  <c r="AF24" i="67"/>
  <c r="AF21" i="67" s="1"/>
  <c r="AF22" i="67" s="1"/>
  <c r="U25" i="67"/>
  <c r="Z96" i="67"/>
  <c r="X96" i="67"/>
  <c r="V96" i="67"/>
  <c r="X24" i="67"/>
  <c r="X21" i="67" s="1"/>
  <c r="X22" i="67" s="1"/>
  <c r="AC24" i="67"/>
  <c r="G3" i="50" l="1"/>
  <c r="D27" i="25" s="1"/>
  <c r="K72" i="74"/>
  <c r="K54" i="74"/>
  <c r="K61" i="74"/>
  <c r="K57" i="74"/>
  <c r="K59" i="74"/>
  <c r="K62" i="74"/>
  <c r="K65" i="74"/>
  <c r="K67" i="74"/>
  <c r="K70" i="74"/>
  <c r="K55" i="74"/>
  <c r="K73" i="74"/>
  <c r="K75" i="74"/>
  <c r="K69" i="74"/>
  <c r="K63" i="74"/>
  <c r="K77" i="74"/>
  <c r="K71" i="74"/>
  <c r="K58" i="74"/>
  <c r="K60" i="74"/>
  <c r="K56" i="74"/>
  <c r="K66" i="74"/>
  <c r="K68" i="74"/>
  <c r="K64" i="74"/>
  <c r="K74" i="74"/>
  <c r="K76" i="74"/>
  <c r="K78" i="74"/>
  <c r="AB139" i="67"/>
  <c r="AB134" i="67"/>
  <c r="AB135" i="67"/>
  <c r="O70" i="74"/>
  <c r="O69" i="74"/>
  <c r="N70" i="74"/>
  <c r="N69" i="74"/>
  <c r="AC21" i="67"/>
  <c r="AC22" i="67" s="1"/>
  <c r="Z21" i="67"/>
  <c r="Z22" i="67" s="1"/>
  <c r="AB46" i="67"/>
  <c r="AB67" i="67"/>
  <c r="AB73" i="67"/>
  <c r="AB48" i="67"/>
  <c r="AB61" i="67"/>
  <c r="AB62" i="67"/>
  <c r="N53" i="74"/>
  <c r="N55" i="74"/>
  <c r="M51" i="74"/>
  <c r="N51" i="74"/>
  <c r="N60" i="74"/>
  <c r="N67" i="74"/>
  <c r="N61" i="74"/>
  <c r="N75" i="74"/>
  <c r="N73" i="74"/>
  <c r="N74" i="74"/>
  <c r="N72" i="74"/>
  <c r="N57" i="74"/>
  <c r="N65" i="74"/>
  <c r="N54" i="74"/>
  <c r="N66" i="74"/>
  <c r="N64" i="74"/>
  <c r="N76" i="74"/>
  <c r="N63" i="74"/>
  <c r="N71" i="74"/>
  <c r="N56" i="74"/>
  <c r="N62" i="74"/>
  <c r="N68" i="74"/>
  <c r="N59" i="74"/>
  <c r="N58" i="74"/>
  <c r="N78" i="74"/>
  <c r="O57" i="74"/>
  <c r="O62" i="74"/>
  <c r="O53" i="74"/>
  <c r="O74" i="74"/>
  <c r="O77" i="74"/>
  <c r="O75" i="74"/>
  <c r="O76" i="74"/>
  <c r="O56" i="74"/>
  <c r="O73" i="74"/>
  <c r="O66" i="74"/>
  <c r="O55" i="74"/>
  <c r="O72" i="74"/>
  <c r="O65" i="74"/>
  <c r="O78" i="74"/>
  <c r="O64" i="74"/>
  <c r="O59" i="74"/>
  <c r="O60" i="74"/>
  <c r="O58" i="74"/>
  <c r="O68" i="74"/>
  <c r="O54" i="74"/>
  <c r="O67" i="74"/>
  <c r="O71" i="74"/>
  <c r="O63" i="74"/>
  <c r="O61" i="74"/>
  <c r="N77" i="74"/>
  <c r="M38" i="74"/>
  <c r="K53" i="74"/>
  <c r="I37" i="74"/>
  <c r="J37" i="74"/>
  <c r="I51" i="74"/>
  <c r="J51" i="74"/>
  <c r="I38" i="74"/>
  <c r="J38" i="74"/>
  <c r="T52" i="74"/>
  <c r="T53" i="74"/>
  <c r="T50" i="74"/>
  <c r="T54" i="74"/>
  <c r="T51" i="74"/>
  <c r="F11" i="74"/>
  <c r="N21" i="67"/>
  <c r="N22" i="67" s="1"/>
  <c r="F3" i="67" s="1"/>
  <c r="G37" i="74" a="1"/>
  <c r="G37" i="74" s="1"/>
  <c r="G34" i="52"/>
  <c r="U20" i="67"/>
  <c r="AB20" i="67" s="1"/>
  <c r="AB68" i="67"/>
  <c r="U92" i="67"/>
  <c r="AB92" i="67" s="1"/>
  <c r="AB94" i="67" s="1"/>
  <c r="AB140" i="67"/>
  <c r="AB133" i="67"/>
  <c r="AB101" i="67"/>
  <c r="AB31" i="67"/>
  <c r="D69" i="53"/>
  <c r="F3" i="53" s="1"/>
  <c r="D31" i="25" s="1"/>
  <c r="AB103" i="67"/>
  <c r="V22" i="67"/>
  <c r="AB97" i="67"/>
  <c r="AB102" i="67"/>
  <c r="G94" i="67"/>
  <c r="G22" i="67"/>
  <c r="AB25" i="67"/>
  <c r="AB29" i="67"/>
  <c r="D69" i="52"/>
  <c r="AB27" i="67"/>
  <c r="AB39" i="67"/>
  <c r="AB37" i="67"/>
  <c r="AB42" i="67"/>
  <c r="AB40" i="67"/>
  <c r="AB45" i="67"/>
  <c r="AB43" i="67"/>
  <c r="AB35" i="67"/>
  <c r="AB38" i="67"/>
  <c r="AB59" i="67"/>
  <c r="AB52" i="67"/>
  <c r="AB66" i="67"/>
  <c r="AB56" i="67"/>
  <c r="AB71" i="67"/>
  <c r="AB65" i="67"/>
  <c r="AB32" i="67"/>
  <c r="AB51" i="67"/>
  <c r="AB53" i="67"/>
  <c r="AB69" i="67"/>
  <c r="AB58" i="67"/>
  <c r="AB57" i="67"/>
  <c r="AB63" i="67"/>
  <c r="AB99" i="67"/>
  <c r="AB115" i="67"/>
  <c r="AB117" i="67"/>
  <c r="AB109" i="67"/>
  <c r="AB110" i="67"/>
  <c r="AB118" i="67"/>
  <c r="AB114" i="67"/>
  <c r="AB112" i="67"/>
  <c r="AB111" i="67"/>
  <c r="AB107" i="67"/>
  <c r="AB143" i="67"/>
  <c r="AB129" i="67"/>
  <c r="AB137" i="67"/>
  <c r="AB123" i="67"/>
  <c r="AB138" i="67"/>
  <c r="AB131" i="67"/>
  <c r="AB128" i="67"/>
  <c r="AB104" i="67"/>
  <c r="AB125" i="67"/>
  <c r="AB130" i="67"/>
  <c r="AB141" i="67"/>
  <c r="AB124" i="67"/>
  <c r="AB30" i="67"/>
  <c r="AI24" i="67"/>
  <c r="AC96" i="67"/>
  <c r="V93" i="67"/>
  <c r="V94" i="67" s="1"/>
  <c r="AG96" i="67"/>
  <c r="Z93" i="67"/>
  <c r="Z94" i="67" s="1"/>
  <c r="AE96" i="67"/>
  <c r="X93" i="67"/>
  <c r="X94" i="67" s="1"/>
  <c r="AG24" i="67"/>
  <c r="AG21" i="67" s="1"/>
  <c r="AG22" i="67" s="1"/>
  <c r="U24" i="67"/>
  <c r="AB24" i="67" s="1"/>
  <c r="AD24" i="67"/>
  <c r="AD21" i="67" s="1"/>
  <c r="AD22" i="67" s="1"/>
  <c r="U96" i="67"/>
  <c r="AE24" i="67"/>
  <c r="AE21" i="67" s="1"/>
  <c r="AE22" i="67" s="1"/>
  <c r="K38" i="74" l="1"/>
  <c r="K14" i="74"/>
  <c r="K23" i="74"/>
  <c r="K25" i="74"/>
  <c r="K30" i="74"/>
  <c r="K17" i="74"/>
  <c r="K22" i="74"/>
  <c r="K31" i="74"/>
  <c r="K33" i="74"/>
  <c r="K21" i="74"/>
  <c r="K16" i="74"/>
  <c r="K29" i="74"/>
  <c r="K19" i="74"/>
  <c r="K24" i="74"/>
  <c r="K18" i="74"/>
  <c r="K27" i="74"/>
  <c r="K32" i="74"/>
  <c r="K26" i="74"/>
  <c r="K28" i="74"/>
  <c r="K20" i="74"/>
  <c r="K34" i="74"/>
  <c r="K36" i="74"/>
  <c r="K37" i="74"/>
  <c r="K35" i="74"/>
  <c r="K15" i="74"/>
  <c r="N14" i="74"/>
  <c r="N30" i="74"/>
  <c r="N29" i="74"/>
  <c r="M34" i="52"/>
  <c r="F3" i="52" s="1"/>
  <c r="D29" i="25" s="1"/>
  <c r="G39" i="52"/>
  <c r="AI21" i="67"/>
  <c r="AI22" i="67" s="1"/>
  <c r="AB21" i="67"/>
  <c r="AB22" i="67" s="1"/>
  <c r="X50" i="74"/>
  <c r="Y51" i="74"/>
  <c r="Y50" i="74"/>
  <c r="Y52" i="74"/>
  <c r="Y54" i="74"/>
  <c r="X53" i="74"/>
  <c r="Y53" i="74"/>
  <c r="N13" i="74"/>
  <c r="N31" i="74"/>
  <c r="N32" i="74"/>
  <c r="N20" i="74"/>
  <c r="N34" i="74"/>
  <c r="N21" i="74"/>
  <c r="N35" i="74"/>
  <c r="N33" i="74"/>
  <c r="N17" i="74"/>
  <c r="N18" i="74"/>
  <c r="N22" i="74"/>
  <c r="N19" i="74"/>
  <c r="N15" i="74"/>
  <c r="N23" i="74"/>
  <c r="N16" i="74"/>
  <c r="N25" i="74"/>
  <c r="N36" i="74"/>
  <c r="N27" i="74"/>
  <c r="N24" i="74"/>
  <c r="N26" i="74"/>
  <c r="N28" i="74"/>
  <c r="W54" i="74"/>
  <c r="W50" i="74"/>
  <c r="W52" i="74"/>
  <c r="X51" i="74"/>
  <c r="W51" i="74"/>
  <c r="V59" i="74"/>
  <c r="W53" i="74"/>
  <c r="X54" i="74"/>
  <c r="X52" i="74"/>
  <c r="N37" i="74"/>
  <c r="M37" i="74"/>
  <c r="O34" i="74" s="1"/>
  <c r="N38" i="74"/>
  <c r="R51" i="74"/>
  <c r="I11" i="74"/>
  <c r="J11" i="74"/>
  <c r="S50" i="74"/>
  <c r="R50" i="74"/>
  <c r="R53" i="74"/>
  <c r="S53" i="74"/>
  <c r="R52" i="74"/>
  <c r="Q59" i="74"/>
  <c r="R54" i="74"/>
  <c r="S51" i="74"/>
  <c r="S54" i="74"/>
  <c r="S52" i="74"/>
  <c r="K13" i="74"/>
  <c r="G11" i="74"/>
  <c r="G37" i="52"/>
  <c r="E3" i="67"/>
  <c r="AB96" i="67"/>
  <c r="U93" i="67"/>
  <c r="U94" i="67" s="1"/>
  <c r="U21" i="67"/>
  <c r="U22" i="67" s="1"/>
  <c r="O35" i="74" l="1"/>
  <c r="O37" i="74"/>
  <c r="O28" i="74"/>
  <c r="O27" i="74"/>
  <c r="O24" i="74"/>
  <c r="O36" i="74"/>
  <c r="O30" i="74"/>
  <c r="O19" i="74"/>
  <c r="O16" i="74"/>
  <c r="O26" i="74"/>
  <c r="O29" i="74"/>
  <c r="O31" i="74"/>
  <c r="O15" i="74"/>
  <c r="O18" i="74"/>
  <c r="O25" i="74"/>
  <c r="O22" i="74"/>
  <c r="O23" i="74"/>
  <c r="O32" i="74"/>
  <c r="O20" i="74"/>
  <c r="O14" i="74"/>
  <c r="O38" i="74"/>
  <c r="O17" i="74"/>
  <c r="O33" i="74"/>
  <c r="O21" i="74"/>
  <c r="X59" i="74"/>
  <c r="Y59" i="74"/>
  <c r="N11" i="74"/>
  <c r="M11" i="74"/>
  <c r="W59" i="74"/>
  <c r="V60" i="74"/>
  <c r="Y60" i="74" s="1"/>
  <c r="T10" i="74"/>
  <c r="S11" i="74"/>
  <c r="S10" i="74"/>
  <c r="T11" i="74"/>
  <c r="T12" i="74"/>
  <c r="T13" i="74"/>
  <c r="T14" i="74"/>
  <c r="T59" i="74"/>
  <c r="O13" i="74"/>
  <c r="Q60" i="74"/>
  <c r="S59" i="74"/>
  <c r="R59" i="74"/>
  <c r="S14" i="74"/>
  <c r="R13" i="74"/>
  <c r="R14" i="74"/>
  <c r="S13" i="74"/>
  <c r="Q19" i="74"/>
  <c r="R12" i="74"/>
  <c r="S12" i="74"/>
  <c r="R11" i="74"/>
  <c r="R10" i="74"/>
  <c r="Y10" i="74" l="1"/>
  <c r="X11" i="74"/>
  <c r="X13" i="74"/>
  <c r="Y14" i="74"/>
  <c r="X10" i="74"/>
  <c r="Y12" i="74"/>
  <c r="X12" i="74"/>
  <c r="X14" i="74"/>
  <c r="Y11" i="74"/>
  <c r="Y13" i="74"/>
  <c r="X60" i="74"/>
  <c r="W60" i="74"/>
  <c r="V61" i="74"/>
  <c r="Y61" i="74" s="1"/>
  <c r="V19" i="74"/>
  <c r="W11" i="74"/>
  <c r="W10" i="74"/>
  <c r="S19" i="74"/>
  <c r="T19" i="74"/>
  <c r="W12" i="74"/>
  <c r="T60" i="74"/>
  <c r="W13" i="74"/>
  <c r="W14" i="74"/>
  <c r="S60" i="74"/>
  <c r="Q61" i="74"/>
  <c r="R60" i="74"/>
  <c r="Q20" i="74"/>
  <c r="R19" i="74"/>
  <c r="W19" i="74" l="1"/>
  <c r="Y19" i="74"/>
  <c r="X19" i="74"/>
  <c r="W61" i="74"/>
  <c r="X61" i="74"/>
  <c r="V62" i="74"/>
  <c r="V20" i="74"/>
  <c r="W20" i="74" s="1"/>
  <c r="S20" i="74"/>
  <c r="T20" i="74"/>
  <c r="T61" i="74"/>
  <c r="Q62" i="74"/>
  <c r="R61" i="74"/>
  <c r="S61" i="74"/>
  <c r="Q21" i="74"/>
  <c r="R20" i="74"/>
  <c r="X62" i="74" l="1"/>
  <c r="Y62" i="74"/>
  <c r="V63" i="74"/>
  <c r="Y63" i="74" s="1"/>
  <c r="W62" i="74"/>
  <c r="X20" i="74"/>
  <c r="Y20" i="74"/>
  <c r="V21" i="74"/>
  <c r="X21" i="74" s="1"/>
  <c r="T62" i="74"/>
  <c r="T21" i="74"/>
  <c r="S62" i="74"/>
  <c r="R62" i="74"/>
  <c r="Q63" i="74"/>
  <c r="R21" i="74"/>
  <c r="Q22" i="74"/>
  <c r="S21" i="74"/>
  <c r="W21" i="74" l="1"/>
  <c r="Y21" i="74"/>
  <c r="X63" i="74"/>
  <c r="W63" i="74"/>
  <c r="V22" i="74"/>
  <c r="Y22" i="74" s="1"/>
  <c r="T63" i="74"/>
  <c r="T22" i="74"/>
  <c r="R63" i="74"/>
  <c r="S63" i="74"/>
  <c r="R22" i="74"/>
  <c r="Q23" i="74"/>
  <c r="S22" i="74"/>
  <c r="W22" i="74" l="1"/>
  <c r="X22" i="74"/>
  <c r="V23" i="74"/>
  <c r="X23" i="74" s="1"/>
  <c r="T23" i="74"/>
  <c r="R23" i="74"/>
  <c r="S23" i="74"/>
  <c r="Y23" i="74" l="1"/>
  <c r="W23"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tc={4DE6836B-42E4-429E-A543-4D843522EAB6}</author>
    <author>tc={53E285DB-7DA6-466C-9B86-1F78BEB7B428}</author>
    <author>tc={DB1D8742-70BA-4481-914F-99C9F0228E32}</author>
    <author>tc={A14D88D1-B4F0-46DC-B391-F6C340E943D3}</author>
    <author>tc={256AE0C8-2AFC-4257-A4A5-5E127D0B69F6}</author>
    <author>tc={911226B0-6EF5-4089-B966-AE16632FCAB8}</author>
    <author>tc={C3C62420-7251-4616-99C2-530DFF87A346}</author>
  </authors>
  <commentList>
    <comment ref="Q118" authorId="0" shapeId="0" xr:uid="{4DE6836B-42E4-429E-A543-4D843522EAB6}">
      <text>
        <t>[Threaded comment]
Your version of Excel allows you to read this threaded comment; however, any edits to it will get removed if the file is opened in a newer version of Excel. Learn more: https://go.microsoft.com/fwlink/?linkid=870924
Comment:
    To be updated, Bec to confirm
Reply:
    Updated</t>
      </text>
    </comment>
    <comment ref="Q119" authorId="1" shapeId="0" xr:uid="{53E285DB-7DA6-466C-9B86-1F78BEB7B428}">
      <text>
        <t>[Threaded comment]
Your version of Excel allows you to read this threaded comment; however, any edits to it will get removed if the file is opened in a newer version of Excel. Learn more: https://go.microsoft.com/fwlink/?linkid=870924
Comment:
    To be updated, Bec to confirm
Reply:
    Updated</t>
      </text>
    </comment>
    <comment ref="Q120" authorId="2" shapeId="0" xr:uid="{DB1D8742-70BA-4481-914F-99C9F0228E32}">
      <text>
        <t>[Threaded comment]
Your version of Excel allows you to read this threaded comment; however, any edits to it will get removed if the file is opened in a newer version of Excel. Learn more: https://go.microsoft.com/fwlink/?linkid=870924
Comment:
    To be updated, Bec to confirm
Reply:
    Updated</t>
      </text>
    </comment>
    <comment ref="Q121" authorId="3" shapeId="0" xr:uid="{A14D88D1-B4F0-46DC-B391-F6C340E943D3}">
      <text>
        <t>[Threaded comment]
Your version of Excel allows you to read this threaded comment; however, any edits to it will get removed if the file is opened in a newer version of Excel. Learn more: https://go.microsoft.com/fwlink/?linkid=870924
Comment:
    To be updated, Bec to confirm
Reply:
    Updated</t>
      </text>
    </comment>
    <comment ref="Q122" authorId="4" shapeId="0" xr:uid="{256AE0C8-2AFC-4257-A4A5-5E127D0B69F6}">
      <text>
        <t>[Threaded comment]
Your version of Excel allows you to read this threaded comment; however, any edits to it will get removed if the file is opened in a newer version of Excel. Learn more: https://go.microsoft.com/fwlink/?linkid=870924
Comment:
    To be updated, Bec to confirm
Reply:
    Updated</t>
      </text>
    </comment>
    <comment ref="Q123" authorId="5" shapeId="0" xr:uid="{911226B0-6EF5-4089-B966-AE16632FCAB8}">
      <text>
        <t>[Threaded comment]
Your version of Excel allows you to read this threaded comment; however, any edits to it will get removed if the file is opened in a newer version of Excel. Learn more: https://go.microsoft.com/fwlink/?linkid=870924
Comment:
    To be updated, Bec to confirm
Reply:
    Updated</t>
      </text>
    </comment>
    <comment ref="Q126" authorId="6" shapeId="0" xr:uid="{C3C62420-7251-4616-99C2-530DFF87A346}">
      <text>
        <t>[Threaded comment]
Your version of Excel allows you to read this threaded comment; however, any edits to it will get removed if the file is opened in a newer version of Excel. Learn more: https://go.microsoft.com/fwlink/?linkid=870924
Comment:
    To be updated, Bec to confirm
Reply:
    Updated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tc={FEA18F78-89B6-41D2-AEA2-0D586BCAB519}</author>
    <author>tc={6E319B2E-8910-4F93-86BE-C4B9E7E9FB24}</author>
  </authors>
  <commentList>
    <comment ref="E424" authorId="0" shapeId="0" xr:uid="{FEA18F78-89B6-41D2-AEA2-0D586BCAB519}">
      <text>
        <t>[Threaded comment]
Your version of Excel allows you to read this threaded comment; however, any edits to it will get removed if the file is opened in a newer version of Excel. Learn more: https://go.microsoft.com/fwlink/?linkid=870924
Comment:
    Please note: this unit is for calculation purposes and refers to the input value, calculated figures shown are in total dollars per customer per year.</t>
      </text>
    </comment>
    <comment ref="E425" authorId="1" shapeId="0" xr:uid="{6E319B2E-8910-4F93-86BE-C4B9E7E9FB24}">
      <text>
        <t>[Threaded comment]
Your version of Excel allows you to read this threaded comment; however, any edits to it will get removed if the file is opened in a newer version of Excel. Learn more: https://go.microsoft.com/fwlink/?linkid=870924
Comment:
    Please note: this unit is for calculation purposes and refers to the input value, calculated figures shown are in total dollars per customer per year.</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F9785F8-8E6C-42C1-8B54-7D2A2D9AD5A4}" keepAlive="1" name="Query - VDOdecisions" description="Connection to the 'VDOdecisions' query in the workbook." type="5" refreshedVersion="6" background="1" saveData="1">
    <dbPr connection="Provider=Microsoft.Mashup.OleDb.1;Data Source=$Workbook$;Location=VDOdecisions;Extended Properties=&quot;&quot;" command="SELECT * FROM [VDOdecisions]"/>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<sst xmlns="http://schemas.openxmlformats.org/spreadsheetml/2006/main" count="8606" uniqueCount="788">
  <si>
    <t>VDO calculation model</t>
  </si>
  <si>
    <t>Essential Services Commission</t>
  </si>
  <si>
    <t>Contents</t>
  </si>
  <si>
    <t>Worksheet</t>
  </si>
  <si>
    <t>Name</t>
  </si>
  <si>
    <t>Link</t>
  </si>
  <si>
    <t>Description</t>
  </si>
  <si>
    <t>i</t>
  </si>
  <si>
    <t>Disclaimer</t>
  </si>
  <si>
    <t>Disclaimer!A1</t>
  </si>
  <si>
    <t>This page contains a declaration regarding the limitations and use of this model.</t>
  </si>
  <si>
    <t>-</t>
  </si>
  <si>
    <t>User guide</t>
  </si>
  <si>
    <t>User Guide'!A1</t>
  </si>
  <si>
    <t>Information</t>
  </si>
  <si>
    <t>Information!A1</t>
  </si>
  <si>
    <t>Sources</t>
  </si>
  <si>
    <t>Sources!A1</t>
  </si>
  <si>
    <t>This sheet records all data sources relating to the model.</t>
  </si>
  <si>
    <t>Version control</t>
  </si>
  <si>
    <t>Version control'!A1</t>
  </si>
  <si>
    <t>This sheets records version changes and significant updates to the model.</t>
  </si>
  <si>
    <t>General assumptions</t>
  </si>
  <si>
    <t>General Assumptions'!A1</t>
  </si>
  <si>
    <t>Assumptions and constants used in the model.</t>
  </si>
  <si>
    <t>Checks</t>
  </si>
  <si>
    <t>Change</t>
  </si>
  <si>
    <t>Worksheet description:</t>
  </si>
  <si>
    <t>[Please provide a description of what this sheet does and any specific details or other notes the user needs to know]</t>
  </si>
  <si>
    <t>User Guide</t>
  </si>
  <si>
    <t>Section/Item notes (where necessary)</t>
  </si>
  <si>
    <t>Model Structure</t>
  </si>
  <si>
    <t>Calculation methodology</t>
  </si>
  <si>
    <t>Worksheets</t>
  </si>
  <si>
    <t>Inupts and assumptions</t>
  </si>
  <si>
    <t>Cost calculations</t>
  </si>
  <si>
    <t>Output and summary</t>
  </si>
  <si>
    <t>Supporting information</t>
  </si>
  <si>
    <t>Project details</t>
  </si>
  <si>
    <t>Entity name</t>
  </si>
  <si>
    <t>Division</t>
  </si>
  <si>
    <t>Project</t>
  </si>
  <si>
    <t>Project Manager</t>
  </si>
  <si>
    <t>Model details</t>
  </si>
  <si>
    <t>Model owner</t>
  </si>
  <si>
    <t>Built by (organisation)</t>
  </si>
  <si>
    <t>Model status</t>
  </si>
  <si>
    <t>File location</t>
  </si>
  <si>
    <t>Data access</t>
  </si>
  <si>
    <t>URL</t>
  </si>
  <si>
    <t>Username</t>
  </si>
  <si>
    <t>Password</t>
  </si>
  <si>
    <t>Inputs</t>
  </si>
  <si>
    <t>Cost element</t>
  </si>
  <si>
    <t>Cost item</t>
  </si>
  <si>
    <t>F-CurrentVDO_Input</t>
  </si>
  <si>
    <t>D-NextVDO_Input</t>
  </si>
  <si>
    <t>F-NextVDO_Input</t>
  </si>
  <si>
    <t>C/19/31622, NEM wide avg 2013/14, p17 (pdf), Fig 8</t>
  </si>
  <si>
    <t>C/20/14760, 'Calcs' tab, item 9.6</t>
  </si>
  <si>
    <t>C/20/19952, J8, 'cost calc'</t>
  </si>
  <si>
    <t>C/20/20098, p7, table 3</t>
  </si>
  <si>
    <t>C/20/14755, p26, table 30</t>
  </si>
  <si>
    <t>C/20/21511, p44, single phase half yr (HY)</t>
  </si>
  <si>
    <t>C/20/21513, p49, single phase half yr (HY)</t>
  </si>
  <si>
    <t>C/20/21516, p53, single phase</t>
  </si>
  <si>
    <t>C/20/21521, p51, single phase half yr (HY)</t>
  </si>
  <si>
    <t>C/20/21522, p36 single phase half yr (HY)</t>
  </si>
  <si>
    <t>C/20/21511, p33, NEE11</t>
  </si>
  <si>
    <t>C/20/21513, p17, C1R</t>
  </si>
  <si>
    <t>C/20/21516, p22, A100/F100a/T100b</t>
  </si>
  <si>
    <t>C/20/21521, p19, D1</t>
  </si>
  <si>
    <t>C/20/21522, p17, LVS1R</t>
  </si>
  <si>
    <t>C/20/21511, p34, NEE12</t>
  </si>
  <si>
    <t>C/20/21513, p17, C1G</t>
  </si>
  <si>
    <t>C/20/21516, p23, A200/F200a/T200b</t>
  </si>
  <si>
    <t>C/20/21521, p19, ND1</t>
  </si>
  <si>
    <t>C/20/21522, p17, LVM1R</t>
  </si>
  <si>
    <t>C/20/21549, p46, table 2</t>
  </si>
  <si>
    <t>C/20/21549, p53, table 3</t>
  </si>
  <si>
    <t>C/20/14760, 'Calcs' tab, item 9.3</t>
  </si>
  <si>
    <t>C/20/21549, p54</t>
  </si>
  <si>
    <t>C/20/14765, p51</t>
  </si>
  <si>
    <t>https://www.esc.vic.gov.au/victorian-energy-upgrades-program/participating-veu-program/energy-retailers-veu-program</t>
  </si>
  <si>
    <t>C/20/14760, 'Calcs' tab, item 9.5, cell D100</t>
  </si>
  <si>
    <t>C/20/14760, 'Calcs' tab, item 9.5, cell D76</t>
  </si>
  <si>
    <t>C/20/14760, 'Calcs' tab, item 9.9</t>
  </si>
  <si>
    <t>NA</t>
  </si>
  <si>
    <t>C/20/14760, 'Calcs' tab, item 9.1</t>
  </si>
  <si>
    <t>C/20/21511, p33, NEE13</t>
  </si>
  <si>
    <t>C/20/21513, p17, CDS</t>
  </si>
  <si>
    <t>C/20/21516, p23, A180</t>
  </si>
  <si>
    <t>C/20/21521, p19, DD1</t>
  </si>
  <si>
    <t>C/20/21522, p17, LVDed</t>
  </si>
  <si>
    <t>C/19/31622, p26 (pdf), item 5.3</t>
  </si>
  <si>
    <t>C/20/14760, 'Calcs' tab, item 9.4</t>
  </si>
  <si>
    <t>Ausnet &amp; Powercor—C/20/14760, 'Calcs' item 9.4</t>
  </si>
  <si>
    <t>Citipower, Jemena &amp; UE—C/20/14756, p13, short sub-transmission, type DLFE</t>
  </si>
  <si>
    <t>Usage profile</t>
  </si>
  <si>
    <t>Customer type</t>
  </si>
  <si>
    <t>Residential</t>
  </si>
  <si>
    <t>Small business</t>
  </si>
  <si>
    <t>Model version log</t>
  </si>
  <si>
    <t>Updated by</t>
  </si>
  <si>
    <t>Update notes</t>
  </si>
  <si>
    <t>Approved by</t>
  </si>
  <si>
    <t>This worksheet contains all inputs used for calculating the VDO cost stacks.</t>
  </si>
  <si>
    <t>Cost stack inputs</t>
  </si>
  <si>
    <t>Year</t>
  </si>
  <si>
    <t>VDO decision</t>
  </si>
  <si>
    <t>Fixed/Variable</t>
  </si>
  <si>
    <t>Unit</t>
  </si>
  <si>
    <t>F-CurrentVDO_InputDate</t>
  </si>
  <si>
    <t>D-NextVDO_InputDate</t>
  </si>
  <si>
    <t>F-NextVDO_InputDate</t>
  </si>
  <si>
    <t>Retail</t>
  </si>
  <si>
    <t>Retail operating cost - base</t>
  </si>
  <si>
    <t>Fixed</t>
  </si>
  <si>
    <t>$</t>
  </si>
  <si>
    <t>All</t>
  </si>
  <si>
    <t>Retail operating cost - regulatory cost allowance</t>
  </si>
  <si>
    <t>Retail operating cost - 5 min settlement allowance</t>
  </si>
  <si>
    <t>Retail operating cost - bad debt allowance</t>
  </si>
  <si>
    <t>Customer acquisition and retention cost</t>
  </si>
  <si>
    <t>Solar</t>
  </si>
  <si>
    <t>Feed-in tariff (FiT)</t>
  </si>
  <si>
    <t>ESC licence fees</t>
  </si>
  <si>
    <t>Reliability and emergency reserve trader (RERT)</t>
  </si>
  <si>
    <t>$/week</t>
  </si>
  <si>
    <t>Full retail competition (FRC) operations</t>
  </si>
  <si>
    <t>Network</t>
  </si>
  <si>
    <t>Metering - Ausnet</t>
  </si>
  <si>
    <t>$/year</t>
  </si>
  <si>
    <t>Metering - Citipower</t>
  </si>
  <si>
    <t>Metering - Jemena</t>
  </si>
  <si>
    <t>Metering - Powercor</t>
  </si>
  <si>
    <t>Metering - United Energy</t>
  </si>
  <si>
    <t>Wholesale</t>
  </si>
  <si>
    <t>Price - RES - Ausnet</t>
  </si>
  <si>
    <t>Variable</t>
  </si>
  <si>
    <t>$/MWh</t>
  </si>
  <si>
    <t>Price - RES - Citipower</t>
  </si>
  <si>
    <t>Price - RES - Jemena</t>
  </si>
  <si>
    <t>Price - RES - Powercor</t>
  </si>
  <si>
    <t>Price - RES - United Energy</t>
  </si>
  <si>
    <t>Volatility - RES - Ausnet</t>
  </si>
  <si>
    <t>Volatility - RES - Citipower</t>
  </si>
  <si>
    <t>Volatility - RES - Jemena</t>
  </si>
  <si>
    <t>Volatility - RES - Powercor</t>
  </si>
  <si>
    <t>Volatility - RES - United Energy</t>
  </si>
  <si>
    <t>Price - SME - Ausnet</t>
  </si>
  <si>
    <t>Price - SME - Citipower</t>
  </si>
  <si>
    <t>Price - SME - Jemena</t>
  </si>
  <si>
    <t>Price - SME - Powercor</t>
  </si>
  <si>
    <t>Price - SME - United Energy</t>
  </si>
  <si>
    <t>Volatility - SME - Ausnet</t>
  </si>
  <si>
    <t>Volatility - SME - Citipower</t>
  </si>
  <si>
    <t>Volatility - SME - Jemena</t>
  </si>
  <si>
    <t>Volatility - SME - Powercor</t>
  </si>
  <si>
    <t>Volatility - SME - United Energy</t>
  </si>
  <si>
    <t>Environmental</t>
  </si>
  <si>
    <t>Victorian energy upgrades (VEU) - Price</t>
  </si>
  <si>
    <t>$/certificate</t>
  </si>
  <si>
    <t>Large-scale renewable energy target (LRET) - Price</t>
  </si>
  <si>
    <t>Small-scale renewable energy scheme (SRES) - Price</t>
  </si>
  <si>
    <t>Victorian energy upgrades (VEU) - Liability</t>
  </si>
  <si>
    <t>%/year</t>
  </si>
  <si>
    <t>Large-scale renewable energy target (LRET) - Liability</t>
  </si>
  <si>
    <t>Small-scale renewable energy scheme (SRES) - Liability</t>
  </si>
  <si>
    <t>General NEM fees</t>
  </si>
  <si>
    <t>Full retail competition (FRC) operations (OBSOLETE)</t>
  </si>
  <si>
    <t>National transmission planner</t>
  </si>
  <si>
    <t>Ancillary services</t>
  </si>
  <si>
    <t>Anytime - Block 1 - RES - Ausnet</t>
  </si>
  <si>
    <t>c/kWh</t>
  </si>
  <si>
    <t>Anytime - Balance - RES - Ausnet</t>
  </si>
  <si>
    <t>Anytime - Single rate - RES - Citipower</t>
  </si>
  <si>
    <t>Anytime - Single rate - RES - Jemena</t>
  </si>
  <si>
    <t>Anytime - Single rate - RES - Powercor</t>
  </si>
  <si>
    <t>Anytime - Single rate - RES - United Energy</t>
  </si>
  <si>
    <t>Anytime - Block 1 - SME - Ausnet</t>
  </si>
  <si>
    <t>Anytime - Balance - SME - Ausnet</t>
  </si>
  <si>
    <t>Anytime - Single rate - SME - Citipower</t>
  </si>
  <si>
    <t>Anytime - Single rate - SME - Jemena</t>
  </si>
  <si>
    <t>Anytime - Single rate - SME - Powercor</t>
  </si>
  <si>
    <t>Anytime - Single rate - SME - United Energy</t>
  </si>
  <si>
    <t>TOU - Peak - RES - Ausnet</t>
  </si>
  <si>
    <t>TOU - Peak - RES - Citipower</t>
  </si>
  <si>
    <t>TOU - Peak - RES - Jemena</t>
  </si>
  <si>
    <t>TOU - Peak - RES - Powercor</t>
  </si>
  <si>
    <t>TOU - Peak - RES - United Energy</t>
  </si>
  <si>
    <t>TOU - Off peak - RES - Ausnet</t>
  </si>
  <si>
    <t>TOU - Off peak - RES - Citipower</t>
  </si>
  <si>
    <t>TOU - Off peak - RES - Jemena</t>
  </si>
  <si>
    <t>TOU - Off peak - RES - Powercor</t>
  </si>
  <si>
    <t>TOU - Off peak - RES - United Energy</t>
  </si>
  <si>
    <t>TOU - Peak - SME - Ausnet</t>
  </si>
  <si>
    <t>TOU - Peak - SME - Citipower</t>
  </si>
  <si>
    <t>TOU - Peak - SME - Jemena</t>
  </si>
  <si>
    <t>TOU - Peak - SME - Powercor</t>
  </si>
  <si>
    <t>TOU - Peak - SME - United Energy</t>
  </si>
  <si>
    <t>TOU - Off peak - SME - Ausnet</t>
  </si>
  <si>
    <t>TOU - Off peak - SME - Citipower</t>
  </si>
  <si>
    <t>TOU - Off peak - SME - Jemena</t>
  </si>
  <si>
    <t>TOU - Off peak - SME - Powercor</t>
  </si>
  <si>
    <t>TOU - Off peak - SME - United Energy</t>
  </si>
  <si>
    <t>Controlled load - RES - Ausnet</t>
  </si>
  <si>
    <t>Controlled load - RES - Citipower</t>
  </si>
  <si>
    <t>Controlled load - RES - Jemena</t>
  </si>
  <si>
    <t>Controlled load - RES - Powercor</t>
  </si>
  <si>
    <t>Controlled load - RES - United Energy</t>
  </si>
  <si>
    <t>Retail margin</t>
  </si>
  <si>
    <t>Retail operating margin</t>
  </si>
  <si>
    <t>%</t>
  </si>
  <si>
    <t>Marginal loss factors</t>
  </si>
  <si>
    <t>Marginal loss factor - Ausnet</t>
  </si>
  <si>
    <t>Marginal loss factor - Citipower</t>
  </si>
  <si>
    <t>Marginal loss factor - Jemena</t>
  </si>
  <si>
    <t>Marginal loss factor - Powercor</t>
  </si>
  <si>
    <t>Marginal loss factor - United Energy</t>
  </si>
  <si>
    <t>Distribution loss factors</t>
  </si>
  <si>
    <t>Distribution loss factor - Ausnet</t>
  </si>
  <si>
    <t>Distribution loss factor - Citipower</t>
  </si>
  <si>
    <t>Distribution loss factor - Jemena</t>
  </si>
  <si>
    <t>Distribution loss factor - Powercor</t>
  </si>
  <si>
    <t>Distribution loss factor - United Energy</t>
  </si>
  <si>
    <t>Profile name</t>
  </si>
  <si>
    <t>Usage type</t>
  </si>
  <si>
    <t>Ref</t>
  </si>
  <si>
    <t>Residential - small</t>
  </si>
  <si>
    <t>Block 1</t>
  </si>
  <si>
    <t>kWh/year</t>
  </si>
  <si>
    <t>Residential - medium</t>
  </si>
  <si>
    <t>Residential - large</t>
  </si>
  <si>
    <t>Small business - small</t>
  </si>
  <si>
    <t>Small business - medium</t>
  </si>
  <si>
    <t>Small business - large</t>
  </si>
  <si>
    <t>Balance</t>
  </si>
  <si>
    <t>Annual</t>
  </si>
  <si>
    <t>Peak</t>
  </si>
  <si>
    <t>General Assumptions</t>
  </si>
  <si>
    <t>Constants</t>
  </si>
  <si>
    <t>Number of days in a year</t>
  </si>
  <si>
    <t>[DiY]</t>
  </si>
  <si>
    <t>Number of months in a year</t>
  </si>
  <si>
    <t>[MiY]</t>
  </si>
  <si>
    <t>Number of months in a quarter year</t>
  </si>
  <si>
    <t>[MiQ]</t>
  </si>
  <si>
    <t>Weeks in a year</t>
  </si>
  <si>
    <t>[WiY]</t>
  </si>
  <si>
    <t>Financial units</t>
  </si>
  <si>
    <t>AUD</t>
  </si>
  <si>
    <t>[AUD]</t>
  </si>
  <si>
    <t>Financial year end month</t>
  </si>
  <si>
    <t>N/A</t>
  </si>
  <si>
    <t>Goods &amp; Services Tax (GST)</t>
  </si>
  <si>
    <t>[GST]</t>
  </si>
  <si>
    <t>This worksheet contains indices used to adjust cost stack elements by CPI (where necessary).</t>
  </si>
  <si>
    <t>CPI</t>
  </si>
  <si>
    <t>Indices "as at" for previous VDO decisions</t>
  </si>
  <si>
    <t>Decision paper</t>
  </si>
  <si>
    <t>Date</t>
  </si>
  <si>
    <t>Indice</t>
  </si>
  <si>
    <t>VDO 2019</t>
  </si>
  <si>
    <t>VDO 2020</t>
  </si>
  <si>
    <t>VDO 2021 - Draft</t>
  </si>
  <si>
    <t>VDO 2021 - Final</t>
  </si>
  <si>
    <t>VDO 2022 - Draft</t>
  </si>
  <si>
    <t>VDO 2022 - Final</t>
  </si>
  <si>
    <t>CPI indices</t>
  </si>
  <si>
    <t>ABS All groups CPI, Australia</t>
  </si>
  <si>
    <t>Series ID A2325846C</t>
  </si>
  <si>
    <t>Period</t>
  </si>
  <si>
    <t>Rate checks:</t>
  </si>
  <si>
    <t>Calculation</t>
  </si>
  <si>
    <t>Rates</t>
  </si>
  <si>
    <t>Fixed costs</t>
  </si>
  <si>
    <t>Ausnet</t>
  </si>
  <si>
    <t>Citipower</t>
  </si>
  <si>
    <t>Jemena</t>
  </si>
  <si>
    <t>Powercor</t>
  </si>
  <si>
    <t>United Energy</t>
  </si>
  <si>
    <t>Other</t>
  </si>
  <si>
    <t>Solar (FiT)</t>
  </si>
  <si>
    <t>Metering</t>
  </si>
  <si>
    <t>Residential charges - daily supply</t>
  </si>
  <si>
    <t>GST</t>
  </si>
  <si>
    <t>Total fixed costs</t>
  </si>
  <si>
    <t>Small business charges - daily supply</t>
  </si>
  <si>
    <t>Variable costs</t>
  </si>
  <si>
    <t>Environmental programs</t>
  </si>
  <si>
    <t>$/kWh</t>
  </si>
  <si>
    <t>Wholesale cost</t>
  </si>
  <si>
    <t>Network losses</t>
  </si>
  <si>
    <t>Residential charges - usage</t>
  </si>
  <si>
    <t>Network charge</t>
  </si>
  <si>
    <t>Controlled load</t>
  </si>
  <si>
    <t>Small business charges - usage</t>
  </si>
  <si>
    <t>Non cost items</t>
  </si>
  <si>
    <t>Indice at VDO decision</t>
  </si>
  <si>
    <t>CPI increase</t>
  </si>
  <si>
    <t>Retail operating cost</t>
  </si>
  <si>
    <t>Marginal loss factor</t>
  </si>
  <si>
    <t>Distribution loss factor</t>
  </si>
  <si>
    <t>Total loss factor</t>
  </si>
  <si>
    <t>Retail costs</t>
  </si>
  <si>
    <t>Fixed network charges</t>
  </si>
  <si>
    <t>Variable network charges</t>
  </si>
  <si>
    <t>Residential wholesale</t>
  </si>
  <si>
    <t>Price - RES</t>
  </si>
  <si>
    <t>Volatility - RES</t>
  </si>
  <si>
    <t>Small business wholesale</t>
  </si>
  <si>
    <t>Price - SME</t>
  </si>
  <si>
    <t>Volatility - SME</t>
  </si>
  <si>
    <t>Environmental &amp; Solar</t>
  </si>
  <si>
    <t>Victorian Energy Upgrades (VEU)</t>
  </si>
  <si>
    <t>VEU cost</t>
  </si>
  <si>
    <t>Large-scale Renewable Energy Target (LRET)</t>
  </si>
  <si>
    <t>LRET cost</t>
  </si>
  <si>
    <t>Small-scale Renewable Energy Scheme (SRES)</t>
  </si>
  <si>
    <t>SRES cost</t>
  </si>
  <si>
    <t>Feed-in Tariff (FiT)</t>
  </si>
  <si>
    <t>True up</t>
  </si>
  <si>
    <t>Environmental costs</t>
  </si>
  <si>
    <t>Pass through (Yes/No)</t>
  </si>
  <si>
    <t>Large-scale renewable energy target (LRET)</t>
  </si>
  <si>
    <t>No</t>
  </si>
  <si>
    <t>Cost</t>
  </si>
  <si>
    <t>Difference</t>
  </si>
  <si>
    <t>Network loss adjustment</t>
  </si>
  <si>
    <t>Profit margin adjustment</t>
  </si>
  <si>
    <t>LRET True up</t>
  </si>
  <si>
    <t>Small-scale renewable energy scheme (SRES)</t>
  </si>
  <si>
    <t>SRES True up</t>
  </si>
  <si>
    <t>Victorian energy upgrades (VEU)</t>
  </si>
  <si>
    <t>VEU True up</t>
  </si>
  <si>
    <t>[sheet title]</t>
  </si>
  <si>
    <t>[ SECTION HEADING]</t>
  </si>
  <si>
    <t>[EXAMPLE TABLE HEADING]</t>
  </si>
  <si>
    <t>[EXAMPLE COL HEADING]</t>
  </si>
  <si>
    <t>Rate name</t>
  </si>
  <si>
    <t>Compliant Maximum Annual Bill (CMAB)</t>
  </si>
  <si>
    <t>Cost stacks - estimated annual bill</t>
  </si>
  <si>
    <t>kWh/yr</t>
  </si>
  <si>
    <t>Labels</t>
  </si>
  <si>
    <t>Lookup references</t>
  </si>
  <si>
    <t>Units</t>
  </si>
  <si>
    <t>Usage profiles</t>
  </si>
  <si>
    <t>$/day</t>
  </si>
  <si>
    <t>Rate check - Previous VDO values</t>
  </si>
  <si>
    <t>Rate</t>
  </si>
  <si>
    <t>TOU - Peak charge_Residential</t>
  </si>
  <si>
    <t>TOU - Off peak charge_Residential</t>
  </si>
  <si>
    <t>Anytime - Block 1 charge_Residential</t>
  </si>
  <si>
    <t>Anytime - Balance charge_Residential</t>
  </si>
  <si>
    <t>Anytime - Single rate charge_Residential</t>
  </si>
  <si>
    <t>Controlled load charge_Residential</t>
  </si>
  <si>
    <t>TOU - Peak charge_Small business</t>
  </si>
  <si>
    <t>TOU - Off peak charge_Small business</t>
  </si>
  <si>
    <t>Anytime - Block 1 charge_Small business</t>
  </si>
  <si>
    <t>Anytime - Balance charge_Small business</t>
  </si>
  <si>
    <t>Anytime - Single rate charge_Small business</t>
  </si>
  <si>
    <t>Model maintenance</t>
  </si>
  <si>
    <t>Change log</t>
  </si>
  <si>
    <t>Outstanding changes for review?</t>
  </si>
  <si>
    <t>Model operations</t>
  </si>
  <si>
    <t>Change Log</t>
  </si>
  <si>
    <t>Instructions</t>
  </si>
  <si>
    <t>Outstanding items for review?</t>
  </si>
  <si>
    <t>#</t>
  </si>
  <si>
    <t>Current version</t>
  </si>
  <si>
    <t>User</t>
  </si>
  <si>
    <t>Cell ref</t>
  </si>
  <si>
    <t>Issue</t>
  </si>
  <si>
    <t>Proposed change</t>
  </si>
  <si>
    <t>Change made Y/N?</t>
  </si>
  <si>
    <t>Peer tested by</t>
  </si>
  <si>
    <t>Version</t>
  </si>
  <si>
    <t>Retail cost</t>
  </si>
  <si>
    <t>Network usage charge</t>
  </si>
  <si>
    <t>Network fixed cost</t>
  </si>
  <si>
    <t>Annual costs</t>
  </si>
  <si>
    <t>Per kWh costs</t>
  </si>
  <si>
    <t>Average</t>
  </si>
  <si>
    <t>Total</t>
  </si>
  <si>
    <t>Environmental (FiT)</t>
  </si>
  <si>
    <t>X axis labels</t>
  </si>
  <si>
    <t>Zone</t>
  </si>
  <si>
    <t>Source documentation - calculation inputs</t>
  </si>
  <si>
    <t>C/19/31620, pdf p63, item 3.7, ICRC electricity standing offer report 2017-18</t>
  </si>
  <si>
    <t>C/20/20862, p5, AER stakeholder forum presentation, Red/Lumo</t>
  </si>
  <si>
    <t>C/20/20946 (internal analysis, confirmation email)</t>
  </si>
  <si>
    <t>Percentage change</t>
  </si>
  <si>
    <t>CPI uplift factor</t>
  </si>
  <si>
    <t>VD-CurrentVDO_InputDate</t>
  </si>
  <si>
    <t>VD-CurrentVDO_Input</t>
  </si>
  <si>
    <t>VF-CurrentVDO_InputDate</t>
  </si>
  <si>
    <t>VF-CurrentVDO_Input</t>
  </si>
  <si>
    <t>VDO 2021 - Variation draft</t>
  </si>
  <si>
    <t>Anytime - supply charge - RES - Ausnet</t>
  </si>
  <si>
    <t>Anytime - supply charge - RES - Citipower</t>
  </si>
  <si>
    <t>Anytime - supply charge - RES - Jemena</t>
  </si>
  <si>
    <t>Anytime - supply charge - RES - Powercor</t>
  </si>
  <si>
    <t>Anytime - supply charge - RES - United Energy</t>
  </si>
  <si>
    <t>Anytime - supply charge - SME - Ausnet</t>
  </si>
  <si>
    <t>Anytime - supply charge - SME - Citipower</t>
  </si>
  <si>
    <t>Anytime - supply charge - SME - Jemena</t>
  </si>
  <si>
    <t>Anytime - supply charge - SME - Powercor</t>
  </si>
  <si>
    <t>Anytime - supply charge - SME - United Energy</t>
  </si>
  <si>
    <t>TOU - supply charge - RES - Ausnet</t>
  </si>
  <si>
    <t>TOU - supply charge - RES - Citipower</t>
  </si>
  <si>
    <t>TOU - supply charge - RES - Jemena</t>
  </si>
  <si>
    <t>TOU - supply charge - RES - Powercor</t>
  </si>
  <si>
    <t>TOU - supply charge - RES - United Energy</t>
  </si>
  <si>
    <t>TOU - supply charge - SME - Ausnet</t>
  </si>
  <si>
    <t>TOU - supply charge - SME - Citipower</t>
  </si>
  <si>
    <t>TOU - supply charge - SME - Jemena</t>
  </si>
  <si>
    <t>TOU - supply charge - SME - Powercor</t>
  </si>
  <si>
    <t>TOU - supply charge - SME - United Energy</t>
  </si>
  <si>
    <t>Anytime - supply charge_Residential</t>
  </si>
  <si>
    <t>Anytime - supply charge_Small business</t>
  </si>
  <si>
    <t>VDO 2021 - Variation final</t>
  </si>
  <si>
    <t>Checks:</t>
  </si>
  <si>
    <t>Calc_Rates</t>
  </si>
  <si>
    <t>OP_Rates</t>
  </si>
  <si>
    <t>OP_CMAB!A1</t>
  </si>
  <si>
    <t>OP_CostStack_RES!A1</t>
  </si>
  <si>
    <t>OP_CostStack_SME!A1</t>
  </si>
  <si>
    <t>Worksheet link</t>
  </si>
  <si>
    <t>Auto flag checks</t>
  </si>
  <si>
    <t>Murry Greasley &amp; Mayank Grover</t>
  </si>
  <si>
    <t>Working draft, approval not applicable</t>
  </si>
  <si>
    <t>Price Monitoring and Regulation</t>
  </si>
  <si>
    <t>Victorian Default Offer</t>
  </si>
  <si>
    <t>Days</t>
  </si>
  <si>
    <t>WACC adjustment</t>
  </si>
  <si>
    <t>GST adjustment</t>
  </si>
  <si>
    <t>Usage profile inputs - anytime usage</t>
  </si>
  <si>
    <t>C/20/14760, 'Calcs' tab, item 9.8</t>
  </si>
  <si>
    <t>Date updated</t>
  </si>
  <si>
    <t>Tariff type</t>
  </si>
  <si>
    <t>C/21/17257, p64, single phase</t>
  </si>
  <si>
    <t>C/21/17257, p47, NEE11</t>
  </si>
  <si>
    <t>C/21/17257, p48, NEE12</t>
  </si>
  <si>
    <t>C/21/17257, p47, NAST11</t>
  </si>
  <si>
    <t>C/21/17257, p48, NAST12</t>
  </si>
  <si>
    <t>C/21/17257, p47, NEE13</t>
  </si>
  <si>
    <t>C/21/17258, p40, single phase</t>
  </si>
  <si>
    <t>C/21/17258, p15, C1R</t>
  </si>
  <si>
    <t>C/21/17258, p15, C1G</t>
  </si>
  <si>
    <t>C/21/17258, p15, CRTOU</t>
  </si>
  <si>
    <t>C/21/17258, p15, CGTOU</t>
  </si>
  <si>
    <t>C/21/17258, p15, CDS</t>
  </si>
  <si>
    <t>C/21/17260, p40, single phase</t>
  </si>
  <si>
    <t>C/21/17260, p15, D1</t>
  </si>
  <si>
    <t>C/21/17260, p15, ND1</t>
  </si>
  <si>
    <t>C/21/17260, p15, PRTOU</t>
  </si>
  <si>
    <t>C/21/17260, p15, NDTOU</t>
  </si>
  <si>
    <t>C/21/17260, p15, DD1</t>
  </si>
  <si>
    <t>C/21/17261, p40, single phase single element</t>
  </si>
  <si>
    <t>C/21/17261, p15, LVS1R</t>
  </si>
  <si>
    <t>C/21/17261, p15, LVM1R</t>
  </si>
  <si>
    <t>C/21/17261, p15, URTOU</t>
  </si>
  <si>
    <t>C/21/17261, p15, LVTOU</t>
  </si>
  <si>
    <t>C/21/17261, p15, LVDED</t>
  </si>
  <si>
    <t>C/21/17259, p71, single phase single element</t>
  </si>
  <si>
    <t>C/21/17259, p28, A120/F120</t>
  </si>
  <si>
    <t>C/21/17259, p28, A200/F200a</t>
  </si>
  <si>
    <t>C/21/17259, p28, A100/F100a</t>
  </si>
  <si>
    <t>C/21/17259, p29, A210/F210a</t>
  </si>
  <si>
    <t>C/21/17259, p28, A180</t>
  </si>
  <si>
    <t>Network costs</t>
  </si>
  <si>
    <t>Time period, decision/actual</t>
  </si>
  <si>
    <t>Anytime - supply charge - RES</t>
  </si>
  <si>
    <t>Proportion of annual</t>
  </si>
  <si>
    <t>Actual time period, months</t>
  </si>
  <si>
    <t>Anytime - Block 1 - RES</t>
  </si>
  <si>
    <t>Anytime - Balance - RES</t>
  </si>
  <si>
    <t>Anytime - Single rate - RES</t>
  </si>
  <si>
    <t>Rate type</t>
  </si>
  <si>
    <t>Anytime - supply charge - SME</t>
  </si>
  <si>
    <t>Anytime - Block 1 - SME</t>
  </si>
  <si>
    <t>Anytime - Balance - SME</t>
  </si>
  <si>
    <t>Anytime - Single rate - SME</t>
  </si>
  <si>
    <t>Anytime - Residential</t>
  </si>
  <si>
    <t>Anytime - Small business</t>
  </si>
  <si>
    <t>TOU - Residential</t>
  </si>
  <si>
    <t>TOU - Small business</t>
  </si>
  <si>
    <t>TOU - supply charge - RES</t>
  </si>
  <si>
    <t>TOU - Peak - RES</t>
  </si>
  <si>
    <t>TOU - Off peak - RES</t>
  </si>
  <si>
    <t>TOU - supply charge - SME</t>
  </si>
  <si>
    <t>TOU - Peak - SME</t>
  </si>
  <si>
    <t>TOU - Off peak - SME</t>
  </si>
  <si>
    <t>Anytime - supply cost true up</t>
  </si>
  <si>
    <t>Anytime - usage cost true up</t>
  </si>
  <si>
    <t>TOU - supply cost true up</t>
  </si>
  <si>
    <t>TOU - usage cost true up</t>
  </si>
  <si>
    <t>Anytime - supply cost - residential</t>
  </si>
  <si>
    <t>Anytime - usage cost - residential</t>
  </si>
  <si>
    <t>Anytime - supply cost - small business</t>
  </si>
  <si>
    <t>Anytime - usage cost - small business</t>
  </si>
  <si>
    <t>TOU - supply cost - residential</t>
  </si>
  <si>
    <t>TOU - usage cost - residential</t>
  </si>
  <si>
    <t>TOU - supply cost - small business</t>
  </si>
  <si>
    <t>TOU - usage cost - small business</t>
  </si>
  <si>
    <t>True up inputs</t>
  </si>
  <si>
    <t>WACC (annual)</t>
  </si>
  <si>
    <t>Single rate</t>
  </si>
  <si>
    <t>Anytime - supply</t>
  </si>
  <si>
    <t>TOU - supply</t>
  </si>
  <si>
    <t>Network true up cost start date</t>
  </si>
  <si>
    <t>Network true up cost end date</t>
  </si>
  <si>
    <t>Network true up rate start date</t>
  </si>
  <si>
    <t>Network true up rate end date</t>
  </si>
  <si>
    <t>Anytime</t>
  </si>
  <si>
    <t>TOU</t>
  </si>
  <si>
    <t>Adjusted WACC</t>
  </si>
  <si>
    <t>Input_ForRateCalc</t>
  </si>
  <si>
    <t>Usage profile inputs</t>
  </si>
  <si>
    <t>VDO decisions</t>
  </si>
  <si>
    <t>Month</t>
  </si>
  <si>
    <t>Index</t>
  </si>
  <si>
    <t>Decision/Actual</t>
  </si>
  <si>
    <t>Actual</t>
  </si>
  <si>
    <t>Decision</t>
  </si>
  <si>
    <t>Decision ref</t>
  </si>
  <si>
    <t>[blank]</t>
  </si>
  <si>
    <t>Network true up rates</t>
  </si>
  <si>
    <t>True up rate calculation</t>
  </si>
  <si>
    <t>Environmental true up rates</t>
  </si>
  <si>
    <t>LRET true up</t>
  </si>
  <si>
    <t>SRES true up</t>
  </si>
  <si>
    <t>VEU true up</t>
  </si>
  <si>
    <t>Environmental variable rate true ups</t>
  </si>
  <si>
    <t>Environmental true ups - checks</t>
  </si>
  <si>
    <t>Network true ups - checks</t>
  </si>
  <si>
    <t>Environmental true up values</t>
  </si>
  <si>
    <t>Off peak</t>
  </si>
  <si>
    <t>VIC avg</t>
  </si>
  <si>
    <t>AVG per month</t>
  </si>
  <si>
    <t>Disclaimer, copyright &amp; terms and conditions of use
The VDO Price Determination model (model) does not constitute a decision or determination by the Essential Services Commission (commission). The model has been designed by the commission to enable it to calculate the tariffs a retailer may charge prescribed customers under a standing offer.
Limited access to this model is made available to third parties (users) for information purposes only and for the sole purpose of illustrating the modelling framework used by the commission to calculate the VDO tariffs.  The commission gives no warranty and makes no representation as to the accuracy, reliability, timeliness or other features of the data contained in the model for use other than calculation by the commission of the VDO tariffs.
Copyright and all other intellectual property rights in the model vests with the commission.  The commission hereby permits a user to view the model, download and use the model, and display and print the model from the commission’s website only in unaltered form, for the purposes of internal study, research, criticism or review by the user only, provided the user acknowledges the source of the model or any parts of the model.
A user must not disrupt, modify or interfere with the model, or alter or tamper with any information or material in or associated with the model, or gain or attempt to gain unauthorized access to secure parts of the model.  A user must not make the model available to a third party and must direct a third party to access the model directly from the commission’s website.
By viewing, downloading, using, displaying or printing the model or parts of the model, you agree to be bound by the disclaimer, copyright provisions and these terms and conditions of use. 
Note:  If you have obtained the model otherwise than by downloading it from the commission’s website, the model may have been modified by a previous user. The commission accepts no liability in relation to modifications made by any user.</t>
  </si>
  <si>
    <t>Rebecca Love, Sonia Madamba (draft variation release)</t>
  </si>
  <si>
    <t>Network true ups and changes to enviro true ups</t>
  </si>
  <si>
    <t>Changes in response to Frontier review - round 2</t>
  </si>
  <si>
    <t>Changes in response to Frontier review - round 1</t>
  </si>
  <si>
    <t>Anytime usage</t>
  </si>
  <si>
    <t>TOU usage</t>
  </si>
  <si>
    <t>Controlled load - RES</t>
  </si>
  <si>
    <t>Controlled load cost - residential</t>
  </si>
  <si>
    <t>Network true up rate</t>
  </si>
  <si>
    <t>Environmental  true up rate</t>
  </si>
  <si>
    <t>Network true up</t>
  </si>
  <si>
    <t>Environmental true up</t>
  </si>
  <si>
    <t>VDO residential rates</t>
  </si>
  <si>
    <t>VDO small business rates</t>
  </si>
  <si>
    <t>1 month impact (TOU)</t>
  </si>
  <si>
    <t>VDO period</t>
  </si>
  <si>
    <t>Total customers</t>
  </si>
  <si>
    <t>July</t>
  </si>
  <si>
    <t>August</t>
  </si>
  <si>
    <t>June</t>
  </si>
  <si>
    <t>Total usage</t>
  </si>
  <si>
    <t>Item</t>
  </si>
  <si>
    <t>No.</t>
  </si>
  <si>
    <t>TOU check</t>
  </si>
  <si>
    <t>Block check</t>
  </si>
  <si>
    <t>Single rate check</t>
  </si>
  <si>
    <t>Usage per customer</t>
  </si>
  <si>
    <t>Value</t>
  </si>
  <si>
    <t>Yes</t>
  </si>
  <si>
    <t>Controlled load - usage cost true up</t>
  </si>
  <si>
    <t>Input_Usage</t>
  </si>
  <si>
    <t>Input_DecisionActual</t>
  </si>
  <si>
    <t>Cost recovery days</t>
  </si>
  <si>
    <t>Input_TUEnv_Actual</t>
  </si>
  <si>
    <t>Input_TUNet_Actual</t>
  </si>
  <si>
    <t>Input_TUNet_Props</t>
  </si>
  <si>
    <t>Calc_TUV_Net_1</t>
  </si>
  <si>
    <t>Calc_TUV_Env_1</t>
  </si>
  <si>
    <t>TUNet_Usage_Actual_1</t>
  </si>
  <si>
    <t>Calc_TUV_Env_2</t>
  </si>
  <si>
    <t>Calc_TUV_Net_2</t>
  </si>
  <si>
    <t>TUNet_Usage_Actual_2</t>
  </si>
  <si>
    <t>Calc_TUR_Env_1</t>
  </si>
  <si>
    <t>Calc_TUV_EnvGroup_1</t>
  </si>
  <si>
    <t>Input_TUNet_Dates</t>
  </si>
  <si>
    <t>Usage per customer - Block 1 - Ausnet</t>
  </si>
  <si>
    <t>Network true up values per customers - Calc_TUV_NetGroup_1</t>
  </si>
  <si>
    <t>Network true up rates per customer per day - Calc_TUR_Net_1</t>
  </si>
  <si>
    <t>Network true up values per customers - Calc_TUV_NetGroup_2</t>
  </si>
  <si>
    <t>Network true up rates per customer per day - Calc_TUR_Net_2</t>
  </si>
  <si>
    <t>Usage per customer - Block 1</t>
  </si>
  <si>
    <t>Usage per customer - Balance</t>
  </si>
  <si>
    <t>Usage per customer - Single rate</t>
  </si>
  <si>
    <t>Latest extract</t>
  </si>
  <si>
    <t>Source ref</t>
  </si>
  <si>
    <t>C/21/23215, internal confirmation email</t>
  </si>
  <si>
    <t>TUNet_Usage_PerRate_2</t>
  </si>
  <si>
    <t>TUNet_Usage_PerRate_1</t>
  </si>
  <si>
    <t>Residential True Up</t>
  </si>
  <si>
    <t>Residential calculated rate</t>
  </si>
  <si>
    <t>Small business calculated rate</t>
  </si>
  <si>
    <t>Small business True Up</t>
  </si>
  <si>
    <t>VDO 2020 - Final</t>
  </si>
  <si>
    <t>VDO 2019 - Final</t>
  </si>
  <si>
    <t>Analysis - previous VDO bills - single rate</t>
  </si>
  <si>
    <t>FiT</t>
  </si>
  <si>
    <t>VDO 2021 Variation - Final</t>
  </si>
  <si>
    <t>VDO 2021 (blend)</t>
  </si>
  <si>
    <t>Weighting</t>
  </si>
  <si>
    <t>Environmental schemes</t>
  </si>
  <si>
    <t>Cost elements and total bills</t>
  </si>
  <si>
    <t>CHART</t>
  </si>
  <si>
    <t>% change</t>
  </si>
  <si>
    <t>Check</t>
  </si>
  <si>
    <t>% overall change</t>
  </si>
  <si>
    <t>Cost element change</t>
  </si>
  <si>
    <t>Chart comparison previous period</t>
  </si>
  <si>
    <t>% of overall change</t>
  </si>
  <si>
    <t>Usage</t>
  </si>
  <si>
    <t>Environmental - Anytime VDO</t>
  </si>
  <si>
    <t>Network - Anytime VDO</t>
  </si>
  <si>
    <t>GST (anytime)</t>
  </si>
  <si>
    <t>Retail margin (anytime)</t>
  </si>
  <si>
    <t>Subtotal</t>
  </si>
  <si>
    <t>Per kWh</t>
  </si>
  <si>
    <t>Small-scale renewable energy scheme (SRES) - Liability true up (2021 only)</t>
  </si>
  <si>
    <t>Large-scale renewable energy target (LRET) - Liability true up (2021 only)</t>
  </si>
  <si>
    <t>C/21/24615, internal confirmation email</t>
  </si>
  <si>
    <t>C/21/23708, 'FiT' tab D32</t>
  </si>
  <si>
    <t>NA-no RERT cost applicable</t>
  </si>
  <si>
    <t>C/21/23276, p27</t>
  </si>
  <si>
    <t>Energy Consumers Australia</t>
  </si>
  <si>
    <t>C/21/24616, p43</t>
  </si>
  <si>
    <t>C/21/24616, p50</t>
  </si>
  <si>
    <t>C/21/24617, https://www.esc.vic.gov.au/victorian-energy-upgrades-program/participating-veu-program/energy-retailers-veu-program</t>
  </si>
  <si>
    <t>C/21/23708, 'VEU' tab F20</t>
  </si>
  <si>
    <t>C/21/24616, p53 'Cost of obtaining STCs'</t>
  </si>
  <si>
    <t>C/21/24616, p52 'Cost of obtaining LGCs'</t>
  </si>
  <si>
    <t>C/21/24616, p51 'Renewable Power Percentage'</t>
  </si>
  <si>
    <t>NA-no longer method for true up</t>
  </si>
  <si>
    <t>C/21/23708, 'SRES' tab E24</t>
  </si>
  <si>
    <t>NA-no NTP cost applicable</t>
  </si>
  <si>
    <t>C/21/23708, 'Ancillary Services' tab E16</t>
  </si>
  <si>
    <t>C/21/23708, 'Loss Factors' tab G15:G19</t>
  </si>
  <si>
    <t>C/21/23708, 'Loss Factors' tab D27:D31</t>
  </si>
  <si>
    <t>NA-no longer variable cost</t>
  </si>
  <si>
    <t>C/21/24679, internal confirmation email</t>
  </si>
  <si>
    <t>Cost element total</t>
  </si>
  <si>
    <t>Total (anytime) - from rounded rates</t>
  </si>
  <si>
    <t>Total (anytime) - from this sheet calcs</t>
  </si>
  <si>
    <t>change</t>
  </si>
  <si>
    <t>Network true up rates per customer per kWh - Calc_TUR_NetCL_2</t>
  </si>
  <si>
    <t>Cost recovery kWh</t>
  </si>
  <si>
    <t>Porportion of annual usage</t>
  </si>
  <si>
    <t>Decision period</t>
  </si>
  <si>
    <t>Decision period multiplier</t>
  </si>
  <si>
    <t>Period (days)</t>
  </si>
  <si>
    <t>Distributed Energy Resources Integration Program (DER)</t>
  </si>
  <si>
    <t>IT upgrade and 5MS/GS compliance</t>
  </si>
  <si>
    <t>Calc_TU_rates</t>
  </si>
  <si>
    <t>Peer review notes</t>
  </si>
  <si>
    <t>Outstanding changes will create a flag on the 'Checks' tab.</t>
  </si>
  <si>
    <t>Murry</t>
  </si>
  <si>
    <t>G182:K183</t>
  </si>
  <si>
    <t>Two new rows created in 'Other' costs table</t>
  </si>
  <si>
    <t>New inputs for 'Other' cost element (5MS/IT, DER)</t>
  </si>
  <si>
    <t>G428:K429</t>
  </si>
  <si>
    <t>G422:K430</t>
  </si>
  <si>
    <t>G176:K184</t>
  </si>
  <si>
    <t>Formula updated to automatically calculate based on $, $/week, or $/kWh</t>
  </si>
  <si>
    <t>IF statement updated to check for Fixed and multiply costs by 1 ($) or WiY ($/week), otherwise divide by 1000 ($/kWh)</t>
  </si>
  <si>
    <t>Pending changes</t>
  </si>
  <si>
    <t>Col Q (multi)</t>
  </si>
  <si>
    <t>Inputs pending updated values marked in yellow</t>
  </si>
  <si>
    <t>Any required changes that pending execution (ie, because updated values are needed etc) are entered in the 'Pending changes' section table.</t>
  </si>
  <si>
    <t>Any executed changes are entered in the 'Change Log' section table to confirm all modifications made to the model.</t>
  </si>
  <si>
    <t>Any changes entered in the 'Change Log' table are complete once peer reviewed with confirmation notes entered in cols M-Q.</t>
  </si>
  <si>
    <t>Change log review</t>
  </si>
  <si>
    <t>ERROR</t>
  </si>
  <si>
    <t>D15 &amp; D64</t>
  </si>
  <si>
    <t>Input pending September CPI update</t>
  </si>
  <si>
    <t>In change log?</t>
  </si>
  <si>
    <t>Inputs count</t>
  </si>
  <si>
    <t>Inputs table</t>
  </si>
  <si>
    <t>Calc tables</t>
  </si>
  <si>
    <t>Mayank</t>
  </si>
  <si>
    <t>Q118:Q127</t>
  </si>
  <si>
    <t>Input loss factors updated</t>
  </si>
  <si>
    <t>Updated loss factors from Calculated inputs - v1.1</t>
  </si>
  <si>
    <t>Calculated rates and prices</t>
  </si>
  <si>
    <t>Annual bills</t>
  </si>
  <si>
    <t>True up costs and rates</t>
  </si>
  <si>
    <t>Updated methodology</t>
  </si>
  <si>
    <t>Updated all infographics, added infographics for true up</t>
  </si>
  <si>
    <t>C/21/23708, 'Loss Factors' tab E38:E42</t>
  </si>
  <si>
    <t>C/21/23708, 'Loss Factors' tab O25:O29</t>
  </si>
  <si>
    <t>C/21/30498, p53</t>
  </si>
  <si>
    <t>C/21/30498, p46</t>
  </si>
  <si>
    <t>C/21/30323, K8, 'Cost calc'</t>
  </si>
  <si>
    <t>C/21/23708, 'Ancillary Services' tab E16 (value updated)</t>
  </si>
  <si>
    <t>C/21/23276, p28</t>
  </si>
  <si>
    <t>C/21/30498, p54-55 'Cost of obtaining LGCs'</t>
  </si>
  <si>
    <t>C/21/30498, p56 'Cost of obtaining STCs'</t>
  </si>
  <si>
    <t>C/21/23708, 'VEU' tab F21</t>
  </si>
  <si>
    <t>Comparison table</t>
  </si>
  <si>
    <t>Change $</t>
  </si>
  <si>
    <t>ROC - bad debt, licence fees, VEU &amp; LRET prices, Anc services, IT upgrade, DER, WEC inputs updated</t>
  </si>
  <si>
    <t>(new sheet)</t>
  </si>
  <si>
    <t>TBL_comparison</t>
  </si>
  <si>
    <t>Comparison table needed for Appendix B of FDP</t>
  </si>
  <si>
    <t>Added table summarising values from CH_CostItems_Anytime tab, compared with hardcoded values from VDO 2021 decision</t>
  </si>
  <si>
    <t>Update input values for total RES &amp; SME load TU calc</t>
  </si>
  <si>
    <t>L192:L195</t>
  </si>
  <si>
    <t>Updated from source doc C/21/30787</t>
  </si>
  <si>
    <t>Total usage - Controlled load</t>
  </si>
  <si>
    <t>July 2020 to August 2020</t>
  </si>
  <si>
    <t>January 2021 to June 2021</t>
  </si>
  <si>
    <t>July 2020 to June 2021</t>
  </si>
  <si>
    <t>Rows 40 to 108</t>
  </si>
  <si>
    <t>C200:L202</t>
  </si>
  <si>
    <t>Calc_TU_values</t>
  </si>
  <si>
    <t>CL usage - True up proportion</t>
  </si>
  <si>
    <t>C91:D91, C322:D322</t>
  </si>
  <si>
    <t>K367:O367, K369:O369</t>
  </si>
  <si>
    <t>C35:E36, C165:E166</t>
  </si>
  <si>
    <t>Proportion of CL usage</t>
  </si>
  <si>
    <t>Cost recovery CL kWh</t>
  </si>
  <si>
    <t>H170:L170,H178:L178</t>
  </si>
  <si>
    <t>Added CL actual usage for true up using monthly weights</t>
  </si>
  <si>
    <t>Added field to calculate proportion of actual usage in true up recovery period</t>
  </si>
  <si>
    <t>Added field to calculate weights based on actual usage in true up period</t>
  </si>
  <si>
    <t>Changed formula to use monthly weights based on usage instead of days</t>
  </si>
  <si>
    <t>Monthly usage as weights instead of days for CL network true up</t>
  </si>
  <si>
    <t>C/21/30791, 'Data1', col J</t>
  </si>
  <si>
    <t>Sept value updated, source doc ref changed</t>
  </si>
  <si>
    <t>Residential (anytime customer, assuming 4 000 kWh/yr)</t>
  </si>
  <si>
    <t>Small business (anytime customer, assuming 20 000 kWh/yr)</t>
  </si>
  <si>
    <t>Change ranking</t>
  </si>
  <si>
    <t>Notes</t>
  </si>
  <si>
    <t>Top 5 decreases</t>
  </si>
  <si>
    <t>Top 5 increases</t>
  </si>
  <si>
    <t>Change % of total</t>
  </si>
  <si>
    <t>C/21/31139, internal confirmation email</t>
  </si>
  <si>
    <t>Cost items for CPI adjustment</t>
  </si>
  <si>
    <t>Cost Item CPI</t>
  </si>
  <si>
    <t>Adjust?</t>
  </si>
  <si>
    <t>C/21/31371, internal confirmation email</t>
  </si>
  <si>
    <t>C/21/30498, p54 'Renewable Power Percentage'</t>
  </si>
  <si>
    <t>C71:H78</t>
  </si>
  <si>
    <t>G147:H154, G93:H400</t>
  </si>
  <si>
    <t>CPI adjustment of some cost items changes for different decision periods</t>
  </si>
  <si>
    <t>Added new input table in CPI tab to allow toggling of this against decision period</t>
  </si>
  <si>
    <t>Added new column and updated formula in CPI calc tables to reflect decision period CPI adjustment</t>
  </si>
  <si>
    <t>% of total change</t>
  </si>
  <si>
    <t>H74</t>
  </si>
  <si>
    <t>Removed CPI adjustment for FiT cost</t>
  </si>
  <si>
    <t>FiT CPI adjustment not applicable for VDO 2022</t>
  </si>
  <si>
    <t>Wholesale losses</t>
  </si>
  <si>
    <t>Environmental losses</t>
  </si>
  <si>
    <t>Other losses</t>
  </si>
  <si>
    <t>Jonathan Roberts</t>
  </si>
  <si>
    <t>Final for publishing</t>
  </si>
  <si>
    <t>C/21/32954</t>
  </si>
  <si>
    <t>OP_CMAB</t>
  </si>
  <si>
    <t>CH_CostStack_RES</t>
  </si>
  <si>
    <t>CH_CostStack_SME</t>
  </si>
  <si>
    <t>Contains inputs used for calculation in the model.</t>
  </si>
  <si>
    <t>Contains indice values for CPI adjustment.</t>
  </si>
  <si>
    <t>Calculations for cost stack rates.</t>
  </si>
  <si>
    <t>Calculations for total true up amounts to be recovered.</t>
  </si>
  <si>
    <t>Calculations for true up rates to be applied over the determination period.</t>
  </si>
  <si>
    <t>Output rates (both from cost stack calculation and true up) for all tariffs.</t>
  </si>
  <si>
    <t>Output annual bills for Compliant Maximum Annual Bill (CMAB).</t>
  </si>
  <si>
    <t>Comparison of representative VDO cost stacks for residential customers.</t>
  </si>
  <si>
    <t>Comparison of representative VDO cost stacks for small business customers.</t>
  </si>
  <si>
    <t>Schematics for calculation methodology.</t>
  </si>
  <si>
    <t>Information about the model ownership and location.</t>
  </si>
  <si>
    <t>Proportion of annual usage</t>
  </si>
  <si>
    <t>Inputs!A1</t>
  </si>
  <si>
    <t>CPI'!A1</t>
  </si>
  <si>
    <t>Calc_Rates!A1</t>
  </si>
  <si>
    <t>Calc_TU_values!A1</t>
  </si>
  <si>
    <t>Calc_TU_rates!A1</t>
  </si>
  <si>
    <t>OP_Rates!A1</t>
  </si>
  <si>
    <t>CH_CostStack_RES!A1</t>
  </si>
  <si>
    <t>CH_CostStack_SME!A1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</si>
</sst>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1">
    <numFmt numFmtId="8" formatCode="&quot;$&quot;#,##0.00;[Red]\-&quot;$&quot;#,##0.00"/>
    <numFmt numFmtId="164" formatCode="&quot;$&quot;#,##0_);[Red]\(&quot;$&quot;#,##0\)"/>
    <numFmt numFmtId="165" formatCode="&quot;$&quot;#,##0.00_);[Red]\(&quot;$&quot;#,##0.00\)"/>
    <numFmt numFmtId="166" formatCode="[Green][=0]&quot;OK&quot;;[Red]&quot;Err&quot;"/>
    <numFmt numFmtId="167" formatCode="0.0000"/>
    <numFmt numFmtId="168" formatCode="&quot;$&quot;#,##0.0000;[Red]\-&quot;$&quot;#,##0.0000"/>
    <numFmt numFmtId="169" formatCode="&quot;$&quot;#,##0.00000;[Red]\-&quot;$&quot;#,##0.00000"/>
    <numFmt numFmtId="170" formatCode="#&quot;.&quot;##"/>
    <numFmt numFmtId="171" formatCode="[Green][=0]&quot;OK&quot;;[Red]&quot;Error&quot;"/>
    <numFmt numFmtId="172" formatCode="0.00000"/>
    <numFmt numFmtId="173" formatCode="0.00000000"/>
    <numFmt numFmtId="174" formatCode="0.0%"/>
    <numFmt numFmtId="175" formatCode="0.0"/>
    <numFmt numFmtId="176" formatCode="&quot;$&quot;#,##0.0;[Red]\-&quot;$&quot;#,##0.0"/>
    <numFmt numFmtId="177" formatCode="&quot;$&quot;#,##0.000000;[Red]\-&quot;$&quot;#,##0.000000"/>
    <numFmt numFmtId="178" formatCode="&quot;$&quot;#,##0.0000000;[Red]\-&quot;$&quot;#,##0.0000000"/>
    <numFmt numFmtId="179" formatCode="&quot;$&quot;#,##0.00000000;[Red]\-&quot;$&quot;#,##0.00000000"/>
    <numFmt numFmtId="180" formatCode="[Green][&lt;=0]0.0%;[Red][&gt;0]0.0%"/>
    <numFmt numFmtId="181" formatCode="&quot;$&quot;#,##0.00;[Red]&quot;$&quot;#,##0.00"/>
    <numFmt numFmtId="182" formatCode="0.000000000000000%"/>
    <numFmt numFmtId="183" formatCode="&quot;$&quot;#,##0.0_);[Red]\(&quot;$&quot;#,##0.0\)"/>
    <numFmt numFmtId="184" formatCode="[Green][=0]&quot;OK&quot;;[Red]General"/>
    <numFmt numFmtId="185" formatCode="&quot;$&quot;#,##0.0000;[Red]&quot;$&quot;#,##0.0000"/>
    <numFmt numFmtId="186" formatCode="0.000000"/>
    <numFmt numFmtId="187" formatCode="[Green][&lt;=0]0%;[Red][&gt;0]0%"/>
    <numFmt numFmtId="188" formatCode="[Green][&lt;=0]&quot;$&quot;0;[Red][&gt;0]&quot;$&quot;0"/>
    <numFmt numFmtId="189" formatCode="[Green][&lt;=0]&quot;$&quot;0.00;[Red][&gt;0]&quot;$&quot;0.00"/>
    <numFmt numFmtId="190" formatCode="[Green][&lt;=0]&quot;$&quot;0;[Red][&gt;0]\+&quot;$&quot;0"/>
    <numFmt numFmtId="191" formatCode="[Green][&lt;=0]0.0%;[Red][&gt;0]\+0.0%"/>
    <numFmt numFmtId="192" formatCode="&quot;$&quot;#,##0.0000_);[Red]\(&quot;$&quot;#,##0.0000\)"/>
    <numFmt numFmtId="193" formatCode="0.000%"/>
  </numFmts>
  <fonts count="38" x14ac:knownFonts="1">
    <font>
      <sz val="11"/>
      <color theme="1"/>
      <name val="Calibri"/>
      <family val="2"/>
      <scheme val="minor"/>
    </font>
    <font>
      <b/>
      <sz val="14"/>
      <color theme="0"/>
      <name val="Calibri"/>
      <family val="2"/>
      <scheme val="minor"/>
    </font>
    <font>
      <b/>
      <sz val="12"/>
      <color theme="1"/>
      <name val="Calibri"/>
      <family val="2"/>
      <scheme val="minor"/>
    </font>
    <font>
      <b/>
      <sz val="12"/>
      <color rgb="FF4986A0"/>
      <name val="Calibri"/>
      <family val="2"/>
      <scheme val="minor"/>
    </font>
    <font>
      <b/>
      <sz val="12"/>
      <name val="Calibri"/>
      <family val="2"/>
      <scheme val="minor"/>
    </font>
    <font>
      <b/>
      <sz val="12"/>
      <color rgb="FFCE0058"/>
      <name val="Calibri"/>
      <family val="2"/>
      <scheme val="minor"/>
    </font>
    <font>
      <sz val="11"/>
      <color theme="0"/>
      <name val="Calibri"/>
      <family val="2"/>
      <scheme val="minor"/>
    </font>
    <font>
      <sz val="11"/>
      <name val="Calibri"/>
      <family val="2"/>
      <scheme val="minor"/>
    </font>
    <font>
      <sz val="11"/>
      <color rgb="FF236192"/>
      <name val="Calibri"/>
      <family val="2"/>
      <scheme val="minor"/>
    </font>
    <font>
      <b/>
      <sz val="12"/>
      <color theme="0"/>
      <name val="Calibri"/>
      <family val="2"/>
      <scheme val="minor"/>
    </font>
    <font>
      <b/>
      <sz val="18"/>
      <color theme="0"/>
      <name val="Calibri"/>
      <family val="2"/>
      <scheme val="minor"/>
    </font>
    <font>
      <b/>
      <sz val="12"/>
      <color rgb="FF236192"/>
      <name val="Calibri"/>
      <family val="2"/>
      <scheme val="minor"/>
    </font>
    <font>
      <sz val="10"/>
      <color indexed="9"/>
      <name val="Verdana"/>
      <family val="2"/>
    </font>
    <font>
      <sz val="11"/>
      <color rgb="FF7F7F7F"/>
      <name val="Calibri"/>
      <family val="2"/>
      <scheme val="minor"/>
    </font>
    <font>
      <b/>
      <sz val="22"/>
      <color theme="0"/>
      <name val="Calibri"/>
      <family val="2"/>
      <scheme val="minor"/>
    </font>
    <font>
      <sz val="11"/>
      <color rgb="FFED8B00"/>
      <name val="Calibri"/>
      <family val="2"/>
      <scheme val="minor"/>
    </font>
    <font>
      <sz val="11"/>
      <color theme="1" tint="0.24994659260841701"/>
      <name val="Calibri"/>
      <family val="2"/>
      <scheme val="minor"/>
    </font>
    <font>
      <b/>
      <sz val="11"/>
      <name val="Calibri"/>
      <family val="2"/>
      <scheme val="minor"/>
    </font>
    <font>
      <sz val="11"/>
      <color theme="1"/>
      <name val="Calibri"/>
      <family val="2"/>
      <scheme val="minor"/>
    </font>
    <font>
      <i/>
      <sz val="11"/>
      <color rgb="FF7F7F7F"/>
      <name val="Calibri"/>
      <family val="2"/>
      <scheme val="minor"/>
    </font>
    <font>
      <sz val="12"/>
      <color rgb="FFCE0058"/>
      <name val="Calibri"/>
      <family val="2"/>
      <scheme val="minor"/>
    </font>
    <font>
      <sz val="11"/>
      <color rgb="FF4986A0"/>
      <name val="Calibri"/>
      <family val="2"/>
      <scheme val="minor"/>
    </font>
    <font>
      <sz val="12"/>
      <color rgb="FF4986A0"/>
      <name val="Calibri"/>
      <family val="2"/>
      <scheme val="minor"/>
    </font>
    <font>
      <sz val="12"/>
      <color theme="0"/>
      <name val="Calibri"/>
      <family val="2"/>
      <scheme val="minor"/>
    </font>
    <font>
      <sz val="12"/>
      <color theme="3"/>
      <name val="Calibri"/>
      <family val="2"/>
      <scheme val="minor"/>
    </font>
    <font>
      <sz val="12"/>
      <color theme="1"/>
      <name val="Calibri"/>
      <family val="2"/>
      <scheme val="minor"/>
    </font>
    <font>
      <sz val="11"/>
      <color rgb="FFCE0058"/>
      <name val="Calibri"/>
      <family val="2"/>
      <scheme val="minor"/>
    </font>
    <font>
      <sz val="11"/>
      <color rgb="FFFA7D00"/>
      <name val="Calibri"/>
      <family val="2"/>
      <scheme val="minor"/>
    </font>
    <font>
      <sz val="22"/>
      <color theme="0"/>
      <name val="Calibri"/>
      <family val="2"/>
      <scheme val="minor"/>
    </font>
    <font>
      <b/>
      <sz val="11"/>
      <color theme="1"/>
      <name val="Calibri"/>
      <family val="2"/>
      <scheme val="minor"/>
    </font>
    <font>
      <sz val="8"/>
      <name val="Calibri"/>
      <family val="2"/>
      <scheme val="minor"/>
    </font>
    <font>
      <b/>
      <sz val="10"/>
      <color theme="1"/>
      <name val="Verdana"/>
      <family val="2"/>
    </font>
    <font>
      <b/>
      <sz val="10"/>
      <color theme="0"/>
      <name val="Verdana"/>
      <family val="2"/>
    </font>
    <font>
      <b/>
      <sz val="11"/>
      <color theme="0"/>
      <name val="Verdana"/>
      <family val="2"/>
    </font>
    <font>
      <i/>
      <sz val="11"/>
      <color theme="1" tint="0.499984740745262"/>
      <name val="Calibri"/>
      <family val="2"/>
      <scheme val="minor"/>
    </font>
    <font>
      <b/>
      <sz val="11"/>
      <color rgb="FFED8B00"/>
      <name val="Calibri"/>
      <family val="2"/>
      <scheme val="minor"/>
    </font>
    <font>
      <sz val="11"/>
      <color rgb="FFFFB13F"/>
      <name val="Calibri"/>
      <family val="2"/>
      <scheme val="minor"/>
    </font>
    <font>
      <u/>
      <sz val="11"/>
      <color theme="4" tint="0.59996337778862885"/>
      <name val="Calibri"/>
      <family val="2"/>
      <scheme val="minor"/>
    </font>
  </fonts>
  <fills count="15">
    <fill>
      <patternFill patternType="none"/>
    </fill>
    <fill>
      <patternFill patternType="gray125"/>
    </fill>
    <fill>
      <patternFill patternType="solid">
        <fgColor rgb="FF236192"/>
        <bgColor indexed="64"/>
      </patternFill>
    </fill>
    <fill>
      <patternFill patternType="solid">
        <fgColor theme="0" tint="-0.14999847407452621"/>
        <bgColor indexed="64"/>
      </patternFill>
    </fill>
    <fill>
      <patternFill patternType="solid">
        <fgColor rgb="FF236192"/>
        <bgColor rgb="FF00A1DE"/>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1" tint="0.499984740745262"/>
        <bgColor indexed="64"/>
      </patternFill>
    </fill>
    <fill>
      <patternFill patternType="solid">
        <fgColor rgb="FF4986A0"/>
        <bgColor indexed="64"/>
      </patternFill>
    </fill>
    <fill>
      <patternFill patternType="solid">
        <fgColor rgb="FFAFCDDB"/>
        <bgColor indexed="64"/>
      </patternFill>
    </fill>
    <fill>
      <patternFill patternType="solid">
        <fgColor rgb="FFFFFF00"/>
        <bgColor indexed="64"/>
      </patternFill>
    </fill>
    <fill>
      <patternFill patternType="solid">
        <fgColor theme="0" tint="-0.34998626667073579"/>
        <bgColor indexed="64"/>
      </patternFill>
    </fill>
    <fill>
      <patternFill patternType="solid">
        <fgColor rgb="FFCE0058"/>
        <bgColor indexed="64"/>
      </patternFill>
    </fill>
    <fill>
      <patternFill patternType="solid">
        <fgColor rgb="FFD3DFE9"/>
        <bgColor indexed="64"/>
      </patternFill>
    </fill>
    <fill>
      <patternFill patternType="solid">
        <fgColor rgb="FF67A0B9"/>
        <bgColor indexed="64"/>
      </patternFill>
    </fill>
  </fills>
  <borders count="27">
    <border>
      <left/>
      <right/>
      <top/>
      <bottom/>
      <diagonal/>
    </border>
    <border>
      <left/>
      <right/>
      <top/>
      <bottom style="thin">
        <color theme="0"/>
      </bottom>
      <diagonal/>
    </border>
    <border>
      <left/>
      <right/>
      <top/>
      <bottom style="medium">
        <color rgb="FFCE0058"/>
      </bottom>
      <diagonal/>
    </border>
    <border>
      <left style="hair">
        <color rgb="FF7F7F7F"/>
      </left>
      <right style="hair">
        <color rgb="FF7F7F7F"/>
      </right>
      <top style="hair">
        <color rgb="FF7F7F7F"/>
      </top>
      <bottom style="hair">
        <color rgb="FF7F7F7F"/>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thin">
        <color rgb="FFCE0058"/>
      </bottom>
      <diagonal/>
    </border>
    <border>
      <left style="thin">
        <color theme="0"/>
      </left>
      <right style="thin">
        <color theme="0"/>
      </right>
      <top style="thin">
        <color theme="0"/>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double">
        <color rgb="FFFF8001"/>
      </bottom>
      <diagonal/>
    </border>
    <border>
      <left style="thin">
        <color theme="0"/>
      </left>
      <right style="thin">
        <color theme="0"/>
      </right>
      <top/>
      <bottom style="thin">
        <color theme="0"/>
      </bottom>
      <diagonal/>
    </border>
    <border>
      <left style="thin">
        <color theme="0" tint="-0.24994659260841701"/>
      </left>
      <right style="thin">
        <color theme="0" tint="-0.24994659260841701"/>
      </right>
      <top style="thin">
        <color theme="0" tint="-0.24994659260841701"/>
      </top>
      <bottom/>
      <diagonal/>
    </border>
    <border>
      <left/>
      <right/>
      <top style="thin">
        <color theme="0"/>
      </top>
      <bottom/>
      <diagonal/>
    </border>
    <border>
      <left style="thin">
        <color theme="0"/>
      </left>
      <right/>
      <top style="thin">
        <color theme="0"/>
      </top>
      <bottom style="thin">
        <color theme="0"/>
      </bottom>
      <diagonal/>
    </border>
    <border>
      <left style="thin">
        <color theme="0"/>
      </left>
      <right/>
      <top/>
      <bottom style="thin">
        <color theme="0"/>
      </bottom>
      <diagonal/>
    </border>
    <border>
      <left/>
      <right/>
      <top style="thin">
        <color theme="0"/>
      </top>
      <bottom style="thin">
        <color theme="0"/>
      </bottom>
      <diagonal/>
    </border>
    <border>
      <left style="thin">
        <color theme="0"/>
      </left>
      <right style="thin">
        <color theme="0"/>
      </right>
      <top/>
      <bottom/>
      <diagonal/>
    </border>
    <border>
      <left/>
      <right/>
      <top style="thin">
        <color rgb="FF4986A0"/>
      </top>
      <bottom style="double">
        <color rgb="FF4986A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left>
      <right style="thin">
        <color theme="0"/>
      </right>
      <top style="thin">
        <color rgb="FFFFFFFF"/>
      </top>
      <bottom style="thin">
        <color theme="0"/>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4659260841701"/>
      </left>
      <right/>
      <top/>
      <bottom/>
      <diagonal/>
    </border>
    <border>
      <left/>
      <right/>
      <top/>
      <bottom style="thin">
        <color indexed="64"/>
      </bottom>
      <diagonal/>
    </border>
  </borders>
  <cellStyleXfs count="44">
    <xf numFmtId="0" fontId="0" fillId="0" borderId="0">
      <alignment vertical="top"/>
    </xf>
    <xf numFmtId="0" fontId="14" fillId="2" borderId="0" applyNumberFormat="0" applyProtection="0">
      <alignment horizontal="left" vertical="center"/>
    </xf>
    <xf numFmtId="0" fontId="10" fillId="2" borderId="1" applyNumberFormat="0" applyProtection="0">
      <alignment horizontal="left" vertical="center"/>
    </xf>
    <xf numFmtId="0" fontId="2" fillId="0" borderId="2" applyNumberFormat="0" applyFill="0" applyProtection="0">
      <alignment horizontal="left" vertical="center"/>
    </xf>
    <xf numFmtId="0" fontId="3" fillId="0" borderId="0" applyNumberFormat="0" applyFill="0" applyProtection="0">
      <alignment horizontal="left" vertical="center"/>
    </xf>
    <xf numFmtId="0" fontId="14" fillId="2" borderId="0" applyProtection="0">
      <alignment horizontal="left" vertical="center"/>
    </xf>
    <xf numFmtId="0" fontId="5" fillId="0" borderId="0" applyFill="0" applyProtection="0">
      <alignment horizontal="left" vertical="center"/>
    </xf>
    <xf numFmtId="0" fontId="7" fillId="9" borderId="7" applyNumberFormat="0">
      <alignment horizontal="center" vertical="center"/>
      <protection locked="0"/>
    </xf>
    <xf numFmtId="0" fontId="8" fillId="0" borderId="3" applyNumberFormat="0" applyProtection="0">
      <alignment horizontal="center" vertical="center"/>
    </xf>
    <xf numFmtId="0" fontId="9" fillId="2" borderId="0" applyProtection="0">
      <alignment horizontal="left" vertical="center"/>
    </xf>
    <xf numFmtId="0" fontId="6" fillId="2" borderId="0">
      <alignment horizontal="left" vertical="center"/>
    </xf>
    <xf numFmtId="0" fontId="10" fillId="2" borderId="1" applyProtection="0">
      <alignment horizontal="left" vertical="center"/>
    </xf>
    <xf numFmtId="0" fontId="11" fillId="0" borderId="0">
      <alignment horizontal="center" vertical="center"/>
    </xf>
    <xf numFmtId="0" fontId="12" fillId="4" borderId="4" applyBorder="0">
      <alignment horizontal="left" vertical="center"/>
    </xf>
    <xf numFmtId="0" fontId="13" fillId="0" borderId="0">
      <alignment horizontal="center" vertical="top"/>
    </xf>
    <xf numFmtId="0" fontId="16" fillId="6" borderId="7">
      <alignment horizontal="center" vertical="center"/>
    </xf>
    <xf numFmtId="0" fontId="15" fillId="5" borderId="7">
      <alignment vertical="top"/>
    </xf>
    <xf numFmtId="0" fontId="21" fillId="5" borderId="7">
      <alignment vertical="top"/>
    </xf>
    <xf numFmtId="0" fontId="2" fillId="0" borderId="2" applyFill="0" applyProtection="0">
      <alignment horizontal="left" vertical="center"/>
    </xf>
    <xf numFmtId="166" fontId="26" fillId="5" borderId="7" applyAlignment="0" applyProtection="0"/>
    <xf numFmtId="0" fontId="18" fillId="10" borderId="5" applyNumberFormat="0" applyFont="0" applyAlignment="0" applyProtection="0"/>
    <xf numFmtId="0" fontId="19" fillId="0" borderId="0" applyNumberFormat="0" applyFill="0" applyBorder="0" applyProtection="0">
      <alignment vertical="top"/>
    </xf>
    <xf numFmtId="171" fontId="20" fillId="5" borderId="7" applyProtection="0">
      <alignment horizontal="center" vertical="top"/>
    </xf>
    <xf numFmtId="0" fontId="2" fillId="0" borderId="6" applyFill="0" applyProtection="0">
      <alignment horizontal="left" vertical="center"/>
    </xf>
    <xf numFmtId="0" fontId="23" fillId="8" borderId="7">
      <alignment horizontal="center" vertical="top"/>
    </xf>
    <xf numFmtId="0" fontId="18" fillId="0" borderId="8">
      <alignment vertical="top"/>
    </xf>
    <xf numFmtId="0" fontId="22" fillId="0" borderId="0">
      <alignment vertical="top"/>
    </xf>
    <xf numFmtId="0" fontId="14" fillId="2" borderId="0" applyNumberFormat="0" applyProtection="0">
      <alignment horizontal="left" vertical="center"/>
    </xf>
    <xf numFmtId="0" fontId="10" fillId="2" borderId="1" applyNumberFormat="0" applyProtection="0">
      <alignment horizontal="left" vertical="center"/>
    </xf>
    <xf numFmtId="0" fontId="2" fillId="0" borderId="2" applyNumberFormat="0" applyFill="0" applyProtection="0">
      <alignment horizontal="left" vertical="center"/>
    </xf>
    <xf numFmtId="0" fontId="3" fillId="0" borderId="0" applyNumberFormat="0" applyFill="0" applyProtection="0">
      <alignment horizontal="left" vertical="center"/>
    </xf>
    <xf numFmtId="0" fontId="4" fillId="0" borderId="0" applyFill="0" applyProtection="0">
      <alignment horizontal="left" vertical="center"/>
    </xf>
    <xf numFmtId="0" fontId="5" fillId="0" borderId="0" applyFill="0" applyProtection="0">
      <alignment horizontal="left" vertical="center"/>
    </xf>
    <xf numFmtId="0" fontId="7" fillId="0" borderId="8" applyAlignment="0" applyProtection="0">
      <alignment horizontal="left" vertical="center"/>
    </xf>
    <xf numFmtId="0" fontId="1" fillId="2" borderId="0">
      <alignment horizontal="center" vertical="center"/>
    </xf>
    <xf numFmtId="0" fontId="6" fillId="7" borderId="7">
      <alignment horizontal="center" vertical="center"/>
    </xf>
    <xf numFmtId="0" fontId="27" fillId="0" borderId="9" applyNumberFormat="0" applyFill="0" applyAlignment="0" applyProtection="0"/>
    <xf numFmtId="170" fontId="33" fillId="2" borderId="0">
      <alignment horizontal="left" vertical="center"/>
    </xf>
    <xf numFmtId="9" fontId="18" fillId="0" borderId="0" applyFont="0" applyFill="0" applyBorder="0" applyAlignment="0" applyProtection="0"/>
    <xf numFmtId="0" fontId="36" fillId="0" borderId="0">
      <alignment horizontal="left" vertical="center"/>
    </xf>
    <xf numFmtId="0" fontId="29" fillId="0" borderId="17" applyNumberFormat="0" applyFill="0" applyAlignment="0" applyProtection="0"/>
    <xf numFmtId="0" fontId="34" fillId="0" borderId="18">
      <alignment horizontal="left" vertical="center"/>
    </xf>
    <xf numFmtId="0" fontId="7" fillId="0" borderId="24" applyAlignment="0" applyProtection="0">
      <alignment horizontal="left" vertical="center"/>
    </xf>
    <xf numFmtId="0" fontId="37" fillId="0" borderId="0" applyNumberFormat="0" applyFill="0" applyBorder="0" applyAlignment="0" applyProtection="0">
      <alignment vertical="top"/>
    </xf>
  </cellStyleXfs>
  <cellXfs count="295">
    <xf numFmtId="0" fontId="0" fillId="0" borderId="0" xfId="0">
      <alignment vertical="top"/>
    </xf>
    <xf numFmtId="0" fontId="5" fillId="0" borderId="0" xfId="6">
      <alignment horizontal="left" vertical="center"/>
    </xf>
    <xf numFmtId="0" fontId="7" fillId="9" borderId="7" xfId="7">
      <alignment horizontal="center" vertical="center"/>
      <protection locked="0"/>
    </xf>
    <xf numFmtId="0" fontId="9" fillId="2" borderId="0" xfId="9">
      <alignment horizontal="left" vertical="center"/>
    </xf>
    <xf numFmtId="0" fontId="0" fillId="3" borderId="0" xfId="0" applyFill="1">
      <alignment vertical="top"/>
    </xf>
    <xf numFmtId="0" fontId="0" fillId="3" borderId="0" xfId="0" applyFill="1" applyAlignment="1">
      <alignment wrapText="1"/>
    </xf>
    <xf numFmtId="0" fontId="0" fillId="0" borderId="0" xfId="0" applyAlignment="1">
      <alignment horizontal="center"/>
    </xf>
    <xf numFmtId="0" fontId="0" fillId="0" borderId="0" xfId="0" applyAlignment="1">
      <alignment horizontal="right" vertical="center"/>
    </xf>
    <xf numFmtId="0" fontId="0" fillId="0" borderId="0" xfId="0" applyAlignment="1">
      <alignment horizontal="center" vertical="center"/>
    </xf>
    <xf numFmtId="0" fontId="11" fillId="0" borderId="0" xfId="12">
      <alignment horizontal="center" vertical="center"/>
    </xf>
    <xf numFmtId="0" fontId="0" fillId="0" borderId="0" xfId="0" applyAlignment="1">
      <alignment vertical="top" wrapText="1"/>
    </xf>
    <xf numFmtId="0" fontId="6" fillId="2" borderId="0" xfId="10" applyAlignment="1">
      <alignment horizontal="left" vertical="top" wrapText="1"/>
    </xf>
    <xf numFmtId="0" fontId="0" fillId="3" borderId="0" xfId="0" applyFill="1" applyAlignment="1">
      <alignment vertical="top" wrapText="1"/>
    </xf>
    <xf numFmtId="0" fontId="36" fillId="2" borderId="0" xfId="39" applyFill="1" applyAlignment="1">
      <alignment horizontal="left" vertical="top" wrapText="1"/>
    </xf>
    <xf numFmtId="0" fontId="36" fillId="2" borderId="0" xfId="39" applyFill="1" applyAlignment="1">
      <alignment horizontal="left" vertical="top"/>
    </xf>
    <xf numFmtId="15" fontId="7" fillId="9" borderId="7" xfId="7" applyNumberFormat="1">
      <alignment horizontal="center" vertical="center"/>
      <protection locked="0"/>
    </xf>
    <xf numFmtId="0" fontId="7" fillId="9" borderId="7" xfId="7" applyNumberFormat="1">
      <alignment horizontal="center" vertical="center"/>
      <protection locked="0"/>
    </xf>
    <xf numFmtId="0" fontId="13" fillId="0" borderId="0" xfId="14">
      <alignment horizontal="center" vertical="top"/>
    </xf>
    <xf numFmtId="0" fontId="16" fillId="6" borderId="7" xfId="15">
      <alignment horizontal="center" vertical="center"/>
    </xf>
    <xf numFmtId="0" fontId="36" fillId="2" borderId="0" xfId="39" quotePrefix="1" applyFill="1" applyAlignment="1">
      <alignment horizontal="left" vertical="top"/>
    </xf>
    <xf numFmtId="15" fontId="0" fillId="0" borderId="0" xfId="0" applyNumberFormat="1">
      <alignment vertical="top"/>
    </xf>
    <xf numFmtId="0" fontId="0" fillId="3" borderId="0" xfId="0" applyFill="1" applyAlignment="1">
      <alignment horizontal="center" vertical="top"/>
    </xf>
    <xf numFmtId="0" fontId="0" fillId="2" borderId="0" xfId="0" applyFill="1" applyAlignment="1">
      <alignment horizontal="center"/>
    </xf>
    <xf numFmtId="0" fontId="0" fillId="2" borderId="0" xfId="0" applyFill="1">
      <alignment vertical="top"/>
    </xf>
    <xf numFmtId="0" fontId="18" fillId="0" borderId="8" xfId="25">
      <alignment vertical="top"/>
    </xf>
    <xf numFmtId="171" fontId="20" fillId="5" borderId="7" xfId="22">
      <alignment horizontal="center" vertical="top"/>
    </xf>
    <xf numFmtId="0" fontId="14" fillId="2" borderId="0" xfId="5">
      <alignment horizontal="left" vertical="center"/>
    </xf>
    <xf numFmtId="0" fontId="10" fillId="2" borderId="1" xfId="11">
      <alignment horizontal="left" vertical="center"/>
    </xf>
    <xf numFmtId="0" fontId="10" fillId="2" borderId="1" xfId="11" applyAlignment="1">
      <alignment horizontal="center" vertical="center"/>
    </xf>
    <xf numFmtId="0" fontId="2" fillId="0" borderId="2" xfId="18">
      <alignment horizontal="left" vertical="center"/>
    </xf>
    <xf numFmtId="0" fontId="22" fillId="0" borderId="0" xfId="26">
      <alignment vertical="top"/>
    </xf>
    <xf numFmtId="0" fontId="14" fillId="2" borderId="0" xfId="5" applyAlignment="1">
      <alignment horizontal="center" vertical="center"/>
    </xf>
    <xf numFmtId="0" fontId="9" fillId="2" borderId="0" xfId="9" applyAlignment="1">
      <alignment horizontal="center" vertical="center"/>
    </xf>
    <xf numFmtId="0" fontId="6" fillId="2" borderId="0" xfId="10" applyAlignment="1">
      <alignment horizontal="center" vertical="top"/>
    </xf>
    <xf numFmtId="0" fontId="2" fillId="0" borderId="2" xfId="18" applyFill="1">
      <alignment horizontal="left" vertical="center"/>
    </xf>
    <xf numFmtId="0" fontId="0" fillId="0" borderId="0" xfId="0" applyAlignment="1">
      <alignment horizontal="center" vertical="top" wrapText="1"/>
    </xf>
    <xf numFmtId="0" fontId="5" fillId="0" borderId="0" xfId="6" applyAlignment="1">
      <alignment horizontal="center" vertical="center"/>
    </xf>
    <xf numFmtId="0" fontId="18" fillId="0" borderId="8" xfId="25" applyAlignment="1">
      <alignment vertical="top" wrapText="1"/>
    </xf>
    <xf numFmtId="0" fontId="28" fillId="2" borderId="0" xfId="5" applyFont="1" applyAlignment="1">
      <alignment horizontal="center" vertical="center"/>
    </xf>
    <xf numFmtId="0" fontId="7" fillId="9" borderId="7" xfId="7" applyAlignment="1">
      <alignment horizontal="right" vertical="center"/>
      <protection locked="0"/>
    </xf>
    <xf numFmtId="0" fontId="16" fillId="6" borderId="7" xfId="15" applyAlignment="1">
      <alignment horizontal="right" vertical="center"/>
    </xf>
    <xf numFmtId="0" fontId="22" fillId="0" borderId="0" xfId="26" applyAlignment="1">
      <alignment horizontal="right" vertical="center"/>
    </xf>
    <xf numFmtId="0" fontId="6" fillId="7" borderId="7" xfId="35">
      <alignment horizontal="center" vertical="center"/>
    </xf>
    <xf numFmtId="0" fontId="23" fillId="8" borderId="7" xfId="24">
      <alignment horizontal="center" vertical="top"/>
    </xf>
    <xf numFmtId="0" fontId="23" fillId="8" borderId="10" xfId="24" applyBorder="1">
      <alignment horizontal="center" vertical="top"/>
    </xf>
    <xf numFmtId="0" fontId="18" fillId="0" borderId="11" xfId="25" applyBorder="1">
      <alignment vertical="top"/>
    </xf>
    <xf numFmtId="15" fontId="18" fillId="0" borderId="8" xfId="25" applyNumberFormat="1" applyAlignment="1">
      <alignment horizontal="left" vertical="top"/>
    </xf>
    <xf numFmtId="2" fontId="7" fillId="9" borderId="13" xfId="7" applyNumberFormat="1" applyBorder="1">
      <alignment horizontal="center" vertical="center"/>
      <protection locked="0"/>
    </xf>
    <xf numFmtId="0" fontId="23" fillId="8" borderId="10" xfId="24" applyBorder="1" applyAlignment="1">
      <alignment horizontal="center" vertical="top"/>
    </xf>
    <xf numFmtId="0" fontId="23" fillId="8" borderId="14" xfId="24" applyBorder="1" applyAlignment="1">
      <alignment horizontal="center" vertical="top"/>
    </xf>
    <xf numFmtId="15" fontId="16" fillId="6" borderId="7" xfId="15" applyNumberFormat="1">
      <alignment horizontal="center" vertical="center"/>
    </xf>
    <xf numFmtId="0" fontId="23" fillId="8" borderId="7" xfId="24" applyAlignment="1">
      <alignment horizontal="right" vertical="top"/>
    </xf>
    <xf numFmtId="0" fontId="16" fillId="6" borderId="15" xfId="15" applyBorder="1" applyAlignment="1">
      <alignment horizontal="left" vertical="center"/>
    </xf>
    <xf numFmtId="0" fontId="23" fillId="8" borderId="1" xfId="24" applyBorder="1">
      <alignment horizontal="center" vertical="top"/>
    </xf>
    <xf numFmtId="0" fontId="16" fillId="6" borderId="12" xfId="15" applyBorder="1" applyAlignment="1">
      <alignment horizontal="left" vertical="center"/>
    </xf>
    <xf numFmtId="0" fontId="23" fillId="8" borderId="7" xfId="24" applyAlignment="1">
      <alignment horizontal="left" vertical="top"/>
    </xf>
    <xf numFmtId="167" fontId="7" fillId="9" borderId="7" xfId="7" applyNumberFormat="1" applyAlignment="1">
      <alignment horizontal="right" vertical="center"/>
      <protection locked="0"/>
    </xf>
    <xf numFmtId="10" fontId="7" fillId="0" borderId="8" xfId="33" applyNumberFormat="1" applyAlignment="1">
      <alignment vertical="top"/>
    </xf>
    <xf numFmtId="0" fontId="29" fillId="0" borderId="8" xfId="25" applyFont="1">
      <alignment vertical="top"/>
    </xf>
    <xf numFmtId="0" fontId="0" fillId="0" borderId="8" xfId="0" applyBorder="1">
      <alignment vertical="top"/>
    </xf>
    <xf numFmtId="0" fontId="0" fillId="0" borderId="8" xfId="25" applyFont="1">
      <alignment vertical="top"/>
    </xf>
    <xf numFmtId="0" fontId="23" fillId="8" borderId="10" xfId="24" applyBorder="1" applyAlignment="1">
      <alignment horizontal="right" vertical="top"/>
    </xf>
    <xf numFmtId="168" fontId="7" fillId="0" borderId="8" xfId="33" applyNumberFormat="1" applyAlignment="1">
      <alignment vertical="top"/>
    </xf>
    <xf numFmtId="168" fontId="15" fillId="5" borderId="7" xfId="16" applyNumberFormat="1">
      <alignment vertical="top"/>
    </xf>
    <xf numFmtId="2" fontId="7" fillId="9" borderId="7" xfId="7" applyNumberFormat="1" applyAlignment="1">
      <alignment horizontal="right" vertical="center"/>
      <protection locked="0"/>
    </xf>
    <xf numFmtId="167" fontId="18" fillId="0" borderId="8" xfId="25" applyNumberFormat="1">
      <alignment vertical="top"/>
    </xf>
    <xf numFmtId="2" fontId="18" fillId="0" borderId="8" xfId="25" applyNumberFormat="1">
      <alignment vertical="top"/>
    </xf>
    <xf numFmtId="2" fontId="0" fillId="0" borderId="8" xfId="25" applyNumberFormat="1" applyFont="1">
      <alignment vertical="top"/>
    </xf>
    <xf numFmtId="167" fontId="0" fillId="0" borderId="8" xfId="25" applyNumberFormat="1" applyFont="1">
      <alignment vertical="top"/>
    </xf>
    <xf numFmtId="0" fontId="29" fillId="0" borderId="8" xfId="0" applyFont="1" applyBorder="1">
      <alignment vertical="top"/>
    </xf>
    <xf numFmtId="9" fontId="7" fillId="9" borderId="7" xfId="7" applyNumberFormat="1">
      <alignment horizontal="center" vertical="center"/>
      <protection locked="0"/>
    </xf>
    <xf numFmtId="0" fontId="0" fillId="0" borderId="11" xfId="0" applyBorder="1">
      <alignment vertical="top"/>
    </xf>
    <xf numFmtId="10" fontId="7" fillId="0" borderId="11" xfId="33" applyNumberFormat="1" applyBorder="1" applyAlignment="1">
      <alignment vertical="top"/>
    </xf>
    <xf numFmtId="168" fontId="7" fillId="0" borderId="11" xfId="33" applyNumberFormat="1" applyBorder="1" applyAlignment="1">
      <alignment vertical="top"/>
    </xf>
    <xf numFmtId="165" fontId="7" fillId="0" borderId="8" xfId="33" applyNumberFormat="1" applyAlignment="1">
      <alignment vertical="top" wrapText="1"/>
    </xf>
    <xf numFmtId="168" fontId="17" fillId="0" borderId="8" xfId="33" applyNumberFormat="1" applyFont="1" applyAlignment="1">
      <alignment vertical="top" wrapText="1"/>
    </xf>
    <xf numFmtId="0" fontId="6" fillId="7" borderId="13" xfId="35" applyBorder="1">
      <alignment horizontal="center" vertical="center"/>
    </xf>
    <xf numFmtId="0" fontId="15" fillId="5" borderId="7" xfId="16">
      <alignment vertical="top"/>
    </xf>
    <xf numFmtId="168" fontId="7" fillId="0" borderId="8" xfId="33" applyNumberFormat="1" applyAlignment="1">
      <alignment vertical="top" wrapText="1"/>
    </xf>
    <xf numFmtId="168" fontId="0" fillId="0" borderId="0" xfId="0" applyNumberFormat="1">
      <alignment vertical="top"/>
    </xf>
    <xf numFmtId="169" fontId="0" fillId="0" borderId="0" xfId="0" applyNumberFormat="1">
      <alignment vertical="top"/>
    </xf>
    <xf numFmtId="169" fontId="7" fillId="0" borderId="8" xfId="33" applyNumberFormat="1" applyAlignment="1">
      <alignment vertical="top" wrapText="1"/>
    </xf>
    <xf numFmtId="0" fontId="4" fillId="0" borderId="0" xfId="31">
      <alignment horizontal="left" vertical="center"/>
    </xf>
    <xf numFmtId="0" fontId="6" fillId="7" borderId="7" xfId="35" applyAlignment="1">
      <alignment horizontal="left" vertical="center"/>
    </xf>
    <xf numFmtId="168" fontId="16" fillId="6" borderId="7" xfId="15" applyNumberFormat="1" applyAlignment="1">
      <alignment horizontal="right" vertical="center"/>
    </xf>
    <xf numFmtId="168" fontId="16" fillId="6" borderId="13" xfId="15" applyNumberFormat="1" applyBorder="1" applyAlignment="1">
      <alignment horizontal="right" vertical="center"/>
    </xf>
    <xf numFmtId="0" fontId="23" fillId="8" borderId="14" xfId="24" applyBorder="1" applyAlignment="1">
      <alignment horizontal="right" vertical="top"/>
    </xf>
    <xf numFmtId="167" fontId="7" fillId="0" borderId="8" xfId="33" applyNumberFormat="1" applyAlignment="1">
      <alignment vertical="top"/>
    </xf>
    <xf numFmtId="165" fontId="0" fillId="0" borderId="0" xfId="0" applyNumberFormat="1">
      <alignment vertical="top"/>
    </xf>
    <xf numFmtId="0" fontId="31" fillId="13" borderId="4" xfId="0" applyFont="1" applyFill="1" applyBorder="1" applyAlignment="1">
      <alignment horizontal="center" vertical="center"/>
    </xf>
    <xf numFmtId="0" fontId="32" fillId="11" borderId="4" xfId="0" applyFont="1" applyFill="1" applyBorder="1" applyAlignment="1">
      <alignment horizontal="center" vertical="center"/>
    </xf>
    <xf numFmtId="0" fontId="32" fillId="2" borderId="4" xfId="0" applyFont="1" applyFill="1" applyBorder="1" applyAlignment="1">
      <alignment horizontal="center" vertical="center"/>
    </xf>
    <xf numFmtId="0" fontId="32" fillId="12" borderId="4" xfId="0" applyFont="1" applyFill="1" applyBorder="1" applyAlignment="1">
      <alignment horizontal="center" vertical="center"/>
    </xf>
    <xf numFmtId="0" fontId="32" fillId="14" borderId="4" xfId="0" applyFont="1" applyFill="1" applyBorder="1" applyAlignment="1">
      <alignment horizontal="center" vertical="center"/>
    </xf>
    <xf numFmtId="171" fontId="20" fillId="5" borderId="7" xfId="22" applyAlignment="1">
      <alignment horizontal="right" vertical="top"/>
    </xf>
    <xf numFmtId="168" fontId="15" fillId="5" borderId="13" xfId="16" applyNumberFormat="1" applyBorder="1">
      <alignment vertical="top"/>
    </xf>
    <xf numFmtId="171" fontId="20" fillId="5" borderId="7" xfId="22" applyAlignment="1">
      <alignment horizontal="center" vertical="center"/>
    </xf>
    <xf numFmtId="0" fontId="23" fillId="2" borderId="0" xfId="9" applyFont="1" applyAlignment="1">
      <alignment horizontal="center"/>
    </xf>
    <xf numFmtId="0" fontId="18" fillId="0" borderId="8" xfId="25" applyAlignment="1">
      <alignment horizontal="left" vertical="top"/>
    </xf>
    <xf numFmtId="15" fontId="16" fillId="6" borderId="7" xfId="15" applyNumberFormat="1" applyAlignment="1">
      <alignment horizontal="right" vertical="center"/>
    </xf>
    <xf numFmtId="15" fontId="7" fillId="9" borderId="7" xfId="7" applyNumberFormat="1" applyAlignment="1">
      <alignment horizontal="right" vertical="center"/>
      <protection locked="0"/>
    </xf>
    <xf numFmtId="10" fontId="15" fillId="5" borderId="7" xfId="16" applyNumberFormat="1">
      <alignment vertical="top"/>
    </xf>
    <xf numFmtId="167" fontId="15" fillId="5" borderId="7" xfId="16" applyNumberFormat="1">
      <alignment vertical="top"/>
    </xf>
    <xf numFmtId="164" fontId="18" fillId="0" borderId="8" xfId="25" applyNumberFormat="1" applyAlignment="1">
      <alignment vertical="top" wrapText="1"/>
    </xf>
    <xf numFmtId="164" fontId="18" fillId="0" borderId="8" xfId="25" applyNumberFormat="1">
      <alignment vertical="top"/>
    </xf>
    <xf numFmtId="0" fontId="18" fillId="0" borderId="8" xfId="25" applyAlignment="1">
      <alignment horizontal="center" vertical="top"/>
    </xf>
    <xf numFmtId="164" fontId="15" fillId="5" borderId="7" xfId="16" applyNumberFormat="1">
      <alignment vertical="top"/>
    </xf>
    <xf numFmtId="15" fontId="18" fillId="0" borderId="8" xfId="25" applyNumberFormat="1" applyFill="1" applyAlignment="1">
      <alignment horizontal="left" vertical="top"/>
    </xf>
    <xf numFmtId="0" fontId="22" fillId="0" borderId="0" xfId="26" applyAlignment="1">
      <alignment horizontal="right" vertical="top"/>
    </xf>
    <xf numFmtId="172" fontId="0" fillId="0" borderId="0" xfId="0" applyNumberFormat="1">
      <alignment vertical="top"/>
    </xf>
    <xf numFmtId="173" fontId="0" fillId="0" borderId="0" xfId="0" applyNumberFormat="1">
      <alignment vertical="top"/>
    </xf>
    <xf numFmtId="166" fontId="26" fillId="5" borderId="7" xfId="19" applyAlignment="1">
      <alignment vertical="top" wrapText="1"/>
    </xf>
    <xf numFmtId="0" fontId="18" fillId="10" borderId="8" xfId="25" applyFill="1">
      <alignment vertical="top"/>
    </xf>
    <xf numFmtId="0" fontId="6" fillId="7" borderId="7" xfId="35" applyAlignment="1">
      <alignment horizontal="center" vertical="center"/>
    </xf>
    <xf numFmtId="10" fontId="0" fillId="0" borderId="0" xfId="0" applyNumberFormat="1">
      <alignment vertical="top"/>
    </xf>
    <xf numFmtId="9" fontId="18" fillId="0" borderId="8" xfId="25" applyNumberFormat="1">
      <alignment vertical="top"/>
    </xf>
    <xf numFmtId="0" fontId="23" fillId="8" borderId="16" xfId="24" applyBorder="1">
      <alignment horizontal="center" vertical="top"/>
    </xf>
    <xf numFmtId="0" fontId="0" fillId="0" borderId="0" xfId="0" applyBorder="1">
      <alignment vertical="top"/>
    </xf>
    <xf numFmtId="0" fontId="18" fillId="0" borderId="8" xfId="25" applyFont="1">
      <alignment vertical="top"/>
    </xf>
    <xf numFmtId="0" fontId="18" fillId="0" borderId="11" xfId="25" applyFont="1" applyBorder="1">
      <alignment vertical="top"/>
    </xf>
    <xf numFmtId="9" fontId="0" fillId="0" borderId="0" xfId="0" applyNumberFormat="1">
      <alignment vertical="top"/>
    </xf>
    <xf numFmtId="167" fontId="16" fillId="6" borderId="7" xfId="15" applyNumberFormat="1" applyAlignment="1">
      <alignment horizontal="right" vertical="center"/>
    </xf>
    <xf numFmtId="165" fontId="18" fillId="0" borderId="8" xfId="25" applyNumberFormat="1" applyAlignment="1">
      <alignment vertical="top" wrapText="1"/>
    </xf>
    <xf numFmtId="164" fontId="0" fillId="0" borderId="0" xfId="0" applyNumberFormat="1">
      <alignment vertical="top"/>
    </xf>
    <xf numFmtId="174" fontId="0" fillId="0" borderId="0" xfId="0" applyNumberFormat="1">
      <alignment vertical="top"/>
    </xf>
    <xf numFmtId="0" fontId="23" fillId="2" borderId="0" xfId="9" applyFont="1" applyAlignment="1">
      <alignment horizontal="left"/>
    </xf>
    <xf numFmtId="9" fontId="0" fillId="0" borderId="8" xfId="25" applyNumberFormat="1" applyFont="1">
      <alignment vertical="top"/>
    </xf>
    <xf numFmtId="0" fontId="36" fillId="0" borderId="0" xfId="39">
      <alignment horizontal="left" vertical="center"/>
    </xf>
    <xf numFmtId="0" fontId="18" fillId="0" borderId="8" xfId="25" applyFill="1">
      <alignment vertical="top"/>
    </xf>
    <xf numFmtId="0" fontId="23" fillId="8" borderId="7" xfId="24" applyAlignment="1">
      <alignment horizontal="center" vertical="top"/>
    </xf>
    <xf numFmtId="3" fontId="7" fillId="9" borderId="7" xfId="7" applyNumberFormat="1" applyAlignment="1">
      <alignment horizontal="right" vertical="center"/>
      <protection locked="0"/>
    </xf>
    <xf numFmtId="172" fontId="18" fillId="0" borderId="8" xfId="25" applyNumberFormat="1">
      <alignment vertical="top"/>
    </xf>
    <xf numFmtId="172" fontId="0" fillId="0" borderId="8" xfId="25" applyNumberFormat="1" applyFont="1">
      <alignment vertical="top"/>
    </xf>
    <xf numFmtId="175" fontId="18" fillId="0" borderId="8" xfId="25" applyNumberFormat="1" applyAlignment="1">
      <alignment horizontal="center" vertical="top"/>
    </xf>
    <xf numFmtId="0" fontId="16" fillId="6" borderId="7" xfId="15" applyAlignment="1">
      <alignment horizontal="left" vertical="center"/>
    </xf>
    <xf numFmtId="164" fontId="0" fillId="0" borderId="8" xfId="25" applyNumberFormat="1" applyFont="1" applyAlignment="1">
      <alignment vertical="top" wrapText="1"/>
    </xf>
    <xf numFmtId="0" fontId="0" fillId="0" borderId="0" xfId="0" applyAlignment="1">
      <alignment horizontal="right" vertical="top"/>
    </xf>
    <xf numFmtId="3" fontId="0" fillId="0" borderId="0" xfId="0" applyNumberFormat="1">
      <alignment vertical="top"/>
    </xf>
    <xf numFmtId="0" fontId="0" fillId="0" borderId="0" xfId="0" applyAlignment="1">
      <alignment horizontal="center" vertical="top"/>
    </xf>
    <xf numFmtId="2" fontId="18" fillId="0" borderId="8" xfId="25" applyNumberFormat="1" applyFill="1">
      <alignment vertical="top"/>
    </xf>
    <xf numFmtId="0" fontId="23" fillId="8" borderId="7" xfId="24" applyNumberFormat="1" applyFont="1" applyFill="1" applyBorder="1" applyAlignment="1">
      <alignment vertical="top"/>
    </xf>
    <xf numFmtId="0" fontId="23" fillId="8" borderId="10" xfId="24" applyNumberFormat="1" applyFont="1" applyFill="1" applyBorder="1" applyAlignment="1">
      <alignment vertical="top"/>
    </xf>
    <xf numFmtId="0" fontId="23" fillId="8" borderId="10" xfId="24" applyNumberFormat="1" applyFont="1" applyFill="1" applyBorder="1" applyAlignment="1">
      <alignment horizontal="right" vertical="top"/>
    </xf>
    <xf numFmtId="165" fontId="7" fillId="0" borderId="8" xfId="33" applyNumberFormat="1" applyAlignment="1">
      <alignment vertical="top"/>
    </xf>
    <xf numFmtId="164" fontId="7" fillId="0" borderId="8" xfId="33" applyNumberFormat="1" applyAlignment="1">
      <alignment vertical="top"/>
    </xf>
    <xf numFmtId="0" fontId="6" fillId="7" borderId="7" xfId="35" applyAlignment="1">
      <alignment horizontal="center" vertical="center" wrapText="1"/>
    </xf>
    <xf numFmtId="164" fontId="7" fillId="0" borderId="8" xfId="33" applyNumberFormat="1" applyAlignment="1">
      <alignment horizontal="right" vertical="top"/>
    </xf>
    <xf numFmtId="2" fontId="0" fillId="0" borderId="0" xfId="0" applyNumberFormat="1">
      <alignment vertical="top"/>
    </xf>
    <xf numFmtId="0" fontId="18" fillId="0" borderId="0" xfId="25" applyBorder="1">
      <alignment vertical="top"/>
    </xf>
    <xf numFmtId="0" fontId="0" fillId="0" borderId="8" xfId="25" applyFont="1" applyBorder="1">
      <alignment vertical="top"/>
    </xf>
    <xf numFmtId="0" fontId="0" fillId="0" borderId="0" xfId="25" applyFont="1" applyBorder="1">
      <alignment vertical="top"/>
    </xf>
    <xf numFmtId="0" fontId="0" fillId="0" borderId="8" xfId="25" applyFont="1" applyAlignment="1">
      <alignment horizontal="left" vertical="top" indent="1"/>
    </xf>
    <xf numFmtId="2" fontId="29" fillId="0" borderId="8" xfId="25" applyNumberFormat="1" applyFont="1">
      <alignment vertical="top"/>
    </xf>
    <xf numFmtId="0" fontId="5" fillId="0" borderId="0" xfId="32">
      <alignment horizontal="left" vertical="center"/>
    </xf>
    <xf numFmtId="165" fontId="15" fillId="5" borderId="7" xfId="16" applyNumberFormat="1">
      <alignment vertical="top"/>
    </xf>
    <xf numFmtId="168" fontId="0" fillId="0" borderId="8" xfId="25" applyNumberFormat="1" applyFont="1">
      <alignment vertical="top"/>
    </xf>
    <xf numFmtId="167" fontId="18" fillId="0" borderId="8" xfId="25" applyNumberFormat="1" applyAlignment="1">
      <alignment horizontal="right" vertical="top"/>
    </xf>
    <xf numFmtId="10" fontId="18" fillId="0" borderId="8" xfId="25" applyNumberFormat="1" applyAlignment="1">
      <alignment horizontal="right" vertical="top"/>
    </xf>
    <xf numFmtId="0" fontId="23" fillId="8" borderId="7" xfId="24" applyNumberFormat="1" applyFont="1" applyFill="1" applyBorder="1" applyAlignment="1">
      <alignment horizontal="right" vertical="top"/>
    </xf>
    <xf numFmtId="9" fontId="7" fillId="0" borderId="8" xfId="33" applyNumberFormat="1" applyAlignment="1">
      <alignment vertical="top"/>
    </xf>
    <xf numFmtId="0" fontId="23" fillId="8" borderId="19" xfId="24" applyNumberFormat="1" applyFont="1" applyFill="1" applyBorder="1" applyAlignment="1">
      <alignment vertical="top"/>
    </xf>
    <xf numFmtId="0" fontId="23" fillId="8" borderId="19" xfId="24" applyBorder="1">
      <alignment horizontal="center" vertical="top"/>
    </xf>
    <xf numFmtId="177" fontId="15" fillId="5" borderId="7" xfId="16" applyNumberFormat="1">
      <alignment vertical="top"/>
    </xf>
    <xf numFmtId="178" fontId="15" fillId="5" borderId="7" xfId="16" applyNumberFormat="1">
      <alignment vertical="top"/>
    </xf>
    <xf numFmtId="177" fontId="0" fillId="0" borderId="8" xfId="25" applyNumberFormat="1" applyFont="1">
      <alignment vertical="top"/>
    </xf>
    <xf numFmtId="179" fontId="0" fillId="0" borderId="8" xfId="25" applyNumberFormat="1" applyFont="1">
      <alignment vertical="top"/>
    </xf>
    <xf numFmtId="165" fontId="17" fillId="0" borderId="8" xfId="33" applyNumberFormat="1" applyFont="1" applyAlignment="1">
      <alignment vertical="top"/>
    </xf>
    <xf numFmtId="165" fontId="29" fillId="0" borderId="8" xfId="25" applyNumberFormat="1" applyFont="1">
      <alignment vertical="top"/>
    </xf>
    <xf numFmtId="165" fontId="0" fillId="0" borderId="8" xfId="25" applyNumberFormat="1" applyFont="1">
      <alignment vertical="top"/>
    </xf>
    <xf numFmtId="165" fontId="7" fillId="0" borderId="8" xfId="33" applyNumberFormat="1" applyFont="1" applyAlignment="1">
      <alignment vertical="top"/>
    </xf>
    <xf numFmtId="168" fontId="18" fillId="0" borderId="8" xfId="25" applyNumberFormat="1">
      <alignment vertical="top"/>
    </xf>
    <xf numFmtId="0" fontId="16" fillId="6" borderId="21" xfId="15" applyBorder="1" applyAlignment="1">
      <alignment horizontal="left" vertical="center"/>
    </xf>
    <xf numFmtId="0" fontId="16" fillId="6" borderId="13" xfId="15" applyBorder="1" applyAlignment="1">
      <alignment horizontal="left" vertical="center"/>
    </xf>
    <xf numFmtId="0" fontId="23" fillId="8" borderId="22" xfId="24" applyBorder="1">
      <alignment horizontal="center" vertical="top"/>
    </xf>
    <xf numFmtId="0" fontId="23" fillId="8" borderId="14" xfId="24" applyBorder="1">
      <alignment horizontal="center" vertical="top"/>
    </xf>
    <xf numFmtId="0" fontId="16" fillId="6" borderId="20" xfId="15" applyBorder="1" applyAlignment="1">
      <alignment horizontal="left" vertical="center"/>
    </xf>
    <xf numFmtId="0" fontId="16" fillId="6" borderId="23" xfId="15" applyBorder="1" applyAlignment="1">
      <alignment horizontal="left" vertical="center"/>
    </xf>
    <xf numFmtId="0" fontId="0" fillId="0" borderId="0" xfId="0" applyAlignment="1">
      <alignment horizontal="left" vertical="top"/>
    </xf>
    <xf numFmtId="0" fontId="23" fillId="8" borderId="10" xfId="24" applyNumberFormat="1" applyFont="1" applyFill="1" applyBorder="1" applyAlignment="1">
      <alignment horizontal="center" vertical="top"/>
    </xf>
    <xf numFmtId="9" fontId="6" fillId="7" borderId="7" xfId="35" applyNumberFormat="1">
      <alignment horizontal="center" vertical="center"/>
    </xf>
    <xf numFmtId="9" fontId="6" fillId="7" borderId="13" xfId="35" applyNumberFormat="1" applyBorder="1">
      <alignment horizontal="center" vertical="center"/>
    </xf>
    <xf numFmtId="0" fontId="23" fillId="8" borderId="14" xfId="24" applyNumberFormat="1" applyFont="1" applyFill="1" applyBorder="1" applyAlignment="1">
      <alignment horizontal="center" vertical="top"/>
    </xf>
    <xf numFmtId="166" fontId="26" fillId="5" borderId="7" xfId="19" applyAlignment="1">
      <alignment vertical="top"/>
    </xf>
    <xf numFmtId="3" fontId="0" fillId="0" borderId="8" xfId="25" applyNumberFormat="1" applyFont="1">
      <alignment vertical="top"/>
    </xf>
    <xf numFmtId="1" fontId="0" fillId="0" borderId="8" xfId="25" applyNumberFormat="1" applyFont="1">
      <alignment vertical="top"/>
    </xf>
    <xf numFmtId="0" fontId="0" fillId="0" borderId="11" xfId="25" applyFont="1" applyBorder="1">
      <alignment vertical="top"/>
    </xf>
    <xf numFmtId="0" fontId="7" fillId="9" borderId="13" xfId="7" applyBorder="1">
      <alignment horizontal="center" vertical="center"/>
      <protection locked="0"/>
    </xf>
    <xf numFmtId="0" fontId="6" fillId="7" borderId="23" xfId="35" applyBorder="1" applyAlignment="1">
      <alignment horizontal="left" vertical="center"/>
    </xf>
    <xf numFmtId="3" fontId="0" fillId="0" borderId="11" xfId="25" applyNumberFormat="1" applyFont="1" applyBorder="1">
      <alignment vertical="top"/>
    </xf>
    <xf numFmtId="15" fontId="15" fillId="5" borderId="7" xfId="16" applyNumberFormat="1">
      <alignment vertical="top"/>
    </xf>
    <xf numFmtId="3" fontId="0" fillId="0" borderId="0" xfId="25" applyNumberFormat="1" applyFont="1" applyBorder="1">
      <alignment vertical="top"/>
    </xf>
    <xf numFmtId="3" fontId="0" fillId="0" borderId="8" xfId="25" applyNumberFormat="1" applyFont="1" applyBorder="1">
      <alignment vertical="top"/>
    </xf>
    <xf numFmtId="2" fontId="7" fillId="9" borderId="23" xfId="7" applyNumberFormat="1" applyBorder="1" applyAlignment="1">
      <alignment horizontal="right" vertical="center"/>
      <protection locked="0"/>
    </xf>
    <xf numFmtId="3" fontId="7" fillId="9" borderId="23" xfId="7" applyNumberFormat="1" applyBorder="1" applyAlignment="1">
      <alignment horizontal="right" vertical="center"/>
      <protection locked="0"/>
    </xf>
    <xf numFmtId="0" fontId="18" fillId="0" borderId="8" xfId="25" applyFill="1" applyBorder="1">
      <alignment vertical="top"/>
    </xf>
    <xf numFmtId="0" fontId="18" fillId="0" borderId="8" xfId="25" applyFill="1" applyBorder="1" applyAlignment="1">
      <alignment horizontal="center" vertical="top"/>
    </xf>
    <xf numFmtId="0" fontId="18" fillId="0" borderId="8" xfId="25" applyAlignment="1">
      <alignment horizontal="right" vertical="top"/>
    </xf>
    <xf numFmtId="175" fontId="11" fillId="0" borderId="0" xfId="12" applyNumberFormat="1">
      <alignment horizontal="center" vertical="center"/>
    </xf>
    <xf numFmtId="0" fontId="0" fillId="0" borderId="8" xfId="25" applyFont="1" applyFill="1">
      <alignment vertical="top"/>
    </xf>
    <xf numFmtId="0" fontId="23" fillId="8" borderId="10" xfId="24" applyBorder="1" applyAlignment="1">
      <alignment horizontal="left" vertical="top"/>
    </xf>
    <xf numFmtId="168" fontId="15" fillId="5" borderId="7" xfId="16" applyNumberFormat="1" applyAlignment="1">
      <alignment vertical="top" wrapText="1"/>
    </xf>
    <xf numFmtId="171" fontId="20" fillId="5" borderId="7" xfId="22" applyAlignment="1">
      <alignment horizontal="right" vertical="top" wrapText="1"/>
    </xf>
    <xf numFmtId="0" fontId="6" fillId="7" borderId="7" xfId="35" applyAlignment="1">
      <alignment horizontal="center" vertical="top" wrapText="1"/>
    </xf>
    <xf numFmtId="167" fontId="7" fillId="0" borderId="11" xfId="33" applyNumberFormat="1" applyBorder="1" applyAlignment="1">
      <alignment vertical="top"/>
    </xf>
    <xf numFmtId="172" fontId="16" fillId="6" borderId="7" xfId="15" applyNumberFormat="1" applyAlignment="1">
      <alignment horizontal="right" vertical="center"/>
    </xf>
    <xf numFmtId="172" fontId="7" fillId="9" borderId="7" xfId="7" applyNumberFormat="1" applyAlignment="1">
      <alignment horizontal="right" vertical="center"/>
      <protection locked="0"/>
    </xf>
    <xf numFmtId="164" fontId="16" fillId="6" borderId="7" xfId="15" applyNumberFormat="1" applyAlignment="1">
      <alignment horizontal="right" vertical="center"/>
    </xf>
    <xf numFmtId="164" fontId="16" fillId="6" borderId="13" xfId="15" applyNumberFormat="1" applyBorder="1" applyAlignment="1">
      <alignment horizontal="right" vertical="center"/>
    </xf>
    <xf numFmtId="0" fontId="23" fillId="8" borderId="7" xfId="24" applyNumberFormat="1" applyFont="1" applyFill="1" applyBorder="1" applyAlignment="1">
      <alignment horizontal="center" vertical="top"/>
    </xf>
    <xf numFmtId="0" fontId="23" fillId="8" borderId="7" xfId="24" applyNumberFormat="1" applyFont="1" applyFill="1" applyBorder="1" applyAlignment="1">
      <alignment horizontal="left" vertical="top"/>
    </xf>
    <xf numFmtId="164" fontId="18" fillId="0" borderId="8" xfId="25" applyNumberFormat="1" applyFill="1" applyAlignment="1">
      <alignment vertical="top" wrapText="1"/>
    </xf>
    <xf numFmtId="164" fontId="18" fillId="0" borderId="8" xfId="25" applyNumberFormat="1" applyFill="1">
      <alignment vertical="top"/>
    </xf>
    <xf numFmtId="164" fontId="15" fillId="5" borderId="7" xfId="16" applyNumberFormat="1" applyAlignment="1">
      <alignment horizontal="right" vertical="top"/>
    </xf>
    <xf numFmtId="164" fontId="35" fillId="5" borderId="7" xfId="16" applyNumberFormat="1" applyFont="1">
      <alignment vertical="top"/>
    </xf>
    <xf numFmtId="0" fontId="29" fillId="0" borderId="0" xfId="0" applyFont="1">
      <alignment vertical="top"/>
    </xf>
    <xf numFmtId="164" fontId="17" fillId="0" borderId="8" xfId="33" applyNumberFormat="1" applyFont="1" applyAlignment="1">
      <alignment vertical="top"/>
    </xf>
    <xf numFmtId="174" fontId="17" fillId="0" borderId="8" xfId="33" applyNumberFormat="1" applyFont="1" applyAlignment="1">
      <alignment vertical="top"/>
    </xf>
    <xf numFmtId="180" fontId="7" fillId="0" borderId="8" xfId="33" applyNumberFormat="1" applyAlignment="1">
      <alignment vertical="top"/>
    </xf>
    <xf numFmtId="166" fontId="26" fillId="5" borderId="7" xfId="19" applyAlignment="1">
      <alignment horizontal="center" vertical="top"/>
    </xf>
    <xf numFmtId="0" fontId="6" fillId="7" borderId="7" xfId="35" applyAlignment="1">
      <alignment horizontal="right" vertical="center"/>
    </xf>
    <xf numFmtId="174" fontId="29" fillId="0" borderId="8" xfId="25" applyNumberFormat="1" applyFont="1">
      <alignment vertical="top"/>
    </xf>
    <xf numFmtId="180" fontId="7" fillId="0" borderId="8" xfId="33" applyNumberFormat="1" applyAlignment="1">
      <alignment horizontal="right" vertical="top"/>
    </xf>
    <xf numFmtId="174" fontId="7" fillId="0" borderId="8" xfId="33" applyNumberFormat="1" applyAlignment="1">
      <alignment vertical="top"/>
    </xf>
    <xf numFmtId="0" fontId="23" fillId="8" borderId="19" xfId="24" applyBorder="1" applyAlignment="1">
      <alignment horizontal="right" vertical="top"/>
    </xf>
    <xf numFmtId="0" fontId="0" fillId="0" borderId="8" xfId="25" applyFont="1" applyAlignment="1">
      <alignment horizontal="center" vertical="top"/>
    </xf>
    <xf numFmtId="9" fontId="0" fillId="0" borderId="0" xfId="38" applyFont="1" applyAlignment="1">
      <alignment vertical="top"/>
    </xf>
    <xf numFmtId="0" fontId="0" fillId="0" borderId="0" xfId="0" applyFont="1">
      <alignment vertical="top"/>
    </xf>
    <xf numFmtId="9" fontId="18" fillId="0" borderId="0" xfId="38" applyFont="1" applyAlignment="1">
      <alignment vertical="top"/>
    </xf>
    <xf numFmtId="0" fontId="0" fillId="0" borderId="0" xfId="0" applyNumberFormat="1">
      <alignment vertical="top"/>
    </xf>
    <xf numFmtId="0" fontId="7" fillId="0" borderId="8" xfId="33" applyFill="1" applyAlignment="1">
      <alignment vertical="top"/>
    </xf>
    <xf numFmtId="164" fontId="18" fillId="0" borderId="11" xfId="25" applyNumberFormat="1" applyBorder="1">
      <alignment vertical="top"/>
    </xf>
    <xf numFmtId="174" fontId="7" fillId="0" borderId="25" xfId="33" applyNumberFormat="1" applyFill="1" applyBorder="1" applyAlignment="1">
      <alignment vertical="top"/>
    </xf>
    <xf numFmtId="174" fontId="7" fillId="0" borderId="0" xfId="33" applyNumberFormat="1" applyFill="1" applyBorder="1" applyAlignment="1">
      <alignment horizontal="right" vertical="top"/>
    </xf>
    <xf numFmtId="9" fontId="17" fillId="0" borderId="8" xfId="33" applyNumberFormat="1" applyFont="1" applyAlignment="1">
      <alignment vertical="top"/>
    </xf>
    <xf numFmtId="167" fontId="0" fillId="0" borderId="0" xfId="0" applyNumberFormat="1">
      <alignment vertical="top"/>
    </xf>
    <xf numFmtId="176" fontId="0" fillId="0" borderId="0" xfId="0" applyNumberFormat="1">
      <alignment vertical="top"/>
    </xf>
    <xf numFmtId="165" fontId="7" fillId="0" borderId="8" xfId="33" applyNumberFormat="1" applyAlignment="1">
      <alignment vertical="top"/>
    </xf>
    <xf numFmtId="181" fontId="0" fillId="0" borderId="0" xfId="0" applyNumberFormat="1">
      <alignment vertical="top"/>
    </xf>
    <xf numFmtId="182" fontId="0" fillId="0" borderId="0" xfId="0" applyNumberFormat="1">
      <alignment vertical="top"/>
    </xf>
    <xf numFmtId="9" fontId="7" fillId="0" borderId="8" xfId="33" applyNumberFormat="1" applyFill="1" applyAlignment="1">
      <alignment vertical="top"/>
    </xf>
    <xf numFmtId="3" fontId="7" fillId="0" borderId="8" xfId="33" applyNumberFormat="1" applyFill="1" applyAlignment="1">
      <alignment vertical="top"/>
    </xf>
    <xf numFmtId="4" fontId="0" fillId="0" borderId="8" xfId="25" applyNumberFormat="1" applyFont="1">
      <alignment vertical="top"/>
    </xf>
    <xf numFmtId="165" fontId="0" fillId="0" borderId="0" xfId="0" applyNumberFormat="1">
      <alignment vertical="top"/>
    </xf>
    <xf numFmtId="165" fontId="17" fillId="0" borderId="8" xfId="33" applyNumberFormat="1" applyFont="1" applyAlignment="1">
      <alignment horizontal="right" vertical="top"/>
    </xf>
    <xf numFmtId="183" fontId="0" fillId="0" borderId="0" xfId="0" applyNumberFormat="1">
      <alignment vertical="top"/>
    </xf>
    <xf numFmtId="0" fontId="0" fillId="0" borderId="0" xfId="0" applyFill="1">
      <alignment vertical="top"/>
    </xf>
    <xf numFmtId="0" fontId="0" fillId="2" borderId="0" xfId="0" applyFill="1" applyAlignment="1">
      <alignment horizontal="left" vertical="top"/>
    </xf>
    <xf numFmtId="0" fontId="14" fillId="2" borderId="0" xfId="5" applyAlignment="1">
      <alignment horizontal="left" vertical="center"/>
    </xf>
    <xf numFmtId="0" fontId="10" fillId="2" borderId="1" xfId="11" applyAlignment="1">
      <alignment horizontal="left" vertical="center"/>
    </xf>
    <xf numFmtId="0" fontId="2" fillId="0" borderId="2" xfId="18" applyAlignment="1">
      <alignment horizontal="left" vertical="center"/>
    </xf>
    <xf numFmtId="15" fontId="0" fillId="2" borderId="0" xfId="0" applyNumberFormat="1" applyFill="1">
      <alignment vertical="top"/>
    </xf>
    <xf numFmtId="15" fontId="14" fillId="2" borderId="0" xfId="5" applyNumberFormat="1">
      <alignment horizontal="left" vertical="center"/>
    </xf>
    <xf numFmtId="15" fontId="10" fillId="2" borderId="1" xfId="11" applyNumberFormat="1">
      <alignment horizontal="left" vertical="center"/>
    </xf>
    <xf numFmtId="15" fontId="2" fillId="0" borderId="2" xfId="18" applyNumberFormat="1">
      <alignment horizontal="left" vertical="center"/>
    </xf>
    <xf numFmtId="15" fontId="18" fillId="0" borderId="8" xfId="25" applyNumberFormat="1" applyAlignment="1">
      <alignment horizontal="center" vertical="top"/>
    </xf>
    <xf numFmtId="0" fontId="0" fillId="2" borderId="0" xfId="0" applyFill="1" applyAlignment="1">
      <alignment horizontal="center" vertical="top"/>
    </xf>
    <xf numFmtId="0" fontId="2" fillId="0" borderId="2" xfId="18" applyAlignment="1">
      <alignment horizontal="center" vertical="center"/>
    </xf>
    <xf numFmtId="14" fontId="18" fillId="0" borderId="8" xfId="25" applyNumberFormat="1" applyAlignment="1">
      <alignment horizontal="center" vertical="top"/>
    </xf>
    <xf numFmtId="184" fontId="20" fillId="5" borderId="7" xfId="22" applyNumberFormat="1">
      <alignment horizontal="center" vertical="top"/>
    </xf>
    <xf numFmtId="184" fontId="20" fillId="5" borderId="7" xfId="22" applyNumberFormat="1" applyAlignment="1">
      <alignment horizontal="left"/>
    </xf>
    <xf numFmtId="185" fontId="0" fillId="0" borderId="0" xfId="0" applyNumberFormat="1">
      <alignment vertical="top"/>
    </xf>
    <xf numFmtId="165" fontId="0" fillId="0" borderId="0" xfId="0" applyNumberFormat="1" applyAlignment="1">
      <alignment horizontal="right" vertical="top"/>
    </xf>
    <xf numFmtId="186" fontId="7" fillId="9" borderId="7" xfId="7" applyNumberFormat="1" applyAlignment="1">
      <alignment horizontal="right" vertical="center"/>
      <protection locked="0"/>
    </xf>
    <xf numFmtId="167" fontId="7" fillId="9" borderId="7" xfId="7" applyNumberFormat="1" applyAlignment="1">
      <alignment vertical="center"/>
      <protection locked="0"/>
    </xf>
    <xf numFmtId="0" fontId="0" fillId="0" borderId="0" xfId="0" applyAlignment="1">
      <alignment horizontal="center" wrapText="1"/>
    </xf>
    <xf numFmtId="0" fontId="23" fillId="8" borderId="7" xfId="24" applyAlignment="1">
      <alignment horizontal="center" vertical="top" wrapText="1"/>
    </xf>
    <xf numFmtId="164" fontId="18" fillId="0" borderId="8" xfId="25" applyNumberFormat="1">
      <alignment vertical="top"/>
    </xf>
    <xf numFmtId="164" fontId="0" fillId="0" borderId="0" xfId="0" applyNumberFormat="1">
      <alignment vertical="top"/>
    </xf>
    <xf numFmtId="164" fontId="16" fillId="6" borderId="7" xfId="15" applyNumberFormat="1" applyAlignment="1">
      <alignment horizontal="right" vertical="center"/>
    </xf>
    <xf numFmtId="164" fontId="18" fillId="0" borderId="8" xfId="25" applyNumberFormat="1" applyAlignment="1">
      <alignment horizontal="right" vertical="top"/>
    </xf>
    <xf numFmtId="189" fontId="7" fillId="0" borderId="8" xfId="33" applyNumberFormat="1" applyAlignment="1">
      <alignment vertical="top"/>
    </xf>
    <xf numFmtId="3" fontId="7" fillId="9" borderId="13" xfId="7" applyNumberFormat="1" applyBorder="1" applyAlignment="1">
      <alignment horizontal="right" vertical="center"/>
      <protection locked="0"/>
    </xf>
    <xf numFmtId="0" fontId="0" fillId="0" borderId="8" xfId="25" applyFont="1" applyFill="1" applyBorder="1">
      <alignment vertical="top"/>
    </xf>
    <xf numFmtId="2" fontId="7" fillId="9" borderId="7" xfId="7" applyNumberFormat="1" applyBorder="1" applyAlignment="1">
      <alignment horizontal="right" vertical="center"/>
      <protection locked="0"/>
    </xf>
    <xf numFmtId="3" fontId="7" fillId="9" borderId="7" xfId="7" applyNumberFormat="1" applyBorder="1" applyAlignment="1">
      <alignment horizontal="right" vertical="center"/>
      <protection locked="0"/>
    </xf>
    <xf numFmtId="188" fontId="17" fillId="0" borderId="8" xfId="33" applyNumberFormat="1" applyFont="1" applyAlignment="1">
      <alignment vertical="top"/>
    </xf>
    <xf numFmtId="187" fontId="17" fillId="0" borderId="8" xfId="33" applyNumberFormat="1" applyFont="1" applyAlignment="1">
      <alignment vertical="top"/>
    </xf>
    <xf numFmtId="0" fontId="29" fillId="0" borderId="26" xfId="0" applyFont="1" applyBorder="1">
      <alignment vertical="top"/>
    </xf>
    <xf numFmtId="164" fontId="29" fillId="0" borderId="26" xfId="0" applyNumberFormat="1" applyFont="1" applyBorder="1">
      <alignment vertical="top"/>
    </xf>
    <xf numFmtId="190" fontId="17" fillId="0" borderId="8" xfId="33" applyNumberFormat="1" applyFont="1" applyAlignment="1">
      <alignment vertical="top"/>
    </xf>
    <xf numFmtId="180" fontId="17" fillId="0" borderId="8" xfId="33" applyNumberFormat="1" applyFont="1" applyAlignment="1">
      <alignment vertical="top"/>
    </xf>
    <xf numFmtId="191" fontId="7" fillId="0" borderId="8" xfId="33" applyNumberFormat="1" applyFont="1" applyAlignment="1">
      <alignment vertical="top"/>
    </xf>
    <xf numFmtId="0" fontId="18" fillId="0" borderId="8" xfId="25" applyFill="1" applyAlignment="1">
      <alignment vertical="top" wrapText="1"/>
    </xf>
    <xf numFmtId="192" fontId="7" fillId="0" borderId="8" xfId="33" applyNumberFormat="1" applyAlignment="1">
      <alignment vertical="top" wrapText="1"/>
    </xf>
    <xf numFmtId="8" fontId="0" fillId="0" borderId="0" xfId="0" applyNumberFormat="1">
      <alignment vertical="top"/>
    </xf>
    <xf numFmtId="8" fontId="7" fillId="0" borderId="8" xfId="33" applyNumberFormat="1" applyAlignment="1">
      <alignment vertical="top"/>
    </xf>
    <xf numFmtId="193" fontId="7" fillId="0" borderId="8" xfId="33" applyNumberFormat="1" applyAlignment="1">
      <alignment vertical="top"/>
    </xf>
    <xf numFmtId="178" fontId="7" fillId="0" borderId="8" xfId="33" applyNumberFormat="1" applyAlignment="1">
      <alignment vertical="top"/>
    </xf>
    <xf numFmtId="179" fontId="7" fillId="0" borderId="8" xfId="33" applyNumberFormat="1" applyAlignment="1">
      <alignment vertical="top"/>
    </xf>
    <xf numFmtId="178" fontId="7" fillId="0" borderId="11" xfId="33" applyNumberFormat="1" applyBorder="1" applyAlignment="1">
      <alignment vertical="top"/>
    </xf>
    <xf numFmtId="0" fontId="36" fillId="2" borderId="0" xfId="39" quotePrefix="1" applyFill="1">
      <alignment horizontal="left" vertical="center"/>
    </xf>
    <xf numFmtId="0" fontId="36" fillId="2" borderId="0" xfId="39" applyFill="1">
      <alignment horizontal="left" vertical="center"/>
    </xf>
    <xf numFmtId="0" fontId="6" fillId="2" borderId="0" xfId="10" applyAlignment="1">
      <alignment horizontal="left" vertical="center" wrapText="1"/>
    </xf>
    <xf numFmtId="0" fontId="24" fillId="0" borderId="0" xfId="0" applyFont="1" applyAlignment="1">
      <alignment horizontal="left" vertical="top" wrapText="1"/>
    </xf>
    <xf numFmtId="0" fontId="25" fillId="0" borderId="0" xfId="0" applyFont="1" applyAlignment="1">
      <alignment horizontal="left" vertical="top" wrapText="1"/>
    </xf>
  </cellXfs>
  <cellStyles count="44">
    <cellStyle name="Auto-label" xfId="41" xr:uid="{73CCA8BC-5AD7-4E85-A6E0-32EF7EF688EF}"/>
    <cellStyle name="Auto-populated" xfId="35" xr:uid="{92CD633B-B870-4480-A542-76D077643B78}"/>
    <cellStyle name="Banner_H3" xfId="13" xr:uid="{FE5785C0-235B-4C70-900C-EF2001520144}"/>
    <cellStyle name="Body_H1" xfId="37" xr:uid="{3D3122E7-4A4D-43F7-8A2F-A315DF102D9A}"/>
    <cellStyle name="Calculation" xfId="8" builtinId="22" hidden="1" customBuiltin="1"/>
    <cellStyle name="Calculation" xfId="33" xr:uid="{02E3DF3F-3256-4406-B889-2D6690639BEB}"/>
    <cellStyle name="Check Cell" xfId="19" builtinId="23" customBuiltin="1"/>
    <cellStyle name="Check result" xfId="22" xr:uid="{7CA6913E-F58F-4741-9988-4121D79BFD7B}"/>
    <cellStyle name="Defined names" xfId="14" xr:uid="{4248BE1A-3F2D-4913-B913-A6FBE3436F34}"/>
    <cellStyle name="Explanatory Text" xfId="21" builtinId="53" customBuiltin="1"/>
    <cellStyle name="External link" xfId="17" xr:uid="{FAB4C5FD-358F-4CD6-BC6E-724C598431E5}"/>
    <cellStyle name="Followed Hyperlink" xfId="43" builtinId="9" customBuiltin="1"/>
    <cellStyle name="Formulas" xfId="42" xr:uid="{F112E758-6F5C-4D3B-8A1A-B0DFEBB4A882}"/>
    <cellStyle name="Hard-coded" xfId="15" xr:uid="{200D9EA9-3A37-415F-8834-A52A844D661D}"/>
    <cellStyle name="Heading 1" xfId="1" builtinId="16" hidden="1" customBuiltin="1"/>
    <cellStyle name="Heading 1" xfId="27" builtinId="16" customBuiltin="1"/>
    <cellStyle name="Heading 2" xfId="2" builtinId="17" hidden="1" customBuiltin="1"/>
    <cellStyle name="Heading 2" xfId="28" builtinId="17" customBuiltin="1"/>
    <cellStyle name="Heading 3" xfId="3" builtinId="18" hidden="1" customBuiltin="1"/>
    <cellStyle name="Heading 3" xfId="29" builtinId="18" customBuiltin="1"/>
    <cellStyle name="Heading 4" xfId="4" builtinId="19" hidden="1" customBuiltin="1"/>
    <cellStyle name="Heading 4" xfId="30" builtinId="19" customBuiltin="1"/>
    <cellStyle name="Heading 5" xfId="31" xr:uid="{94E6345E-6BD4-45F0-9D01-9D42661ECA31}"/>
    <cellStyle name="Heading 6" xfId="32" xr:uid="{69B6DADD-1AE3-442B-9C06-14D5E52B303F}"/>
    <cellStyle name="Heading 7" xfId="9" xr:uid="{65CE4549-62A3-4210-9F25-2F9839E1F791}"/>
    <cellStyle name="Heading 8" xfId="23" xr:uid="{9E45A076-5177-4FEE-A6E2-BC3208B3DF96}"/>
    <cellStyle name="Hyperlink" xfId="39" builtinId="8" customBuiltin="1"/>
    <cellStyle name="Input" xfId="7" builtinId="20" customBuiltin="1"/>
    <cellStyle name="Internal link/lookup" xfId="16" xr:uid="{2D1739BB-E732-4E26-A2B2-CCA56472379C}"/>
    <cellStyle name="Linked Cell" xfId="36" builtinId="24" hidden="1"/>
    <cellStyle name="Model title heading" xfId="5" xr:uid="{49720198-0457-4C71-953B-1E69023AC69A}"/>
    <cellStyle name="Normal" xfId="0" builtinId="0" customBuiltin="1"/>
    <cellStyle name="Normal 2" xfId="10" xr:uid="{F85F6E40-0042-4237-9B34-A53CE09B085A}"/>
    <cellStyle name="Note" xfId="20" builtinId="10" customBuiltin="1"/>
    <cellStyle name="Numbering" xfId="12" xr:uid="{7BCF1B39-1E88-4D0F-9909-781FF2652C1A}"/>
    <cellStyle name="Numbering 3" xfId="34" xr:uid="{513ECFB5-F1B0-4A60-8F3D-7675E1A0F618}"/>
    <cellStyle name="Other heading 1" xfId="6" xr:uid="{5A2EFDA9-BC12-42D8-8C23-4D391E77FA8E}"/>
    <cellStyle name="Percent" xfId="38" builtinId="5"/>
    <cellStyle name="Section heading" xfId="18" xr:uid="{9F4B368D-F879-44E3-8E17-29DD8542A9E8}"/>
    <cellStyle name="Sheet heading" xfId="11" xr:uid="{6DEA63FE-C2FC-4D51-AFD8-F668D7E75EDD}"/>
    <cellStyle name="Table cell" xfId="25" xr:uid="{33044786-416C-4FE4-85B1-41BEF94590D6}"/>
    <cellStyle name="Table col heading" xfId="24" xr:uid="{796CBF3A-5CFE-4864-B572-7D991870B886}"/>
    <cellStyle name="Table heading" xfId="26" xr:uid="{C6E1E3D7-B02B-4DF4-8CAA-43F258527446}"/>
    <cellStyle name="Total" xfId="40" builtinId="25" customBuiltin="1"/>
  </cellStyles>
  <dxfs count="735">
    <dxf>
      <numFmt numFmtId="164" formatCode="&quot;$&quot;#,##0_);[Red]\(&quot;$&quot;#,##0\)"/>
      <alignment horizontal="right" vertical="center" textRotation="0" wrapText="0" indent="0" justifyLastLine="0" shrinkToFit="0" readingOrder="0"/>
      <border diagonalUp="0" diagonalDown="0">
        <left style="thin">
          <color theme="0"/>
        </left>
        <right/>
        <top style="thin">
          <color theme="0"/>
        </top>
        <bottom style="thin">
          <color theme="0"/>
        </bottom>
        <vertical/>
        <horizontal/>
      </border>
    </dxf>
    <dxf>
      <numFmt numFmtId="164" formatCode="&quot;$&quot;#,##0_);[Red]\(&quot;$&quot;#,##0\)"/>
      <alignment horizontal="right" vertical="center" textRotation="0" wrapText="0" indent="0" justifyLastLine="0" shrinkToFit="0" readingOrder="0"/>
    </dxf>
    <dxf>
      <numFmt numFmtId="164" formatCode="&quot;$&quot;#,##0_);[Red]\(&quot;$&quot;#,##0\)"/>
      <alignment horizontal="right" vertical="center" textRotation="0" wrapText="0" indent="0" justifyLastLine="0" shrinkToFit="0" readingOrder="0"/>
    </dxf>
    <dxf>
      <numFmt numFmtId="164" formatCode="&quot;$&quot;#,##0_);[Red]\(&quot;$&quot;#,##0\)"/>
      <alignment horizontal="right" vertical="center" textRotation="0" wrapText="0" indent="0" justifyLastLine="0" shrinkToFit="0" readingOrder="0"/>
    </dxf>
    <dxf>
      <numFmt numFmtId="164" formatCode="&quot;$&quot;#,##0_);[Red]\(&quot;$&quot;#,##0\)"/>
      <alignment horizontal="right" vertical="center" textRotation="0" wrapText="0" indent="0" justifyLastLine="0" shrinkToFit="0" readingOrder="0"/>
    </dxf>
    <dxf>
      <numFmt numFmtId="164" formatCode="&quot;$&quot;#,##0_);[Red]\(&quot;$&quot;#,##0\)"/>
      <alignment horizontal="right" vertical="center" textRotation="0" wrapText="0" indent="0" justifyLastLine="0" shrinkToFit="0" readingOrder="0"/>
    </dxf>
    <dxf>
      <border outline="0">
        <right style="thin">
          <color theme="0"/>
        </right>
        <top style="thin">
          <color theme="0"/>
        </top>
      </border>
    </dxf>
    <dxf>
      <alignment horizontal="right" vertical="center" textRotation="0" wrapText="0" indent="0" justifyLastLine="0" shrinkToFit="0" readingOrder="0"/>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alignment horizontal="left" vertical="center" textRotation="0" wrapText="0" indent="0" justifyLastLine="0" shrinkToFit="0" readingOrder="0"/>
      <border diagonalUp="0" diagonalDown="0">
        <left/>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alignment horizontal="left" vertical="center" textRotation="0" wrapText="0" indent="0" justifyLastLine="0" shrinkToFit="0" readingOrder="0"/>
    </dxf>
    <dxf>
      <border outline="0">
        <bottom style="thin">
          <color theme="0"/>
        </bottom>
      </border>
    </dxf>
    <dxf>
      <numFmt numFmtId="168" formatCode="&quot;$&quot;#,##0.0000;[Red]\-&quot;$&quot;#,##0.0000"/>
      <alignment horizontal="right" vertical="center" textRotation="0" wrapText="0" indent="0" justifyLastLine="0" shrinkToFit="0" readingOrder="0"/>
      <border diagonalUp="0" diagonalDown="0">
        <left style="thin">
          <color theme="0"/>
        </left>
        <right/>
        <top style="thin">
          <color theme="0"/>
        </top>
        <bottom style="thin">
          <color theme="0"/>
        </bottom>
        <vertical/>
        <horizontal/>
      </border>
    </dxf>
    <dxf>
      <numFmt numFmtId="168" formatCode="&quot;$&quot;#,##0.0000;[Red]\-&quot;$&quot;#,##0.0000"/>
      <alignment horizontal="right" vertical="center" textRotation="0" wrapText="0" indent="0" justifyLastLine="0" shrinkToFit="0" readingOrder="0"/>
    </dxf>
    <dxf>
      <numFmt numFmtId="168" formatCode="&quot;$&quot;#,##0.0000;[Red]\-&quot;$&quot;#,##0.0000"/>
      <alignment horizontal="right" vertical="center" textRotation="0" wrapText="0" indent="0" justifyLastLine="0" shrinkToFit="0" readingOrder="0"/>
    </dxf>
    <dxf>
      <numFmt numFmtId="168" formatCode="&quot;$&quot;#,##0.0000;[Red]\-&quot;$&quot;#,##0.0000"/>
      <alignment horizontal="right" vertical="center" textRotation="0" wrapText="0" indent="0" justifyLastLine="0" shrinkToFit="0" readingOrder="0"/>
    </dxf>
    <dxf>
      <numFmt numFmtId="168" formatCode="&quot;$&quot;#,##0.0000;[Red]\-&quot;$&quot;#,##0.0000"/>
      <alignment horizontal="right" vertical="center" textRotation="0" wrapText="0" indent="0" justifyLastLine="0" shrinkToFit="0" readingOrder="0"/>
    </dxf>
    <dxf>
      <border outline="0">
        <right style="thin">
          <color theme="0"/>
        </right>
        <top style="thin">
          <color theme="0"/>
        </top>
      </border>
    </dxf>
    <dxf>
      <alignment horizontal="right" vertical="center" textRotation="0" wrapText="0"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alignment horizontal="left" vertical="center" textRotation="0" wrapText="0" indent="0" justifyLastLine="0" shrinkToFit="0" readingOrder="0"/>
      <border diagonalUp="0" diagonalDown="0">
        <left/>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alignment horizontal="left" vertical="center" textRotation="0" wrapText="0" indent="0" justifyLastLine="0" shrinkToFit="0" readingOrder="0"/>
    </dxf>
    <dxf>
      <border outline="0">
        <bottom style="thin">
          <color theme="0"/>
        </bottom>
      </border>
    </dxf>
    <dxf>
      <alignment horizontal="left" vertical="center" textRotation="0" wrapText="0" indent="0" justifyLastLine="0" shrinkToFit="0" readingOrder="0"/>
      <border diagonalUp="0" diagonalDown="0">
        <left/>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alignment horizontal="left" vertical="center" textRotation="0" wrapText="0" indent="0" justifyLastLine="0" shrinkToFit="0" readingOrder="0"/>
    </dxf>
    <dxf>
      <border outline="0">
        <bottom style="thin">
          <color theme="0"/>
        </bottom>
      </border>
    </dxf>
    <dxf>
      <alignment horizontal="left" vertical="center" textRotation="0" wrapText="0" indent="0" justifyLastLine="0" shrinkToFit="0" readingOrder="0"/>
      <border diagonalUp="0" diagonalDown="0">
        <left/>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alignment horizontal="left" vertical="center" textRotation="0" wrapText="0" indent="0" justifyLastLine="0" shrinkToFit="0" readingOrder="0"/>
    </dxf>
    <dxf>
      <border outline="0">
        <bottom style="thin">
          <color theme="0"/>
        </bottom>
      </border>
    </dxf>
    <dxf>
      <numFmt numFmtId="164" formatCode="&quot;$&quot;#,##0_);[Red]\(&quot;$&quot;#,##0\)"/>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border outline="0">
        <top style="thin">
          <color rgb="FFBFBFBF"/>
        </top>
      </border>
    </dxf>
    <dxf>
      <border outline="0">
        <top style="thin">
          <color rgb="FFFFFFFF"/>
        </top>
        <bottom style="thin">
          <color rgb="FFBFBFBF"/>
        </bottom>
      </border>
    </dxf>
    <dxf>
      <alignment horizontal="general" vertical="top" textRotation="0" wrapText="1" indent="0" justifyLastLine="0" shrinkToFit="0" readingOrder="0"/>
    </dxf>
    <dxf>
      <border outline="0">
        <bottom style="thin">
          <color rgb="FFFFFFFF"/>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4" formatCode="&quot;$&quot;#,##0_);[Red]\(&quot;$&quot;#,##0\)"/>
      <fill>
        <patternFill patternType="none">
          <fgColor indexed="64"/>
          <bgColor indexed="65"/>
        </patternFill>
      </fill>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fill>
        <patternFill patternType="none">
          <fgColor indexed="64"/>
          <bgColor indexed="65"/>
        </patternFill>
      </fill>
      <border diagonalUp="0" diagonalDown="0" outline="0">
        <left style="thin">
          <color theme="0" tint="-0.24994659260841701"/>
        </left>
        <right style="thin">
          <color theme="0" tint="-0.24994659260841701"/>
        </right>
        <top style="thin">
          <color theme="0" tint="-0.24994659260841701"/>
        </top>
        <bottom/>
      </border>
    </dxf>
    <dxf>
      <border outline="0">
        <top style="thin">
          <color rgb="FFBFBFBF"/>
        </top>
      </border>
    </dxf>
    <dxf>
      <border outline="0">
        <top style="thin">
          <color rgb="FFFFFFFF"/>
        </top>
        <bottom style="thin">
          <color rgb="FFBFBFBF"/>
        </bottom>
      </border>
    </dxf>
    <dxf>
      <alignment horizontal="general" vertical="top" textRotation="0" wrapText="1" indent="0" justifyLastLine="0" shrinkToFit="0" readingOrder="0"/>
    </dxf>
    <dxf>
      <border outline="0">
        <bottom style="thin">
          <color rgb="FFFFFFFF"/>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4" formatCode="&quot;$&quot;#,##0_);[Red]\(&quot;$&quot;#,##0\)"/>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border outline="0">
        <top style="thin">
          <color theme="0" tint="-0.24994659260841701"/>
        </top>
      </border>
    </dxf>
    <dxf>
      <border outline="0">
        <top style="thin">
          <color theme="0"/>
        </top>
        <bottom style="thin">
          <color theme="0" tint="-0.24994659260841701"/>
        </bottom>
      </border>
    </dxf>
    <dxf>
      <alignment horizontal="general" vertical="top" textRotation="0" wrapText="1"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4" formatCode="&quot;$&quot;#,##0_);[Red]\(&quot;$&quot;#,##0\)"/>
      <fill>
        <patternFill patternType="none">
          <fgColor indexed="64"/>
          <bgColor indexed="65"/>
        </patternFill>
      </fill>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fill>
        <patternFill patternType="none">
          <fgColor indexed="64"/>
          <bgColor indexed="65"/>
        </patternFill>
      </fill>
      <border diagonalUp="0" diagonalDown="0" outline="0">
        <left style="thin">
          <color theme="0" tint="-0.24994659260841701"/>
        </left>
        <right style="thin">
          <color theme="0" tint="-0.24994659260841701"/>
        </right>
        <top style="thin">
          <color theme="0" tint="-0.24994659260841701"/>
        </top>
        <bottom/>
      </border>
    </dxf>
    <dxf>
      <border outline="0">
        <top style="thin">
          <color theme="0" tint="-0.24994659260841701"/>
        </top>
      </border>
    </dxf>
    <dxf>
      <border outline="0">
        <top style="thin">
          <color theme="0"/>
        </top>
        <bottom style="thin">
          <color theme="0" tint="-0.24994659260841701"/>
        </bottom>
      </border>
    </dxf>
    <dxf>
      <alignment horizontal="general" vertical="top" textRotation="0" wrapText="1"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5" formatCode="&quot;$&quot;#,##0.00_);[Red]\(&quot;$&quot;#,##0.00\)"/>
      <alignment horizontal="general" vertical="top" textRotation="0" wrapText="1" indent="0" justifyLastLine="0" shrinkToFit="0" readingOrder="0"/>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5" formatCode="&quot;$&quot;#,##0.00_);[Red]\(&quot;$&quot;#,##0.00\)"/>
      <alignment horizontal="general" vertical="top" textRotation="0" wrapText="1" indent="0" justifyLastLine="0" shrinkToFit="0" readingOrder="0"/>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5" formatCode="&quot;$&quot;#,##0.00_);[Red]\(&quot;$&quot;#,##0.00\)"/>
      <alignment horizontal="general" vertical="top" textRotation="0" wrapText="1" indent="0" justifyLastLine="0" shrinkToFit="0" readingOrder="0"/>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border diagonalUp="0" diagonalDown="0">
        <left style="thin">
          <color theme="0"/>
        </left>
        <right/>
        <top style="thin">
          <color theme="0"/>
        </top>
        <bottom style="thin">
          <color theme="0"/>
        </bottom>
        <vertical/>
        <horizontal/>
      </border>
    </dxf>
    <dxf>
      <numFmt numFmtId="168" formatCode="&quot;$&quot;#,##0.0000;[Red]\-&quot;$&quot;#,##0.0000"/>
    </dxf>
    <dxf>
      <numFmt numFmtId="168" formatCode="&quot;$&quot;#,##0.0000;[Red]\-&quot;$&quot;#,##0.0000"/>
    </dxf>
    <dxf>
      <numFmt numFmtId="168" formatCode="&quot;$&quot;#,##0.0000;[Red]\-&quot;$&quot;#,##0.0000"/>
    </dxf>
    <dxf>
      <numFmt numFmtId="168" formatCode="&quot;$&quot;#,##0.0000;[Red]\-&quot;$&quot;#,##0.0000"/>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border diagonalUp="0" diagonalDown="0">
        <left style="thin">
          <color theme="0"/>
        </left>
        <right/>
        <top style="thin">
          <color theme="0"/>
        </top>
        <bottom style="thin">
          <color theme="0"/>
        </bottom>
        <vertical/>
        <horizontal/>
      </border>
    </dxf>
    <dxf>
      <numFmt numFmtId="168" formatCode="&quot;$&quot;#,##0.0000;[Red]\-&quot;$&quot;#,##0.0000"/>
    </dxf>
    <dxf>
      <numFmt numFmtId="168" formatCode="&quot;$&quot;#,##0.0000;[Red]\-&quot;$&quot;#,##0.0000"/>
    </dxf>
    <dxf>
      <numFmt numFmtId="168" formatCode="&quot;$&quot;#,##0.0000;[Red]\-&quot;$&quot;#,##0.0000"/>
    </dxf>
    <dxf>
      <numFmt numFmtId="168" formatCode="&quot;$&quot;#,##0.0000;[Red]\-&quot;$&quot;#,##0.000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dxf>
    <dxf>
      <numFmt numFmtId="168" formatCode="&quot;$&quot;#,##0.0000;[Red]\-&quot;$&quot;#,##0.0000"/>
    </dxf>
    <dxf>
      <numFmt numFmtId="168" formatCode="&quot;$&quot;#,##0.0000;[Red]\-&quot;$&quot;#,##0.0000"/>
    </dxf>
    <dxf>
      <numFmt numFmtId="168" formatCode="&quot;$&quot;#,##0.0000;[Red]\-&quot;$&quot;#,##0.0000"/>
    </dxf>
    <dxf>
      <numFmt numFmtId="168" formatCode="&quot;$&quot;#,##0.0000;[Red]\-&quot;$&quot;#,##0.0000"/>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border outline="0">
        <left style="thin">
          <color theme="0" tint="-0.24994659260841701"/>
        </left>
      </border>
    </dxf>
    <dxf>
      <numFmt numFmtId="168" formatCode="&quot;$&quot;#,##0.0000;[Red]\-&quot;$&quot;#,##0.0000"/>
      <border outline="0">
        <left style="thin">
          <color theme="0" tint="-0.24994659260841701"/>
        </left>
        <right style="thin">
          <color theme="0" tint="-0.24994659260841701"/>
        </right>
      </border>
    </dxf>
    <dxf>
      <numFmt numFmtId="168" formatCode="&quot;$&quot;#,##0.0000;[Red]\-&quot;$&quot;#,##0.0000"/>
      <border outline="0">
        <left style="thin">
          <color theme="0" tint="-0.24994659260841701"/>
        </left>
        <right style="thin">
          <color theme="0" tint="-0.24994659260841701"/>
        </right>
      </border>
    </dxf>
    <dxf>
      <numFmt numFmtId="168" formatCode="&quot;$&quot;#,##0.0000;[Red]\-&quot;$&quot;#,##0.0000"/>
      <border outline="0">
        <left style="thin">
          <color theme="0" tint="-0.24994659260841701"/>
        </left>
        <right style="thin">
          <color theme="0" tint="-0.24994659260841701"/>
        </right>
      </border>
    </dxf>
    <dxf>
      <numFmt numFmtId="168" formatCode="&quot;$&quot;#,##0.0000;[Red]\-&quot;$&quot;#,##0.0000"/>
      <border outline="0">
        <right style="thin">
          <color theme="0" tint="-0.24994659260841701"/>
        </right>
      </border>
    </dxf>
    <dxf>
      <border outline="0">
        <right style="thin">
          <color theme="0" tint="-0.24994659260841701"/>
        </right>
      </border>
    </dxf>
    <dxf>
      <border outline="0">
        <top style="thin">
          <color theme="0"/>
        </top>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dxf>
    <dxf>
      <numFmt numFmtId="168" formatCode="&quot;$&quot;#,##0.0000;[Red]\-&quot;$&quot;#,##0.0000"/>
    </dxf>
    <dxf>
      <numFmt numFmtId="168" formatCode="&quot;$&quot;#,##0.0000;[Red]\-&quot;$&quot;#,##0.0000"/>
    </dxf>
    <dxf>
      <numFmt numFmtId="168" formatCode="&quot;$&quot;#,##0.0000;[Red]\-&quot;$&quot;#,##0.0000"/>
    </dxf>
    <dxf>
      <numFmt numFmtId="168" formatCode="&quot;$&quot;#,##0.0000;[Red]\-&quot;$&quot;#,##0.0000"/>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border outline="0">
        <left style="thin">
          <color theme="0" tint="-0.24994659260841701"/>
        </left>
      </border>
    </dxf>
    <dxf>
      <numFmt numFmtId="168" formatCode="&quot;$&quot;#,##0.0000;[Red]\-&quot;$&quot;#,##0.0000"/>
      <border outline="0">
        <left style="thin">
          <color theme="0" tint="-0.24994659260841701"/>
        </left>
        <right style="thin">
          <color theme="0" tint="-0.24994659260841701"/>
        </right>
      </border>
    </dxf>
    <dxf>
      <numFmt numFmtId="168" formatCode="&quot;$&quot;#,##0.0000;[Red]\-&quot;$&quot;#,##0.0000"/>
      <border outline="0">
        <left style="thin">
          <color theme="0" tint="-0.24994659260841701"/>
        </left>
        <right style="thin">
          <color theme="0" tint="-0.24994659260841701"/>
        </right>
      </border>
    </dxf>
    <dxf>
      <numFmt numFmtId="168" formatCode="&quot;$&quot;#,##0.0000;[Red]\-&quot;$&quot;#,##0.0000"/>
      <border outline="0">
        <left style="thin">
          <color theme="0" tint="-0.24994659260841701"/>
        </left>
        <right style="thin">
          <color theme="0" tint="-0.24994659260841701"/>
        </right>
      </border>
    </dxf>
    <dxf>
      <numFmt numFmtId="168" formatCode="&quot;$&quot;#,##0.0000;[Red]\-&quot;$&quot;#,##0.0000"/>
      <border outline="0">
        <right style="thin">
          <color theme="0" tint="-0.24994659260841701"/>
        </right>
      </border>
    </dxf>
    <dxf>
      <border outline="0">
        <right style="thin">
          <color theme="0" tint="-0.24994659260841701"/>
        </right>
      </border>
    </dxf>
    <dxf>
      <border outline="0">
        <top style="thin">
          <color theme="0"/>
        </top>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border diagonalUp="0" diagonalDown="0">
        <left style="thin">
          <color theme="0"/>
        </left>
        <right/>
        <top style="thin">
          <color theme="0"/>
        </top>
        <bottom style="thin">
          <color theme="0"/>
        </bottom>
        <vertical/>
        <horizontal/>
      </border>
    </dxf>
    <dxf>
      <numFmt numFmtId="168" formatCode="&quot;$&quot;#,##0.0000;[Red]\-&quot;$&quot;#,##0.0000"/>
    </dxf>
    <dxf>
      <numFmt numFmtId="168" formatCode="&quot;$&quot;#,##0.0000;[Red]\-&quot;$&quot;#,##0.0000"/>
    </dxf>
    <dxf>
      <numFmt numFmtId="168" formatCode="&quot;$&quot;#,##0.0000;[Red]\-&quot;$&quot;#,##0.0000"/>
    </dxf>
    <dxf>
      <numFmt numFmtId="168" formatCode="&quot;$&quot;#,##0.0000;[Red]\-&quot;$&quot;#,##0.000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border diagonalUp="0" diagonalDown="0">
        <left style="thin">
          <color theme="0"/>
        </left>
        <right/>
        <top style="thin">
          <color theme="0"/>
        </top>
        <bottom style="thin">
          <color theme="0"/>
        </bottom>
        <vertical/>
        <horizontal/>
      </border>
    </dxf>
    <dxf>
      <numFmt numFmtId="168" formatCode="&quot;$&quot;#,##0.0000;[Red]\-&quot;$&quot;#,##0.0000"/>
    </dxf>
    <dxf>
      <numFmt numFmtId="168" formatCode="&quot;$&quot;#,##0.0000;[Red]\-&quot;$&quot;#,##0.0000"/>
    </dxf>
    <dxf>
      <numFmt numFmtId="168" formatCode="&quot;$&quot;#,##0.0000;[Red]\-&quot;$&quot;#,##0.0000"/>
    </dxf>
    <dxf>
      <numFmt numFmtId="168" formatCode="&quot;$&quot;#,##0.0000;[Red]\-&quot;$&quot;#,##0.000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border diagonalUp="0" diagonalDown="0" outline="0">
        <left style="thin">
          <color theme="0"/>
        </left>
        <right/>
        <top style="thin">
          <color theme="0"/>
        </top>
        <bottom style="thin">
          <color theme="0"/>
        </bottom>
      </border>
    </dxf>
    <dxf>
      <numFmt numFmtId="168" formatCode="&quot;$&quot;#,##0.0000;[Red]\-&quot;$&quot;#,##0.0000"/>
    </dxf>
    <dxf>
      <numFmt numFmtId="168" formatCode="&quot;$&quot;#,##0.0000;[Red]\-&quot;$&quot;#,##0.0000"/>
    </dxf>
    <dxf>
      <numFmt numFmtId="168" formatCode="&quot;$&quot;#,##0.0000;[Red]\-&quot;$&quot;#,##0.0000"/>
    </dxf>
    <dxf>
      <numFmt numFmtId="168" formatCode="&quot;$&quot;#,##0.0000;[Red]\-&quot;$&quot;#,##0.0000"/>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border diagonalUp="0" diagonalDown="0" outline="0">
        <left style="thin">
          <color theme="0"/>
        </left>
        <right/>
        <top style="thin">
          <color theme="0"/>
        </top>
        <bottom style="thin">
          <color theme="0"/>
        </bottom>
      </border>
    </dxf>
    <dxf>
      <numFmt numFmtId="168" formatCode="&quot;$&quot;#,##0.0000;[Red]\-&quot;$&quot;#,##0.0000"/>
    </dxf>
    <dxf>
      <numFmt numFmtId="168" formatCode="&quot;$&quot;#,##0.0000;[Red]\-&quot;$&quot;#,##0.0000"/>
    </dxf>
    <dxf>
      <numFmt numFmtId="168" formatCode="&quot;$&quot;#,##0.0000;[Red]\-&quot;$&quot;#,##0.0000"/>
    </dxf>
    <dxf>
      <numFmt numFmtId="168" formatCode="&quot;$&quot;#,##0.0000;[Red]\-&quot;$&quot;#,##0.0000"/>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border diagonalUp="0" diagonalDown="0" outline="0">
        <left style="thin">
          <color theme="0"/>
        </left>
        <right/>
        <top style="thin">
          <color theme="0"/>
        </top>
        <bottom style="thin">
          <color theme="0"/>
        </bottom>
      </border>
    </dxf>
    <dxf>
      <numFmt numFmtId="168" formatCode="&quot;$&quot;#,##0.0000;[Red]\-&quot;$&quot;#,##0.0000"/>
    </dxf>
    <dxf>
      <numFmt numFmtId="168" formatCode="&quot;$&quot;#,##0.0000;[Red]\-&quot;$&quot;#,##0.0000"/>
    </dxf>
    <dxf>
      <numFmt numFmtId="168" formatCode="&quot;$&quot;#,##0.0000;[Red]\-&quot;$&quot;#,##0.0000"/>
    </dxf>
    <dxf>
      <numFmt numFmtId="168" formatCode="&quot;$&quot;#,##0.0000;[Red]\-&quot;$&quot;#,##0.0000"/>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border diagonalUp="0" diagonalDown="0">
        <left style="thin">
          <color theme="0"/>
        </left>
        <right/>
        <top style="thin">
          <color theme="0"/>
        </top>
        <bottom style="thin">
          <color theme="0"/>
        </bottom>
        <vertical/>
        <horizontal/>
      </border>
    </dxf>
    <dxf>
      <numFmt numFmtId="168" formatCode="&quot;$&quot;#,##0.0000;[Red]\-&quot;$&quot;#,##0.0000"/>
    </dxf>
    <dxf>
      <numFmt numFmtId="168" formatCode="&quot;$&quot;#,##0.0000;[Red]\-&quot;$&quot;#,##0.0000"/>
    </dxf>
    <dxf>
      <numFmt numFmtId="168" formatCode="&quot;$&quot;#,##0.0000;[Red]\-&quot;$&quot;#,##0.0000"/>
    </dxf>
    <dxf>
      <numFmt numFmtId="168" formatCode="&quot;$&quot;#,##0.0000;[Red]\-&quot;$&quot;#,##0.0000"/>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family val="2"/>
        <scheme val="minor"/>
      </font>
      <numFmt numFmtId="168" formatCode="&quot;$&quot;#,##0.0000;[Red]\-&quot;$&quot;#,##0.0000"/>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family val="2"/>
        <scheme val="minor"/>
      </font>
      <numFmt numFmtId="168" formatCode="&quot;$&quot;#,##0.0000;[Red]\-&quot;$&quot;#,##0.0000"/>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77" formatCode="&quot;$&quot;#,##0.000000;[Red]\-&quot;$&quot;#,##0.000000"/>
      <border outline="0">
        <left style="thin">
          <color theme="0"/>
        </left>
      </border>
    </dxf>
    <dxf>
      <numFmt numFmtId="177" formatCode="&quot;$&quot;#,##0.000000;[Red]\-&quot;$&quot;#,##0.000000"/>
      <border outline="0">
        <left style="thin">
          <color theme="0"/>
        </left>
        <right style="thin">
          <color theme="0"/>
        </right>
      </border>
    </dxf>
    <dxf>
      <numFmt numFmtId="177" formatCode="&quot;$&quot;#,##0.000000;[Red]\-&quot;$&quot;#,##0.000000"/>
      <border outline="0">
        <left style="thin">
          <color theme="0"/>
        </left>
        <right style="thin">
          <color theme="0"/>
        </right>
      </border>
    </dxf>
    <dxf>
      <numFmt numFmtId="177" formatCode="&quot;$&quot;#,##0.000000;[Red]\-&quot;$&quot;#,##0.000000"/>
      <border outline="0">
        <left style="thin">
          <color theme="0"/>
        </left>
        <right style="thin">
          <color theme="0"/>
        </right>
      </border>
    </dxf>
    <dxf>
      <numFmt numFmtId="177" formatCode="&quot;$&quot;#,##0.000000;[Red]\-&quot;$&quot;#,##0.000000"/>
      <border outline="0">
        <right style="thin">
          <color theme="0"/>
        </right>
      </border>
    </dxf>
    <dxf>
      <border outline="0">
        <right style="thin">
          <color theme="0"/>
        </right>
      </border>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77" formatCode="&quot;$&quot;#,##0.000000;[Red]\-&quot;$&quot;#,##0.000000"/>
      <border outline="0">
        <left style="thin">
          <color theme="0" tint="-0.24994659260841701"/>
        </left>
      </border>
    </dxf>
    <dxf>
      <numFmt numFmtId="177" formatCode="&quot;$&quot;#,##0.000000;[Red]\-&quot;$&quot;#,##0.000000"/>
      <border outline="0">
        <left style="thin">
          <color theme="0" tint="-0.24994659260841701"/>
        </left>
        <right style="thin">
          <color theme="0" tint="-0.24994659260841701"/>
        </right>
      </border>
    </dxf>
    <dxf>
      <numFmt numFmtId="177" formatCode="&quot;$&quot;#,##0.000000;[Red]\-&quot;$&quot;#,##0.000000"/>
      <border outline="0">
        <left style="thin">
          <color theme="0" tint="-0.24994659260841701"/>
        </left>
        <right style="thin">
          <color theme="0" tint="-0.24994659260841701"/>
        </right>
      </border>
    </dxf>
    <dxf>
      <numFmt numFmtId="177" formatCode="&quot;$&quot;#,##0.000000;[Red]\-&quot;$&quot;#,##0.000000"/>
      <border outline="0">
        <left style="thin">
          <color theme="0" tint="-0.24994659260841701"/>
        </left>
        <right style="thin">
          <color theme="0" tint="-0.24994659260841701"/>
        </right>
      </border>
    </dxf>
    <dxf>
      <font>
        <b val="0"/>
        <i val="0"/>
        <strike val="0"/>
        <condense val="0"/>
        <extend val="0"/>
        <outline val="0"/>
        <shadow val="0"/>
        <u val="none"/>
        <vertAlign val="baseline"/>
        <sz val="11"/>
        <color theme="1"/>
        <name val="Calibri"/>
        <family val="2"/>
        <scheme val="minor"/>
      </font>
      <numFmt numFmtId="177" formatCode="&quot;$&quot;#,##0.000000;[Red]\-&quot;$&quot;#,##0.000000"/>
      <border outline="0">
        <right style="thin">
          <color theme="0" tint="-0.24994659260841701"/>
        </right>
      </border>
    </dxf>
    <dxf>
      <border outline="0">
        <right style="thin">
          <color theme="0" tint="-0.24994659260841701"/>
        </right>
      </border>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theme="0" tint="-0.24994659260841701"/>
        </top>
      </border>
    </dxf>
    <dxf>
      <border outline="0">
        <bottom style="thin">
          <color theme="0" tint="-0.24994659260841701"/>
        </bottom>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79" formatCode="&quot;$&quot;#,##0.00000000;[Red]\-&quot;$&quot;#,##0.00000000"/>
      <border outline="0">
        <left style="thin">
          <color theme="0" tint="-0.24994659260841701"/>
        </left>
      </border>
    </dxf>
    <dxf>
      <numFmt numFmtId="179" formatCode="&quot;$&quot;#,##0.00000000;[Red]\-&quot;$&quot;#,##0.00000000"/>
      <border outline="0">
        <left style="thin">
          <color theme="0" tint="-0.24994659260841701"/>
        </left>
        <right style="thin">
          <color theme="0" tint="-0.24994659260841701"/>
        </right>
      </border>
    </dxf>
    <dxf>
      <numFmt numFmtId="179" formatCode="&quot;$&quot;#,##0.00000000;[Red]\-&quot;$&quot;#,##0.00000000"/>
      <border outline="0">
        <left style="thin">
          <color theme="0" tint="-0.24994659260841701"/>
        </left>
        <right style="thin">
          <color theme="0" tint="-0.24994659260841701"/>
        </right>
      </border>
    </dxf>
    <dxf>
      <numFmt numFmtId="179" formatCode="&quot;$&quot;#,##0.00000000;[Red]\-&quot;$&quot;#,##0.00000000"/>
      <border outline="0">
        <left style="thin">
          <color theme="0" tint="-0.24994659260841701"/>
        </left>
        <right style="thin">
          <color theme="0" tint="-0.24994659260841701"/>
        </right>
      </border>
    </dxf>
    <dxf>
      <font>
        <b val="0"/>
        <i val="0"/>
        <strike val="0"/>
        <condense val="0"/>
        <extend val="0"/>
        <outline val="0"/>
        <shadow val="0"/>
        <u val="none"/>
        <vertAlign val="baseline"/>
        <sz val="11"/>
        <color theme="1"/>
        <name val="Calibri"/>
        <family val="2"/>
        <scheme val="minor"/>
      </font>
      <numFmt numFmtId="179" formatCode="&quot;$&quot;#,##0.00000000;[Red]\-&quot;$&quot;#,##0.00000000"/>
      <border outline="0">
        <right style="thin">
          <color theme="0" tint="-0.24994659260841701"/>
        </right>
      </border>
    </dxf>
    <dxf>
      <border outline="0">
        <right style="thin">
          <color theme="0" tint="-0.24994659260841701"/>
        </right>
      </border>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theme="0" tint="-0.24994659260841701"/>
        </top>
      </border>
    </dxf>
    <dxf>
      <border outline="0">
        <bottom style="thin">
          <color theme="0" tint="-0.24994659260841701"/>
        </bottom>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family val="2"/>
        <scheme val="minor"/>
      </font>
      <numFmt numFmtId="168" formatCode="&quot;$&quot;#,##0.0000;[Red]\-&quot;$&quot;#,##0.0000"/>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65" formatCode="&quot;$&quot;#,##0.00_);[Red]\(&quot;$&quot;#,##0.00\)"/>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dxf>
    <dxf>
      <alignment horizontal="left" vertical="center" textRotation="0" wrapText="0" indent="0" justifyLastLine="0" shrinkToFit="0" readingOrder="0"/>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vertical/>
        <horizontal/>
      </border>
    </dxf>
    <dxf>
      <border outline="0">
        <top style="thin">
          <color theme="0"/>
        </top>
      </border>
    </dxf>
    <dxf>
      <font>
        <b val="0"/>
        <i val="0"/>
        <strike val="0"/>
        <condense val="0"/>
        <extend val="0"/>
        <outline val="0"/>
        <shadow val="0"/>
        <u val="none"/>
        <vertAlign val="baseline"/>
        <sz val="11"/>
        <color theme="1"/>
        <name val="Calibri"/>
        <family val="2"/>
        <scheme val="minor"/>
      </font>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center"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dxf>
    <dxf>
      <alignment horizontal="left" vertical="center" textRotation="0" wrapText="0" indent="0" justifyLastLine="0" shrinkToFit="0" readingOrder="0"/>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vertical/>
        <horizontal/>
      </border>
    </dxf>
    <dxf>
      <border outline="0">
        <top style="thin">
          <color theme="0"/>
        </top>
      </border>
    </dxf>
    <dxf>
      <font>
        <b val="0"/>
        <i val="0"/>
        <strike val="0"/>
        <condense val="0"/>
        <extend val="0"/>
        <outline val="0"/>
        <shadow val="0"/>
        <u val="none"/>
        <vertAlign val="baseline"/>
        <sz val="11"/>
        <color theme="1"/>
        <name val="Calibri"/>
        <family val="2"/>
        <scheme val="minor"/>
      </font>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center"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family val="2"/>
        <scheme val="minor"/>
      </font>
      <numFmt numFmtId="3" formatCode="#,##0"/>
    </dxf>
    <dxf>
      <font>
        <b val="0"/>
        <i val="0"/>
        <strike val="0"/>
        <condense val="0"/>
        <extend val="0"/>
        <outline val="0"/>
        <shadow val="0"/>
        <u val="none"/>
        <vertAlign val="baseline"/>
        <sz val="11"/>
        <color theme="1"/>
        <name val="Calibri"/>
        <family val="2"/>
        <scheme val="minor"/>
      </font>
    </dxf>
    <dxf>
      <alignment horizontal="left" vertical="center" textRotation="0" wrapText="0" indent="0" justifyLastLine="0" shrinkToFit="0" readingOrder="0"/>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center"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family val="2"/>
        <scheme val="minor"/>
      </font>
      <numFmt numFmtId="3" formatCode="#,##0"/>
    </dxf>
    <dxf>
      <font>
        <b val="0"/>
        <i val="0"/>
        <strike val="0"/>
        <condense val="0"/>
        <extend val="0"/>
        <outline val="0"/>
        <shadow val="0"/>
        <u val="none"/>
        <vertAlign val="baseline"/>
        <sz val="11"/>
        <color theme="1"/>
        <name val="Calibri"/>
        <family val="2"/>
        <scheme val="minor"/>
      </font>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center" vertical="top" textRotation="0" wrapText="0" indent="0" justifyLastLine="0" shrinkToFit="0" readingOrder="0"/>
      <border diagonalUp="0" diagonalDown="0" outline="0">
        <left style="thin">
          <color theme="0"/>
        </left>
        <right style="thin">
          <color theme="0"/>
        </right>
        <top/>
        <bottom/>
      </border>
    </dxf>
    <dxf>
      <numFmt numFmtId="2" formatCode="0.00"/>
    </dxf>
    <dxf>
      <numFmt numFmtId="2" formatCode="0.00"/>
    </dxf>
    <dxf>
      <numFmt numFmtId="2" formatCode="0.00"/>
    </dxf>
    <dxf>
      <numFmt numFmtId="2" formatCode="0.00"/>
    </dxf>
    <dxf>
      <numFmt numFmtId="2" formatCode="0.0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2" formatCode="0.00"/>
    </dxf>
    <dxf>
      <numFmt numFmtId="2" formatCode="0.00"/>
    </dxf>
    <dxf>
      <numFmt numFmtId="2" formatCode="0.00"/>
    </dxf>
    <dxf>
      <numFmt numFmtId="2" formatCode="0.00"/>
    </dxf>
    <dxf>
      <numFmt numFmtId="2" formatCode="0.0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2" formatCode="0.00"/>
    </dxf>
    <dxf>
      <numFmt numFmtId="2" formatCode="0.00"/>
    </dxf>
    <dxf>
      <numFmt numFmtId="2" formatCode="0.00"/>
    </dxf>
    <dxf>
      <numFmt numFmtId="2" formatCode="0.00"/>
    </dxf>
    <dxf>
      <numFmt numFmtId="2" formatCode="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2" formatCode="0.00"/>
    </dxf>
    <dxf>
      <numFmt numFmtId="2" formatCode="0.00"/>
    </dxf>
    <dxf>
      <numFmt numFmtId="2" formatCode="0.00"/>
    </dxf>
    <dxf>
      <numFmt numFmtId="2" formatCode="0.00"/>
    </dxf>
    <dxf>
      <numFmt numFmtId="2" formatCode="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alignment horizontal="general" vertical="top" textRotation="0" wrapText="0" indent="0" justifyLastLine="0" shrinkToFit="0" readingOrder="0"/>
    </dxf>
    <dxf>
      <numFmt numFmtId="168" formatCode="&quot;$&quot;#,##0.0000;[Red]\-&quot;$&quot;#,##0.0000"/>
      <alignment horizontal="general" vertical="top" textRotation="0" wrapText="0" indent="0" justifyLastLine="0" shrinkToFit="0" readingOrder="0"/>
    </dxf>
    <dxf>
      <numFmt numFmtId="168" formatCode="&quot;$&quot;#,##0.0000;[Red]\-&quot;$&quot;#,##0.0000"/>
      <alignment horizontal="general" vertical="top" textRotation="0" wrapText="0" indent="0" justifyLastLine="0" shrinkToFit="0" readingOrder="0"/>
    </dxf>
    <dxf>
      <numFmt numFmtId="168" formatCode="&quot;$&quot;#,##0.0000;[Red]\-&quot;$&quot;#,##0.0000"/>
      <alignment horizontal="general" vertical="top" textRotation="0" wrapText="0" indent="0" justifyLastLine="0" shrinkToFit="0" readingOrder="0"/>
    </dxf>
    <dxf>
      <numFmt numFmtId="168" formatCode="&quot;$&quot;#,##0.0000;[Red]\-&quot;$&quot;#,##0.0000"/>
      <alignment horizontal="general" vertical="top" textRotation="0" wrapText="0" indent="0" justifyLastLine="0" shrinkToFit="0" readingOrder="0"/>
    </dxf>
    <dxf>
      <border outline="0">
        <top style="thin">
          <color theme="0" tint="-0.24994659260841701"/>
        </top>
      </border>
    </dxf>
    <dxf>
      <border outline="0">
        <top style="thin">
          <color theme="0"/>
        </top>
        <bottom style="thin">
          <color theme="0" tint="-0.24994659260841701"/>
        </bottom>
      </border>
    </dxf>
    <dxf>
      <alignment horizontal="general" vertical="top" textRotation="0" wrapText="0"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5" formatCode="&quot;$&quot;#,##0.00_);[Red]\(&quot;$&quot;#,##0.00\)"/>
      <alignment horizontal="general" vertical="top" textRotation="0" wrapText="1" indent="0" justifyLastLine="0" shrinkToFit="0" readingOrder="0"/>
    </dxf>
    <dxf>
      <numFmt numFmtId="165" formatCode="&quot;$&quot;#,##0.00_);[Red]\(&quot;$&quot;#,##0.00\)"/>
      <alignment horizontal="general" vertical="top" textRotation="0" wrapText="1" indent="0" justifyLastLine="0" shrinkToFit="0" readingOrder="0"/>
    </dxf>
    <dxf>
      <numFmt numFmtId="165" formatCode="&quot;$&quot;#,##0.00_);[Red]\(&quot;$&quot;#,##0.00\)"/>
      <alignment horizontal="general" vertical="top" textRotation="0" wrapText="1" indent="0" justifyLastLine="0" shrinkToFit="0" readingOrder="0"/>
    </dxf>
    <dxf>
      <numFmt numFmtId="165" formatCode="&quot;$&quot;#,##0.00_);[Red]\(&quot;$&quot;#,##0.00\)"/>
      <alignment horizontal="general" vertical="top" textRotation="0" wrapText="1" indent="0" justifyLastLine="0" shrinkToFit="0" readingOrder="0"/>
    </dxf>
    <dxf>
      <numFmt numFmtId="165" formatCode="&quot;$&quot;#,##0.00_);[Red]\(&quot;$&quot;#,##0.00\)"/>
      <alignment horizontal="general" vertical="top" textRotation="0" wrapText="1" indent="0" justifyLastLine="0" shrinkToFit="0" readingOrder="0"/>
    </dxf>
    <dxf>
      <border outline="0">
        <top style="thin">
          <color theme="0" tint="-0.24994659260841701"/>
        </top>
      </border>
    </dxf>
    <dxf>
      <border outline="0">
        <top style="thin">
          <color theme="0"/>
        </top>
        <bottom style="thin">
          <color theme="0" tint="-0.24994659260841701"/>
        </bottom>
      </border>
    </dxf>
    <dxf>
      <alignment horizontal="general" vertical="top" textRotation="0" wrapText="1"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8" formatCode="&quot;$&quot;#,##0.0000;[Red]\-&quot;$&quot;#,##0.0000"/>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8" formatCode="&quot;$&quot;#,##0.0000;[Red]\-&quot;$&quot;#,##0.0000"/>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8" formatCode="&quot;$&quot;#,##0.0000;[Red]\-&quot;$&quot;#,##0.0000"/>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8" formatCode="&quot;$&quot;#,##0.0000;[Red]\-&quot;$&quot;#,##0.0000"/>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border outline="0">
        <right style="thin">
          <color theme="0" tint="-0.24994659260841701"/>
        </right>
      </border>
    </dxf>
    <dxf>
      <border diagonalUp="0" diagonalDown="0">
        <left style="thin">
          <color theme="0" tint="-0.24994659260841701"/>
        </left>
        <right style="thin">
          <color theme="0" tint="-0.24994659260841701"/>
        </right>
        <top style="thin">
          <color theme="0" tint="-0.24994659260841701"/>
        </top>
        <bottom/>
        <vertical/>
        <horizontal/>
      </border>
    </dxf>
    <dxf>
      <border diagonalUp="0" diagonalDown="0">
        <left style="thin">
          <color theme="0" tint="-0.24994659260841701"/>
        </left>
        <right style="thin">
          <color theme="0" tint="-0.24994659260841701"/>
        </right>
        <top style="thin">
          <color theme="0" tint="-0.24994659260841701"/>
        </top>
        <bottom/>
        <vertical/>
        <horizontal/>
      </border>
    </dxf>
    <dxf>
      <border diagonalUp="0" diagonalDown="0">
        <left style="thin">
          <color theme="0" tint="-0.24994659260841701"/>
        </left>
        <right style="thin">
          <color theme="0" tint="-0.24994659260841701"/>
        </right>
        <top style="thin">
          <color theme="0" tint="-0.24994659260841701"/>
        </top>
        <bottom/>
        <vertical/>
        <horizontal/>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68" formatCode="&quot;$&quot;#,##0.0000;[Red]\-&quot;$&quot;#,##0.0000"/>
    </dxf>
    <dxf>
      <numFmt numFmtId="168" formatCode="&quot;$&quot;#,##0.0000;[Red]\-&quot;$&quot;#,##0.0000"/>
    </dxf>
    <dxf>
      <numFmt numFmtId="168" formatCode="&quot;$&quot;#,##0.0000;[Red]\-&quot;$&quot;#,##0.0000"/>
    </dxf>
    <dxf>
      <numFmt numFmtId="168" formatCode="&quot;$&quot;#,##0.0000;[Red]\-&quot;$&quot;#,##0.0000"/>
    </dxf>
    <dxf>
      <numFmt numFmtId="168" formatCode="&quot;$&quot;#,##0.0000;[Red]\-&quot;$&quot;#,##0.0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dxf>
    <dxf>
      <numFmt numFmtId="168" formatCode="&quot;$&quot;#,##0.0000;[Red]\-&quot;$&quot;#,##0.0000"/>
    </dxf>
    <dxf>
      <numFmt numFmtId="168" formatCode="&quot;$&quot;#,##0.0000;[Red]\-&quot;$&quot;#,##0.0000"/>
    </dxf>
    <dxf>
      <numFmt numFmtId="168" formatCode="&quot;$&quot;#,##0.0000;[Red]\-&quot;$&quot;#,##0.0000"/>
    </dxf>
    <dxf>
      <numFmt numFmtId="168" formatCode="&quot;$&quot;#,##0.0000;[Red]\-&quot;$&quot;#,##0.0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dxf>
    <dxf>
      <numFmt numFmtId="168" formatCode="&quot;$&quot;#,##0.0000;[Red]\-&quot;$&quot;#,##0.0000"/>
    </dxf>
    <dxf>
      <numFmt numFmtId="168" formatCode="&quot;$&quot;#,##0.0000;[Red]\-&quot;$&quot;#,##0.0000"/>
    </dxf>
    <dxf>
      <numFmt numFmtId="168" formatCode="&quot;$&quot;#,##0.0000;[Red]\-&quot;$&quot;#,##0.0000"/>
    </dxf>
    <dxf>
      <numFmt numFmtId="168" formatCode="&quot;$&quot;#,##0.0000;[Red]\-&quot;$&quot;#,##0.0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78" formatCode="&quot;$&quot;#,##0.0000000;[Red]\-&quot;$&quot;#,##0.0000000"/>
      <border outline="0">
        <left style="thin">
          <color theme="0" tint="-0.24994659260841701"/>
        </left>
      </border>
    </dxf>
    <dxf>
      <numFmt numFmtId="178" formatCode="&quot;$&quot;#,##0.0000000;[Red]\-&quot;$&quot;#,##0.0000000"/>
      <border outline="0">
        <left style="thin">
          <color theme="0" tint="-0.24994659260841701"/>
        </left>
        <right style="thin">
          <color theme="0" tint="-0.24994659260841701"/>
        </right>
      </border>
    </dxf>
    <dxf>
      <numFmt numFmtId="178" formatCode="&quot;$&quot;#,##0.0000000;[Red]\-&quot;$&quot;#,##0.0000000"/>
      <border outline="0">
        <left style="thin">
          <color theme="0" tint="-0.24994659260841701"/>
        </left>
        <right style="thin">
          <color theme="0" tint="-0.24994659260841701"/>
        </right>
      </border>
    </dxf>
    <dxf>
      <numFmt numFmtId="178" formatCode="&quot;$&quot;#,##0.0000000;[Red]\-&quot;$&quot;#,##0.0000000"/>
      <border outline="0">
        <left style="thin">
          <color theme="0" tint="-0.24994659260841701"/>
        </left>
        <right style="thin">
          <color theme="0" tint="-0.24994659260841701"/>
        </right>
      </border>
    </dxf>
    <dxf>
      <numFmt numFmtId="178" formatCode="&quot;$&quot;#,##0.0000000;[Red]\-&quot;$&quot;#,##0.0000000"/>
      <border outline="0">
        <right style="thin">
          <color theme="0" tint="-0.24994659260841701"/>
        </right>
      </border>
    </dxf>
    <dxf>
      <border outline="0">
        <right style="thin">
          <color theme="0" tint="-0.24994659260841701"/>
        </right>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78" formatCode="&quot;$&quot;#,##0.0000000;[Red]\-&quot;$&quot;#,##0.0000000"/>
      <border outline="0">
        <left style="thin">
          <color theme="0" tint="-0.24994659260841701"/>
        </left>
      </border>
    </dxf>
    <dxf>
      <numFmt numFmtId="178" formatCode="&quot;$&quot;#,##0.0000000;[Red]\-&quot;$&quot;#,##0.0000000"/>
      <border outline="0">
        <left style="thin">
          <color theme="0" tint="-0.24994659260841701"/>
        </left>
        <right style="thin">
          <color theme="0" tint="-0.24994659260841701"/>
        </right>
      </border>
    </dxf>
    <dxf>
      <numFmt numFmtId="178" formatCode="&quot;$&quot;#,##0.0000000;[Red]\-&quot;$&quot;#,##0.0000000"/>
      <border outline="0">
        <left style="thin">
          <color theme="0" tint="-0.24994659260841701"/>
        </left>
        <right style="thin">
          <color theme="0" tint="-0.24994659260841701"/>
        </right>
      </border>
    </dxf>
    <dxf>
      <numFmt numFmtId="178" formatCode="&quot;$&quot;#,##0.0000000;[Red]\-&quot;$&quot;#,##0.0000000"/>
      <border outline="0">
        <left style="thin">
          <color theme="0" tint="-0.24994659260841701"/>
        </left>
        <right style="thin">
          <color theme="0" tint="-0.24994659260841701"/>
        </right>
      </border>
    </dxf>
    <dxf>
      <numFmt numFmtId="178" formatCode="&quot;$&quot;#,##0.0000000;[Red]\-&quot;$&quot;#,##0.0000000"/>
      <border outline="0">
        <right style="thin">
          <color theme="0" tint="-0.24994659260841701"/>
        </right>
      </border>
    </dxf>
    <dxf>
      <border outline="0">
        <right style="thin">
          <color theme="0" tint="-0.24994659260841701"/>
        </right>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alignment horizontal="general" vertical="top" textRotation="0" wrapText="0" indent="0" justifyLastLine="0" shrinkToFit="0" readingOrder="0"/>
      <border outline="0">
        <left style="thin">
          <color theme="0" tint="-0.24994659260841701"/>
        </left>
      </border>
    </dxf>
    <dxf>
      <numFmt numFmtId="168"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8"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8"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8" formatCode="&quot;$&quot;#,##0.0000;[Red]\-&quot;$&quot;#,##0.0000"/>
      <alignment horizontal="general" vertical="top" textRotation="0" wrapText="0" indent="0" justifyLastLine="0" shrinkToFit="0" readingOrder="0"/>
      <border outline="0">
        <right style="thin">
          <color theme="0" tint="-0.24994659260841701"/>
        </right>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alignment horizontal="general" vertical="top" textRotation="0" wrapText="0"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border outline="0">
        <left style="thin">
          <color theme="0" tint="-0.24994659260841701"/>
        </left>
      </border>
    </dxf>
    <dxf>
      <numFmt numFmtId="168" formatCode="&quot;$&quot;#,##0.0000;[Red]\-&quot;$&quot;#,##0.0000"/>
      <border outline="0">
        <left style="thin">
          <color theme="0" tint="-0.24994659260841701"/>
        </left>
        <right style="thin">
          <color theme="0" tint="-0.24994659260841701"/>
        </right>
      </border>
    </dxf>
    <dxf>
      <numFmt numFmtId="168" formatCode="&quot;$&quot;#,##0.0000;[Red]\-&quot;$&quot;#,##0.0000"/>
      <border outline="0">
        <left style="thin">
          <color theme="0" tint="-0.24994659260841701"/>
        </left>
        <right style="thin">
          <color theme="0" tint="-0.24994659260841701"/>
        </right>
      </border>
    </dxf>
    <dxf>
      <numFmt numFmtId="168" formatCode="&quot;$&quot;#,##0.0000;[Red]\-&quot;$&quot;#,##0.0000"/>
      <border outline="0">
        <left style="thin">
          <color theme="0" tint="-0.24994659260841701"/>
        </left>
        <right style="thin">
          <color theme="0" tint="-0.24994659260841701"/>
        </right>
      </border>
    </dxf>
    <dxf>
      <numFmt numFmtId="168" formatCode="&quot;$&quot;#,##0.0000;[Red]\-&quot;$&quot;#,##0.0000"/>
      <alignment horizontal="general" vertical="top" textRotation="0" wrapText="0" indent="0" justifyLastLine="0" shrinkToFit="0" readingOrder="0"/>
      <border outline="0">
        <right style="thin">
          <color theme="0" tint="-0.24994659260841701"/>
        </right>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alignment horizontal="general" vertical="top" textRotation="0" wrapText="0" indent="0" justifyLastLine="0" shrinkToFit="0" readingOrder="0"/>
      <border outline="0">
        <left style="thin">
          <color theme="0" tint="-0.24994659260841701"/>
        </left>
      </border>
    </dxf>
    <dxf>
      <numFmt numFmtId="168"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8"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8"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79" formatCode="&quot;$&quot;#,##0.00000000;[Red]\-&quot;$&quot;#,##0.00000000"/>
      <alignment horizontal="general" vertical="top" textRotation="0" wrapText="0" indent="0" justifyLastLine="0" shrinkToFit="0" readingOrder="0"/>
      <border outline="0">
        <right style="thin">
          <color theme="0" tint="-0.24994659260841701"/>
        </right>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68" formatCode="&quot;$&quot;#,##0.0000;[Red]\-&quot;$&quot;#,##0.0000"/>
      <alignment horizontal="general" vertical="top" textRotation="0" wrapText="0" indent="0" justifyLastLine="0" shrinkToFit="0" readingOrder="0"/>
      <border outline="0">
        <left style="thin">
          <color theme="0" tint="-0.24994659260841701"/>
        </left>
      </border>
    </dxf>
    <dxf>
      <numFmt numFmtId="168"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8"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8"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8" formatCode="&quot;$&quot;#,##0.0000;[Red]\-&quot;$&quot;#,##0.0000"/>
      <alignment horizontal="general" vertical="top" textRotation="0" wrapText="0" indent="0" justifyLastLine="0" shrinkToFit="0" readingOrder="0"/>
      <border outline="0">
        <right style="thin">
          <color theme="0" tint="-0.24994659260841701"/>
        </right>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4" formatCode="0.00%"/>
      <border diagonalUp="0" diagonalDown="0">
        <left style="thin">
          <color theme="0"/>
        </left>
        <right/>
        <top style="thin">
          <color theme="0"/>
        </top>
        <bottom style="thin">
          <color theme="0"/>
        </bottom>
        <vertical/>
        <horizontal/>
      </border>
    </dxf>
    <dxf>
      <numFmt numFmtId="14" formatCode="0.00%"/>
      <border diagonalUp="0" diagonalDown="0">
        <left style="thin">
          <color theme="0"/>
        </left>
        <right/>
        <top style="thin">
          <color theme="0"/>
        </top>
        <bottom style="thin">
          <color theme="0"/>
        </bottom>
        <vertical/>
        <horizontal/>
      </border>
    </dxf>
    <dxf>
      <numFmt numFmtId="14" formatCode="0.00%"/>
      <border diagonalUp="0" diagonalDown="0">
        <left style="thin">
          <color theme="0"/>
        </left>
        <right/>
        <top style="thin">
          <color theme="0"/>
        </top>
        <bottom style="thin">
          <color theme="0"/>
        </bottom>
        <vertical/>
        <horizontal/>
      </border>
    </dxf>
    <dxf>
      <numFmt numFmtId="14" formatCode="0.00%"/>
      <border diagonalUp="0" diagonalDown="0">
        <left style="thin">
          <color theme="0"/>
        </left>
        <right/>
        <top style="thin">
          <color theme="0"/>
        </top>
        <bottom style="thin">
          <color theme="0"/>
        </bottom>
        <vertical/>
        <horizontal/>
      </border>
    </dxf>
    <dxf>
      <numFmt numFmtId="167" formatCode="0.0000"/>
      <alignment horizontal="general" vertical="top" textRotation="0" wrapText="0" indent="0" justifyLastLine="0" shrinkToFit="0" readingOrder="0"/>
      <border diagonalUp="0" diagonalDown="0" outline="0">
        <left style="thin">
          <color theme="0"/>
        </left>
        <right/>
        <top style="thin">
          <color theme="0"/>
        </top>
        <bottom style="thin">
          <color theme="0"/>
        </bottom>
      </border>
    </dxf>
    <dxf>
      <border outline="0">
        <right style="thin">
          <color theme="0"/>
        </right>
        <top style="thin">
          <color theme="0"/>
        </top>
      </border>
    </dxf>
    <dxf>
      <border outline="0">
        <bottom style="thin">
          <color theme="0"/>
        </bottom>
      </border>
    </dxf>
    <dxf>
      <border diagonalUp="0" diagonalDown="0" outline="0">
        <left style="thin">
          <color theme="0"/>
        </left>
        <right style="thin">
          <color theme="0"/>
        </right>
        <top/>
        <bottom/>
      </border>
    </dxf>
    <dxf>
      <numFmt numFmtId="167" formatCode="0.0000"/>
    </dxf>
    <dxf>
      <numFmt numFmtId="167" formatCode="0.0000"/>
    </dxf>
    <dxf>
      <numFmt numFmtId="167" formatCode="0.0000"/>
    </dxf>
    <dxf>
      <numFmt numFmtId="167" formatCode="0.0000"/>
    </dxf>
    <dxf>
      <numFmt numFmtId="167" formatCode="0.0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alignment horizontal="general" vertical="top" textRotation="0" wrapText="0" indent="0" justifyLastLine="0" shrinkToFit="0" readingOrder="0"/>
      <border outline="0">
        <left style="thin">
          <color theme="0" tint="-0.24994659260841701"/>
        </left>
      </border>
    </dxf>
    <dxf>
      <numFmt numFmtId="14" formatCode="0.00%"/>
      <border outline="0">
        <right style="thin">
          <color theme="0" tint="-0.24994659260841701"/>
        </right>
      </border>
    </dxf>
    <dxf>
      <border outline="0">
        <right style="thin">
          <color theme="0" tint="-0.24994659260841701"/>
        </right>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68" formatCode="&quot;$&quot;#,##0.0000;[Red]\-&quot;$&quot;#,##0.0000"/>
      <alignment horizontal="general" vertical="top" textRotation="0" wrapText="0" indent="0" justifyLastLine="0" shrinkToFit="0" readingOrder="0"/>
    </dxf>
    <dxf>
      <numFmt numFmtId="168" formatCode="&quot;$&quot;#,##0.0000;[Red]\-&quot;$&quot;#,##0.0000"/>
      <alignment horizontal="general" vertical="top" textRotation="0" wrapText="0" indent="0" justifyLastLine="0" shrinkToFit="0" readingOrder="0"/>
    </dxf>
    <dxf>
      <numFmt numFmtId="168" formatCode="&quot;$&quot;#,##0.0000;[Red]\-&quot;$&quot;#,##0.0000"/>
      <alignment horizontal="general" vertical="top" textRotation="0" wrapText="0" indent="0" justifyLastLine="0" shrinkToFit="0" readingOrder="0"/>
    </dxf>
    <dxf>
      <numFmt numFmtId="168" formatCode="&quot;$&quot;#,##0.0000;[Red]\-&quot;$&quot;#,##0.0000"/>
      <alignment horizontal="general" vertical="top" textRotation="0" wrapText="0" indent="0" justifyLastLine="0" shrinkToFit="0" readingOrder="0"/>
    </dxf>
    <dxf>
      <numFmt numFmtId="168" formatCode="&quot;$&quot;#,##0.0000;[Red]\-&quot;$&quot;#,##0.0000"/>
      <alignment horizontal="general" vertical="top" textRotation="0" wrapText="0" indent="0" justifyLastLine="0" shrinkToFit="0" readingOrder="0"/>
    </dxf>
    <dxf>
      <border outline="0">
        <top style="thin">
          <color theme="0" tint="-0.24994659260841701"/>
        </top>
      </border>
    </dxf>
    <dxf>
      <border outline="0">
        <top style="thin">
          <color theme="0"/>
        </top>
        <bottom style="thin">
          <color theme="0" tint="-0.24994659260841701"/>
        </bottom>
      </border>
    </dxf>
    <dxf>
      <alignment horizontal="general" vertical="top" textRotation="0" wrapText="0"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5" formatCode="&quot;$&quot;#,##0.00_);[Red]\(&quot;$&quot;#,##0.00\)"/>
      <alignment horizontal="general" vertical="top" textRotation="0" wrapText="1" indent="0" justifyLastLine="0" shrinkToFit="0" readingOrder="0"/>
    </dxf>
    <dxf>
      <numFmt numFmtId="165" formatCode="&quot;$&quot;#,##0.00_);[Red]\(&quot;$&quot;#,##0.00\)"/>
      <alignment horizontal="general" vertical="top" textRotation="0" wrapText="1" indent="0" justifyLastLine="0" shrinkToFit="0" readingOrder="0"/>
    </dxf>
    <dxf>
      <numFmt numFmtId="165" formatCode="&quot;$&quot;#,##0.00_);[Red]\(&quot;$&quot;#,##0.00\)"/>
      <alignment horizontal="general" vertical="top" textRotation="0" wrapText="1" indent="0" justifyLastLine="0" shrinkToFit="0" readingOrder="0"/>
    </dxf>
    <dxf>
      <numFmt numFmtId="165" formatCode="&quot;$&quot;#,##0.00_);[Red]\(&quot;$&quot;#,##0.00\)"/>
      <alignment horizontal="general" vertical="top" textRotation="0" wrapText="1" indent="0" justifyLastLine="0" shrinkToFit="0" readingOrder="0"/>
    </dxf>
    <dxf>
      <numFmt numFmtId="165" formatCode="&quot;$&quot;#,##0.00_);[Red]\(&quot;$&quot;#,##0.00\)"/>
      <alignment horizontal="general" vertical="top" textRotation="0" wrapText="1" indent="0" justifyLastLine="0" shrinkToFit="0" readingOrder="0"/>
    </dxf>
    <dxf>
      <border outline="0">
        <top style="thin">
          <color theme="0" tint="-0.24994659260841701"/>
        </top>
      </border>
    </dxf>
    <dxf>
      <border outline="0">
        <top style="thin">
          <color theme="0"/>
        </top>
        <bottom style="thin">
          <color theme="0" tint="-0.24994659260841701"/>
        </bottom>
      </border>
    </dxf>
    <dxf>
      <alignment horizontal="general" vertical="top" textRotation="0" wrapText="1"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8" formatCode="&quot;$&quot;#,##0.0000;[Red]\-&quot;$&quot;#,##0.0000"/>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8" formatCode="&quot;$&quot;#,##0.0000;[Red]\-&quot;$&quot;#,##0.0000"/>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8" formatCode="&quot;$&quot;#,##0.0000;[Red]\-&quot;$&quot;#,##0.0000"/>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8" formatCode="&quot;$&quot;#,##0.0000;[Red]\-&quot;$&quot;#,##0.0000"/>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border outline="0">
        <right style="thin">
          <color theme="0" tint="-0.24994659260841701"/>
        </right>
      </border>
    </dxf>
    <dxf>
      <border diagonalUp="0" diagonalDown="0">
        <left style="thin">
          <color theme="0" tint="-0.24994659260841701"/>
        </left>
        <right style="thin">
          <color theme="0" tint="-0.24994659260841701"/>
        </right>
        <top style="thin">
          <color theme="0" tint="-0.24994659260841701"/>
        </top>
        <bottom/>
        <vertical/>
        <horizontal/>
      </border>
    </dxf>
    <dxf>
      <border diagonalUp="0" diagonalDown="0">
        <left style="thin">
          <color theme="0" tint="-0.24994659260841701"/>
        </left>
        <right style="thin">
          <color theme="0" tint="-0.24994659260841701"/>
        </right>
        <top style="thin">
          <color theme="0" tint="-0.24994659260841701"/>
        </top>
        <bottom/>
        <vertical/>
        <horizontal/>
      </border>
    </dxf>
    <dxf>
      <border diagonalUp="0" diagonalDown="0">
        <left style="thin">
          <color theme="0" tint="-0.24994659260841701"/>
        </left>
        <right style="thin">
          <color theme="0" tint="-0.24994659260841701"/>
        </right>
        <top style="thin">
          <color theme="0" tint="-0.24994659260841701"/>
        </top>
        <bottom/>
        <vertical/>
        <horizontal/>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68" formatCode="&quot;$&quot;#,##0.0000;[Red]\-&quot;$&quot;#,##0.0000"/>
    </dxf>
    <dxf>
      <numFmt numFmtId="168" formatCode="&quot;$&quot;#,##0.0000;[Red]\-&quot;$&quot;#,##0.0000"/>
    </dxf>
    <dxf>
      <numFmt numFmtId="168" formatCode="&quot;$&quot;#,##0.0000;[Red]\-&quot;$&quot;#,##0.0000"/>
    </dxf>
    <dxf>
      <numFmt numFmtId="168" formatCode="&quot;$&quot;#,##0.0000;[Red]\-&quot;$&quot;#,##0.0000"/>
    </dxf>
    <dxf>
      <numFmt numFmtId="168" formatCode="&quot;$&quot;#,##0.0000;[Red]\-&quot;$&quot;#,##0.0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dxf>
    <dxf>
      <numFmt numFmtId="168" formatCode="&quot;$&quot;#,##0.0000;[Red]\-&quot;$&quot;#,##0.0000"/>
    </dxf>
    <dxf>
      <numFmt numFmtId="168" formatCode="&quot;$&quot;#,##0.0000;[Red]\-&quot;$&quot;#,##0.0000"/>
    </dxf>
    <dxf>
      <numFmt numFmtId="168" formatCode="&quot;$&quot;#,##0.0000;[Red]\-&quot;$&quot;#,##0.0000"/>
    </dxf>
    <dxf>
      <numFmt numFmtId="168" formatCode="&quot;$&quot;#,##0.0000;[Red]\-&quot;$&quot;#,##0.0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dxf>
    <dxf>
      <numFmt numFmtId="168" formatCode="&quot;$&quot;#,##0.0000;[Red]\-&quot;$&quot;#,##0.0000"/>
    </dxf>
    <dxf>
      <numFmt numFmtId="168" formatCode="&quot;$&quot;#,##0.0000;[Red]\-&quot;$&quot;#,##0.0000"/>
    </dxf>
    <dxf>
      <numFmt numFmtId="168" formatCode="&quot;$&quot;#,##0.0000;[Red]\-&quot;$&quot;#,##0.0000"/>
    </dxf>
    <dxf>
      <numFmt numFmtId="168" formatCode="&quot;$&quot;#,##0.0000;[Red]\-&quot;$&quot;#,##0.0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alignment horizontal="general" vertical="top" textRotation="0" wrapText="0" indent="0" justifyLastLine="0" shrinkToFit="0" readingOrder="0"/>
      <border outline="0">
        <left style="thin">
          <color theme="0" tint="-0.24994659260841701"/>
        </left>
      </border>
    </dxf>
    <dxf>
      <numFmt numFmtId="168"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8"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8"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8" formatCode="&quot;$&quot;#,##0.0000;[Red]\-&quot;$&quot;#,##0.0000"/>
      <alignment horizontal="general" vertical="top" textRotation="0" wrapText="0" indent="0" justifyLastLine="0" shrinkToFit="0" readingOrder="0"/>
      <border outline="0">
        <right style="thin">
          <color theme="0" tint="-0.24994659260841701"/>
        </right>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alignment horizontal="general" vertical="top" textRotation="0" wrapText="0"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border outline="0">
        <left style="thin">
          <color theme="0" tint="-0.24994659260841701"/>
        </left>
      </border>
    </dxf>
    <dxf>
      <numFmt numFmtId="168" formatCode="&quot;$&quot;#,##0.0000;[Red]\-&quot;$&quot;#,##0.0000"/>
      <border outline="0">
        <left style="thin">
          <color theme="0" tint="-0.24994659260841701"/>
        </left>
        <right style="thin">
          <color theme="0" tint="-0.24994659260841701"/>
        </right>
      </border>
    </dxf>
    <dxf>
      <numFmt numFmtId="168" formatCode="&quot;$&quot;#,##0.0000;[Red]\-&quot;$&quot;#,##0.0000"/>
      <border outline="0">
        <left style="thin">
          <color theme="0" tint="-0.24994659260841701"/>
        </left>
        <right style="thin">
          <color theme="0" tint="-0.24994659260841701"/>
        </right>
      </border>
    </dxf>
    <dxf>
      <numFmt numFmtId="168" formatCode="&quot;$&quot;#,##0.0000;[Red]\-&quot;$&quot;#,##0.0000"/>
      <border outline="0">
        <left style="thin">
          <color theme="0" tint="-0.24994659260841701"/>
        </left>
        <right style="thin">
          <color theme="0" tint="-0.24994659260841701"/>
        </right>
      </border>
    </dxf>
    <dxf>
      <numFmt numFmtId="168" formatCode="&quot;$&quot;#,##0.0000;[Red]\-&quot;$&quot;#,##0.0000"/>
      <border outline="0">
        <right style="thin">
          <color theme="0" tint="-0.24994659260841701"/>
        </right>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alignment horizontal="general" vertical="top" textRotation="0" wrapText="0" indent="0" justifyLastLine="0" shrinkToFit="0" readingOrder="0"/>
      <border outline="0">
        <left style="thin">
          <color theme="0" tint="-0.24994659260841701"/>
        </left>
      </border>
    </dxf>
    <dxf>
      <numFmt numFmtId="168"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8"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8"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8" formatCode="&quot;$&quot;#,##0.0000;[Red]\-&quot;$&quot;#,##0.0000"/>
      <alignment horizontal="general" vertical="top" textRotation="0" wrapText="0" indent="0" justifyLastLine="0" shrinkToFit="0" readingOrder="0"/>
      <border outline="0">
        <right style="thin">
          <color theme="0" tint="-0.24994659260841701"/>
        </right>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68" formatCode="&quot;$&quot;#,##0.0000;[Red]\-&quot;$&quot;#,##0.0000"/>
      <alignment horizontal="general" vertical="top" textRotation="0" wrapText="0" indent="0" justifyLastLine="0" shrinkToFit="0" readingOrder="0"/>
      <border outline="0">
        <left style="thin">
          <color theme="0" tint="-0.24994659260841701"/>
        </left>
      </border>
    </dxf>
    <dxf>
      <numFmt numFmtId="168"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8"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8"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8" formatCode="&quot;$&quot;#,##0.0000;[Red]\-&quot;$&quot;#,##0.0000"/>
      <border outline="0">
        <right style="thin">
          <color theme="0" tint="-0.24994659260841701"/>
        </right>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4" formatCode="0.00%"/>
      <border diagonalUp="0" diagonalDown="0">
        <left style="thin">
          <color theme="0"/>
        </left>
        <right/>
        <top style="thin">
          <color theme="0"/>
        </top>
        <bottom style="thin">
          <color theme="0"/>
        </bottom>
        <vertical/>
        <horizontal/>
      </border>
    </dxf>
    <dxf>
      <numFmt numFmtId="14" formatCode="0.00%"/>
      <border diagonalUp="0" diagonalDown="0">
        <left style="thin">
          <color theme="0"/>
        </left>
        <right/>
        <top style="thin">
          <color theme="0"/>
        </top>
        <bottom style="thin">
          <color theme="0"/>
        </bottom>
        <vertical/>
        <horizontal/>
      </border>
    </dxf>
    <dxf>
      <numFmt numFmtId="14" formatCode="0.00%"/>
      <border diagonalUp="0" diagonalDown="0">
        <left style="thin">
          <color theme="0"/>
        </left>
        <right/>
        <top style="thin">
          <color theme="0"/>
        </top>
        <bottom style="thin">
          <color theme="0"/>
        </bottom>
        <vertical/>
        <horizontal/>
      </border>
    </dxf>
    <dxf>
      <numFmt numFmtId="14" formatCode="0.00%"/>
      <border diagonalUp="0" diagonalDown="0">
        <left style="thin">
          <color theme="0"/>
        </left>
        <right/>
        <top style="thin">
          <color theme="0"/>
        </top>
        <bottom style="thin">
          <color theme="0"/>
        </bottom>
        <vertical/>
        <horizontal/>
      </border>
    </dxf>
    <dxf>
      <numFmt numFmtId="167" formatCode="0.0000"/>
      <alignment horizontal="general" vertical="top" textRotation="0" wrapText="0" indent="0" justifyLastLine="0" shrinkToFit="0" readingOrder="0"/>
      <border diagonalUp="0" diagonalDown="0" outline="0">
        <left style="thin">
          <color theme="0"/>
        </left>
        <right/>
        <top style="thin">
          <color theme="0"/>
        </top>
        <bottom style="thin">
          <color theme="0"/>
        </bottom>
      </border>
    </dxf>
    <dxf>
      <border outline="0">
        <right style="thin">
          <color theme="0"/>
        </right>
        <top style="thin">
          <color theme="0"/>
        </top>
      </border>
    </dxf>
    <dxf>
      <border outline="0">
        <bottom style="thin">
          <color theme="0"/>
        </bottom>
      </border>
    </dxf>
    <dxf>
      <border diagonalUp="0" diagonalDown="0" outline="0">
        <left style="thin">
          <color theme="0"/>
        </left>
        <right style="thin">
          <color theme="0"/>
        </right>
        <top/>
        <bottom/>
      </border>
    </dxf>
    <dxf>
      <numFmt numFmtId="167" formatCode="0.0000"/>
      <border outline="0">
        <left style="thin">
          <color theme="0" tint="-0.24994659260841701"/>
        </left>
      </border>
    </dxf>
    <dxf>
      <numFmt numFmtId="167" formatCode="0.0000"/>
      <border outline="0">
        <left style="thin">
          <color theme="0" tint="-0.24994659260841701"/>
        </left>
        <right style="thin">
          <color theme="0" tint="-0.24994659260841701"/>
        </right>
      </border>
    </dxf>
    <dxf>
      <numFmt numFmtId="167" formatCode="0.0000"/>
      <border outline="0">
        <left style="thin">
          <color theme="0" tint="-0.24994659260841701"/>
        </left>
        <right style="thin">
          <color theme="0" tint="-0.24994659260841701"/>
        </right>
      </border>
    </dxf>
    <dxf>
      <numFmt numFmtId="167" formatCode="0.0000"/>
      <border outline="0">
        <left style="thin">
          <color theme="0" tint="-0.24994659260841701"/>
        </left>
        <right style="thin">
          <color theme="0" tint="-0.24994659260841701"/>
        </right>
      </border>
    </dxf>
    <dxf>
      <numFmt numFmtId="167" formatCode="0.0000"/>
      <border outline="0">
        <right style="thin">
          <color theme="0" tint="-0.24994659260841701"/>
        </right>
      </border>
    </dxf>
    <dxf>
      <border outline="0">
        <right style="thin">
          <color theme="0" tint="-0.24994659260841701"/>
        </right>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5" formatCode="&quot;$&quot;#,##0.00_);[Red]\(&quot;$&quot;#,##0.00\)"/>
      <border outline="0">
        <left style="thin">
          <color theme="0" tint="-0.24994659260841701"/>
        </left>
      </border>
    </dxf>
    <dxf>
      <numFmt numFmtId="14" formatCode="0.00%"/>
      <alignment horizontal="general" vertical="top" textRotation="0" wrapText="0" indent="0" justifyLastLine="0" shrinkToFit="0" readingOrder="0"/>
      <border outline="0">
        <right style="thin">
          <color theme="0" tint="-0.24994659260841701"/>
        </right>
      </border>
    </dxf>
    <dxf>
      <border outline="0">
        <right style="thin">
          <color theme="0" tint="-0.24994659260841701"/>
        </right>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border diagonalUp="0" diagonalDown="0">
        <left style="thin">
          <color theme="0"/>
        </left>
        <right/>
        <top style="thin">
          <color theme="0"/>
        </top>
        <bottom style="thin">
          <color theme="0"/>
        </bottom>
        <vertical/>
        <horizontal/>
      </border>
    </dxf>
    <dxf>
      <numFmt numFmtId="20" formatCode="d\-mmm\-yy"/>
    </dxf>
    <dxf>
      <border outline="0">
        <right style="thin">
          <color theme="0"/>
        </right>
        <top style="thin">
          <color theme="0"/>
        </top>
      </border>
    </dxf>
    <dxf>
      <border outline="0">
        <bottom style="thin">
          <color theme="0"/>
        </bottom>
      </border>
    </dxf>
    <dxf>
      <numFmt numFmtId="2" formatCode="0.00"/>
      <border diagonalUp="0" diagonalDown="0">
        <left style="thin">
          <color theme="0"/>
        </left>
        <right/>
        <top style="thin">
          <color theme="0"/>
        </top>
        <bottom style="thin">
          <color theme="0"/>
        </bottom>
        <vertical/>
        <horizontal/>
      </border>
    </dxf>
    <dxf>
      <numFmt numFmtId="20" formatCode="d\-mmm\-yy"/>
      <alignment horizontal="left" vertical="top" textRotation="0" wrapText="0" indent="0" justifyLastLine="0" shrinkToFit="0" readingOrder="0"/>
    </dxf>
    <dxf>
      <border outline="0">
        <right style="thin">
          <color theme="0"/>
        </right>
        <top style="thin">
          <color theme="0"/>
        </top>
      </border>
    </dxf>
    <dxf>
      <border outline="0">
        <bottom style="thin">
          <color theme="0"/>
        </bottom>
      </border>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border diagonalUp="0" diagonalDown="0">
        <left style="thin">
          <color theme="0"/>
        </left>
        <right/>
        <top style="thin">
          <color theme="0"/>
        </top>
        <bottom style="thin">
          <color theme="0"/>
        </bottom>
        <vertical/>
        <horizontal/>
      </border>
    </dxf>
    <dxf>
      <alignment horizontal="center" vertical="top" textRotation="0" wrapText="0" indent="0" justifyLastLine="0" shrinkToFit="0" readingOrder="0"/>
    </dxf>
    <dxf>
      <alignment horizontal="left" vertical="top" textRotation="0" wrapText="0" indent="0" justifyLastLine="0" shrinkToFit="0" readingOrder="0"/>
    </dxf>
    <dxf>
      <border outline="0">
        <right style="thin">
          <color theme="0"/>
        </right>
        <top style="thin">
          <color theme="0"/>
        </top>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center" vertical="top" textRotation="0" wrapText="0" indent="0" justifyLastLine="0" shrinkToFit="0" readingOrder="0"/>
      <border diagonalUp="0" diagonalDown="0" outline="0">
        <left style="thin">
          <color theme="0"/>
        </left>
        <right style="thin">
          <color theme="0"/>
        </right>
        <top/>
        <bottom/>
      </border>
    </dxf>
    <dxf>
      <numFmt numFmtId="20" formatCode="d\-mmm\-yy"/>
      <border diagonalUp="0" diagonalDown="0" outline="0">
        <left style="thin">
          <color theme="0"/>
        </left>
        <right/>
        <top style="thin">
          <color theme="0"/>
        </top>
        <bottom style="thin">
          <color theme="0"/>
        </bottom>
      </border>
    </dxf>
    <dxf>
      <numFmt numFmtId="20" formatCode="d\-mmm\-yy"/>
    </dxf>
    <dxf>
      <numFmt numFmtId="20" formatCode="d\-mmm\-yy"/>
    </dxf>
    <dxf>
      <numFmt numFmtId="20" formatCode="d\-mmm\-yy"/>
    </dxf>
    <dxf>
      <numFmt numFmtId="20" formatCode="d\-mmm\-yy"/>
    </dxf>
    <dxf>
      <alignment horizontal="center" vertical="top" textRotation="0" wrapText="0" indent="0" justifyLastLine="0" shrinkToFit="0" readingOrder="0"/>
    </dxf>
    <dxf>
      <border outline="0">
        <right style="thin">
          <color theme="0"/>
        </right>
        <top style="thin">
          <color theme="0"/>
        </top>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center" vertical="top" textRotation="0" wrapText="0" indent="0" justifyLastLine="0" shrinkToFit="0" readingOrder="0"/>
      <border diagonalUp="0" diagonalDown="0" outline="0">
        <left style="thin">
          <color theme="0"/>
        </left>
        <right style="thin">
          <color theme="0"/>
        </right>
        <top/>
        <bottom/>
      </border>
    </dxf>
    <dxf>
      <numFmt numFmtId="13" formatCode="0%"/>
      <border diagonalUp="0" diagonalDown="0">
        <left style="thin">
          <color theme="0"/>
        </left>
        <right/>
        <top style="thin">
          <color theme="0"/>
        </top>
        <bottom style="thin">
          <color theme="0"/>
        </bottom>
        <vertical/>
        <horizontal/>
      </border>
    </dxf>
    <dxf>
      <numFmt numFmtId="13" formatCode="0%"/>
    </dxf>
    <dxf>
      <numFmt numFmtId="13" formatCode="0%"/>
    </dxf>
    <dxf>
      <numFmt numFmtId="13" formatCode="0%"/>
    </dxf>
    <dxf>
      <numFmt numFmtId="13" formatCode="0%"/>
    </dxf>
    <dxf>
      <alignment horizontal="center" vertical="top" textRotation="0" wrapText="0" indent="0" justifyLastLine="0" shrinkToFit="0" readingOrder="0"/>
    </dxf>
    <dxf>
      <border outline="0">
        <right style="thin">
          <color theme="0"/>
        </right>
        <top style="thin">
          <color theme="0"/>
        </top>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center" vertical="top" textRotation="0" wrapText="0" indent="0" justifyLastLine="0" shrinkToFit="0" readingOrder="0"/>
      <border diagonalUp="0" diagonalDown="0" outline="0">
        <left style="thin">
          <color theme="0"/>
        </left>
        <right style="thin">
          <color theme="0"/>
        </right>
        <top/>
        <bottom/>
      </border>
    </dxf>
    <dxf>
      <numFmt numFmtId="3" formatCode="#,##0"/>
      <alignment horizontal="right" vertical="center" textRotation="0" wrapText="0" indent="0" justifyLastLine="0" shrinkToFit="0" readingOrder="0"/>
      <border diagonalUp="0" diagonalDown="0" outline="0">
        <left style="thin">
          <color theme="0"/>
        </left>
        <right/>
        <top style="thin">
          <color theme="0"/>
        </top>
        <bottom style="thin">
          <color theme="0"/>
        </bottom>
      </border>
    </dxf>
    <dxf>
      <numFmt numFmtId="3" formatCode="#,##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dxf>
    <dxf>
      <border outline="0">
        <right style="thin">
          <color theme="0"/>
        </right>
        <top style="thin">
          <color theme="0"/>
        </top>
      </border>
    </dxf>
    <dxf>
      <alignment horizontal="right" vertical="center" textRotation="0" wrapText="0" indent="0" justifyLastLine="0" shrinkToFit="0" readingOrder="0"/>
    </dxf>
    <dxf>
      <border outline="0">
        <bottom style="thin">
          <color theme="0"/>
        </bottom>
      </border>
    </dxf>
    <dxf>
      <border diagonalUp="0" diagonalDown="0" outline="0">
        <left style="thin">
          <color theme="0"/>
        </left>
        <right style="thin">
          <color theme="0"/>
        </right>
        <top/>
        <bottom/>
      </border>
    </dxf>
    <dxf>
      <alignment horizontal="left" vertical="center" textRotation="0" wrapText="0" indent="0" justifyLastLine="0" shrinkToFit="0" readingOrder="0"/>
      <border diagonalUp="0" diagonalDown="0">
        <left style="thin">
          <color theme="0"/>
        </left>
        <right/>
        <top style="thin">
          <color theme="0"/>
        </top>
        <bottom style="thin">
          <color theme="0"/>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numFmt numFmtId="167" formatCode="0.0000"/>
      <alignment horizontal="right" vertical="center" textRotation="0" wrapText="0" indent="0" justifyLastLine="0" shrinkToFit="0" readingOrder="0"/>
      <border diagonalUp="0" diagonalDown="0" outline="0">
        <left style="thin">
          <color theme="0"/>
        </left>
        <right/>
        <top style="thin">
          <color theme="0"/>
        </top>
        <bottom style="thin">
          <color theme="0"/>
        </bottom>
      </border>
    </dxf>
    <dxf>
      <numFmt numFmtId="167" formatCode="0.0000"/>
      <alignment horizontal="right" vertical="center" textRotation="0" wrapText="0" indent="0" justifyLastLine="0" shrinkToFit="0" readingOrder="0"/>
      <border diagonalUp="0" diagonalDown="0" outline="0">
        <left style="thin">
          <color theme="0"/>
        </left>
        <right/>
        <top style="thin">
          <color theme="0"/>
        </top>
        <bottom style="thin">
          <color theme="0"/>
        </bottom>
      </border>
    </dxf>
    <dxf>
      <numFmt numFmtId="167" formatCode="0.0000"/>
      <alignment horizontal="right" vertical="center" textRotation="0" wrapText="0" indent="0" justifyLastLine="0" shrinkToFit="0" readingOrder="0"/>
      <border diagonalUp="0" diagonalDown="0" outline="0">
        <left style="thin">
          <color theme="0"/>
        </left>
        <right/>
        <top style="thin">
          <color theme="0"/>
        </top>
        <bottom style="thin">
          <color theme="0"/>
        </bottom>
      </border>
    </dxf>
    <dxf>
      <numFmt numFmtId="167" formatCode="0.0000"/>
      <alignment horizontal="right" vertical="center" textRotation="0" wrapText="0" indent="0" justifyLastLine="0" shrinkToFit="0" readingOrder="0"/>
    </dxf>
    <dxf>
      <numFmt numFmtId="167" formatCode="0.0000"/>
      <alignment horizontal="righ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right style="thin">
          <color theme="0"/>
        </right>
        <top style="thin">
          <color theme="0"/>
        </top>
      </border>
    </dxf>
    <dxf>
      <border outline="0">
        <bottom style="thin">
          <color theme="0"/>
        </bottom>
      </border>
    </dxf>
    <dxf>
      <border diagonalUp="0" diagonalDown="0" outline="0">
        <left style="thin">
          <color theme="0"/>
        </left>
        <right style="thin">
          <color theme="0"/>
        </right>
        <top/>
        <bottom/>
      </border>
    </dxf>
    <dxf>
      <alignment horizontal="right" vertical="center" textRotation="0" wrapText="0" indent="0" justifyLastLine="0" shrinkToFit="0" readingOrder="0"/>
      <border outline="0">
        <left style="thin">
          <color theme="0"/>
        </left>
      </border>
    </dxf>
    <dxf>
      <alignment horizontal="right" vertical="center" textRotation="0" wrapText="0" indent="0" justifyLastLine="0" shrinkToFit="0" readingOrder="0"/>
      <border outline="0">
        <left style="thin">
          <color theme="0"/>
        </left>
        <right style="thin">
          <color theme="0"/>
        </right>
      </border>
    </dxf>
    <dxf>
      <alignment horizontal="right" vertical="center" textRotation="0" wrapText="0" indent="0" justifyLastLine="0" shrinkToFit="0" readingOrder="0"/>
      <border outline="0">
        <left style="thin">
          <color theme="0"/>
        </left>
        <right style="thin">
          <color theme="0"/>
        </right>
      </border>
    </dxf>
    <dxf>
      <alignment horizontal="right" vertical="center" textRotation="0" wrapText="0" indent="0" justifyLastLine="0" shrinkToFit="0" readingOrder="0"/>
      <border outline="0">
        <left style="thin">
          <color theme="0"/>
        </left>
        <right style="thin">
          <color theme="0"/>
        </right>
      </border>
    </dxf>
    <dxf>
      <alignment horizontal="right" vertical="center" textRotation="0" wrapText="0" indent="0" justifyLastLine="0" shrinkToFit="0" readingOrder="0"/>
    </dxf>
    <dxf>
      <border outline="0">
        <right style="thin">
          <color theme="0"/>
        </right>
      </border>
    </dxf>
    <dxf>
      <border outline="0">
        <right style="thin">
          <color theme="0"/>
        </right>
      </border>
    </dxf>
    <dxf>
      <border outline="0">
        <right style="thin">
          <color theme="0"/>
        </right>
        <top style="thin">
          <color theme="0"/>
        </top>
      </border>
    </dxf>
    <dxf>
      <border outline="0">
        <bottom style="thin">
          <color theme="0"/>
        </bottom>
      </border>
    </dxf>
    <dxf>
      <border diagonalUp="0" diagonalDown="0" outline="0">
        <left style="thin">
          <color theme="0"/>
        </left>
        <right style="thin">
          <color theme="0"/>
        </right>
        <top/>
        <bottom/>
      </border>
    </dxf>
    <dxf>
      <numFmt numFmtId="172" formatCode="0.00000"/>
      <alignment horizontal="right" vertical="center" textRotation="0" wrapText="0" indent="0" justifyLastLine="0" shrinkToFit="0" readingOrder="0"/>
      <border outline="0">
        <left style="thin">
          <color theme="0"/>
        </left>
      </border>
    </dxf>
    <dxf>
      <numFmt numFmtId="20" formatCode="d\-mmm\-yy"/>
      <alignment horizontal="right" vertical="center" textRotation="0" wrapText="0" indent="0" justifyLastLine="0" shrinkToFit="0" readingOrder="0"/>
      <border outline="0">
        <left style="thin">
          <color theme="0"/>
        </left>
        <right style="thin">
          <color theme="0"/>
        </right>
      </border>
    </dxf>
    <dxf>
      <alignment horizontal="right" vertical="center" textRotation="0" wrapText="0" indent="0" justifyLastLine="0" shrinkToFit="0" readingOrder="0"/>
      <border outline="0">
        <left style="thin">
          <color theme="0"/>
        </left>
        <right style="thin">
          <color theme="0"/>
        </right>
      </border>
    </dxf>
    <dxf>
      <numFmt numFmtId="20" formatCode="d\-mmm\-yy"/>
      <alignment horizontal="right" vertical="center" textRotation="0" wrapText="0" indent="0" justifyLastLine="0" shrinkToFit="0" readingOrder="0"/>
      <border outline="0">
        <left style="thin">
          <color theme="0"/>
        </left>
        <right style="thin">
          <color theme="0"/>
        </right>
      </border>
    </dxf>
    <dxf>
      <alignment horizontal="right" vertical="center" textRotation="0" wrapText="0" indent="0" justifyLastLine="0" shrinkToFit="0" readingOrder="0"/>
      <border outline="0">
        <left style="thin">
          <color theme="0"/>
        </left>
        <right style="thin">
          <color theme="0"/>
        </right>
      </border>
    </dxf>
    <dxf>
      <numFmt numFmtId="20" formatCode="d\-mmm\-yy"/>
      <alignment horizontal="right" vertical="center" textRotation="0" wrapText="0" indent="0" justifyLastLine="0" shrinkToFit="0" readingOrder="0"/>
      <border outline="0">
        <left style="thin">
          <color theme="0"/>
        </left>
        <right style="thin">
          <color theme="0"/>
        </right>
      </border>
    </dxf>
    <dxf>
      <numFmt numFmtId="167" formatCode="0.0000"/>
      <alignment horizontal="right" vertical="center" textRotation="0" wrapText="0" indent="0" justifyLastLine="0" shrinkToFit="0" readingOrder="0"/>
      <border outline="0">
        <right style="thin">
          <color theme="0"/>
        </right>
      </border>
    </dxf>
    <dxf>
      <alignment horizontal="right" vertical="center" textRotation="0" wrapText="0" indent="0" justifyLastLine="0" shrinkToFit="0" readingOrder="0"/>
      <border outline="0">
        <right style="thin">
          <color theme="0"/>
        </right>
      </border>
    </dxf>
    <dxf>
      <alignment horizontal="right" vertical="center" textRotation="0" wrapText="0" indent="0" justifyLastLine="0" shrinkToFit="0" readingOrder="0"/>
      <border outline="0">
        <left style="thin">
          <color theme="0"/>
        </left>
        <right style="thin">
          <color theme="0"/>
        </right>
      </border>
    </dxf>
    <dxf>
      <numFmt numFmtId="20" formatCode="d\-mmm\-yy"/>
      <alignment horizontal="right" vertical="center" textRotation="0" wrapText="0" indent="0" justifyLastLine="0" shrinkToFit="0" readingOrder="0"/>
      <border outline="0">
        <right style="thin">
          <color theme="0"/>
        </right>
      </border>
    </dxf>
    <dxf>
      <border outline="0">
        <right style="thin">
          <color theme="0"/>
        </right>
      </border>
    </dxf>
    <dxf>
      <border outline="0">
        <right style="thin">
          <color theme="0"/>
        </right>
      </border>
    </dxf>
    <dxf>
      <border outline="0">
        <top style="thin">
          <color theme="0" tint="-0.24994659260841701"/>
        </top>
      </border>
    </dxf>
    <dxf>
      <border outline="0">
        <top style="thin">
          <color theme="0"/>
        </top>
        <bottom style="thin">
          <color theme="0" tint="-0.24994659260841701"/>
        </bottom>
      </border>
    </dxf>
    <dxf>
      <font>
        <b/>
        <i val="0"/>
        <color rgb="FFFF0000"/>
      </font>
      <fill>
        <patternFill>
          <bgColor theme="0"/>
        </patternFill>
      </fill>
      <border>
        <left style="thin">
          <color rgb="FFFF0000"/>
        </left>
        <right style="thin">
          <color rgb="FFFF0000"/>
        </right>
        <top style="thin">
          <color rgb="FFFF0000"/>
        </top>
        <bottom style="thin">
          <color rgb="FFFF0000"/>
        </bottom>
        <vertical/>
        <horizontal/>
      </border>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ont>
        <b val="0"/>
        <i val="0"/>
        <color theme="0"/>
      </font>
      <fill>
        <patternFill>
          <bgColor rgb="FF4986A0"/>
        </patternFill>
      </fill>
      <border>
        <left style="thin">
          <color theme="0"/>
        </left>
        <right style="thin">
          <color theme="0"/>
        </right>
        <top style="thin">
          <color theme="0"/>
        </top>
        <bottom style="thin">
          <color theme="0"/>
        </bottom>
        <vertical style="thin">
          <color theme="0"/>
        </vertical>
        <horizontal style="thin">
          <color theme="0"/>
        </horizontal>
      </border>
    </dxf>
  </dxfs>
  <tableStyles count="1" defaultTableStyle="Default table" defaultPivotStyle="PivotStyleLight16">
    <tableStyle name="Default table" pivot="0" count="1" xr9:uid="{D7A9B941-B66A-4156-9972-EE896AA49F6E}">
      <tableStyleElement type="headerRow" dxfId="734"/>
    </tableStyle>
  </tableStyles>
  <colors>
    <mruColors>
      <color rgb="FF7F7F7F"/>
      <color rgb="FF236192"/>
      <color rgb="FFFFB13F"/>
      <color rgb="FF4986A0"/>
      <color rgb="FFFF5050"/>
      <color rgb="FF99FFCC"/>
      <color rgb="FFED8B00"/>
      <color rgb="FFD50032"/>
      <color rgb="FFCE0058"/>
      <color rgb="FF67A0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82311325067606E-2"/>
          <c:y val="3.2194571795381696E-2"/>
          <c:w val="0.75992958908925912"/>
          <c:h val="0.89384366803590409"/>
        </c:manualLayout>
      </c:layout>
      <c:barChart>
        <c:barDir val="col"/>
        <c:grouping val="stacked"/>
        <c:varyColors val="0"/>
        <c:ser>
          <c:idx val="0"/>
          <c:order val="0"/>
          <c:tx>
            <c:strRef>
              <c:f>CH_CostStack_RES!$D$33</c:f>
              <c:strCache>
                <c:ptCount val="1"/>
                <c:pt idx="0">
                  <c:v>Wholesale</c:v>
                </c:pt>
              </c:strCache>
            </c:strRef>
          </c:tx>
          <c:spPr>
            <a:solidFill>
              <a:srgbClr val="236192"/>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CH_CostStack_RES!$C$34:$C$35</c:f>
              <c:strCache>
                <c:ptCount val="2"/>
                <c:pt idx="0">
                  <c:v>VDO 2021 - Variation final</c:v>
                </c:pt>
                <c:pt idx="1">
                  <c:v>VDO 2022 - Final</c:v>
                </c:pt>
              </c:strCache>
            </c:strRef>
          </c:cat>
          <c:val>
            <c:numRef>
              <c:f>CH_CostStack_RES!$D$34:$D$35</c:f>
              <c:numCache>
                <c:formatCode>"$"#,##0_);[Red]\("$"#,##0\)</c:formatCode>
                <c:ptCount val="2"/>
                <c:pt idx="0">
                  <c:v>399.43883000330271</c:v>
                </c:pt>
                <c:pt idx="1">
                  <c:v>303.14242733766685</c:v>
                </c:pt>
              </c:numCache>
            </c:numRef>
          </c:val>
          <c:extLst>
            <c:ext xmlns:c16="http://schemas.microsoft.com/office/drawing/2014/chart" uri="{C3380CC4-5D6E-409C-BE32-E72D297353CC}">
              <c16:uniqueId val="{00000000-D111-4E1B-ABB0-8C923C6416AE}"/>
            </c:ext>
          </c:extLst>
        </c:ser>
        <c:ser>
          <c:idx val="1"/>
          <c:order val="1"/>
          <c:tx>
            <c:strRef>
              <c:f>CH_CostStack_RES!$E$33</c:f>
              <c:strCache>
                <c:ptCount val="1"/>
                <c:pt idx="0">
                  <c:v>Network</c:v>
                </c:pt>
              </c:strCache>
            </c:strRef>
          </c:tx>
          <c:spPr>
            <a:solidFill>
              <a:srgbClr val="236192">
                <a:alpha val="50000"/>
              </a:srgb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CH_CostStack_RES!$E$34:$E$35</c:f>
              <c:numCache>
                <c:formatCode>"$"#,##0_);[Red]\("$"#,##0\)</c:formatCode>
                <c:ptCount val="2"/>
                <c:pt idx="0">
                  <c:v>510.78450000000009</c:v>
                </c:pt>
                <c:pt idx="1">
                  <c:v>523.31517955598554</c:v>
                </c:pt>
              </c:numCache>
            </c:numRef>
          </c:val>
          <c:extLst>
            <c:ext xmlns:c16="http://schemas.microsoft.com/office/drawing/2014/chart" uri="{C3380CC4-5D6E-409C-BE32-E72D297353CC}">
              <c16:uniqueId val="{00000002-D111-4E1B-ABB0-8C923C6416AE}"/>
            </c:ext>
          </c:extLst>
        </c:ser>
        <c:ser>
          <c:idx val="2"/>
          <c:order val="2"/>
          <c:tx>
            <c:strRef>
              <c:f>CH_CostStack_RES!$F$33</c:f>
              <c:strCache>
                <c:ptCount val="1"/>
                <c:pt idx="0">
                  <c:v>Retail</c:v>
                </c:pt>
              </c:strCache>
            </c:strRef>
          </c:tx>
          <c:spPr>
            <a:solidFill>
              <a:srgbClr val="D50032"/>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CH_CostStack_RES!$F$34:$F$35</c:f>
              <c:numCache>
                <c:formatCode>"$"#,##0_);[Red]\("$"#,##0\)</c:formatCode>
                <c:ptCount val="2"/>
                <c:pt idx="0">
                  <c:v>181.75878095302619</c:v>
                </c:pt>
                <c:pt idx="1">
                  <c:v>181.37562065040649</c:v>
                </c:pt>
              </c:numCache>
            </c:numRef>
          </c:val>
          <c:extLst>
            <c:ext xmlns:c16="http://schemas.microsoft.com/office/drawing/2014/chart" uri="{C3380CC4-5D6E-409C-BE32-E72D297353CC}">
              <c16:uniqueId val="{00000003-D111-4E1B-ABB0-8C923C6416AE}"/>
            </c:ext>
          </c:extLst>
        </c:ser>
        <c:ser>
          <c:idx val="3"/>
          <c:order val="3"/>
          <c:tx>
            <c:strRef>
              <c:f>CH_CostStack_RES!$G$33</c:f>
              <c:strCache>
                <c:ptCount val="1"/>
                <c:pt idx="0">
                  <c:v>Environmental</c:v>
                </c:pt>
              </c:strCache>
            </c:strRef>
          </c:tx>
          <c:spPr>
            <a:solidFill>
              <a:srgbClr val="4986A0"/>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CH_CostStack_RES!$G$34:$G$35</c:f>
              <c:numCache>
                <c:formatCode>"$"#,##0_);[Red]\("$"#,##0\)</c:formatCode>
                <c:ptCount val="2"/>
                <c:pt idx="0">
                  <c:v>108.77734143940907</c:v>
                </c:pt>
                <c:pt idx="1">
                  <c:v>138.33283035239262</c:v>
                </c:pt>
              </c:numCache>
            </c:numRef>
          </c:val>
          <c:extLst>
            <c:ext xmlns:c16="http://schemas.microsoft.com/office/drawing/2014/chart" uri="{C3380CC4-5D6E-409C-BE32-E72D297353CC}">
              <c16:uniqueId val="{00000004-D111-4E1B-ABB0-8C923C6416AE}"/>
            </c:ext>
          </c:extLst>
        </c:ser>
        <c:ser>
          <c:idx val="5"/>
          <c:order val="4"/>
          <c:tx>
            <c:strRef>
              <c:f>CH_CostStack_RES!$I$33</c:f>
              <c:strCache>
                <c:ptCount val="1"/>
                <c:pt idx="0">
                  <c:v>Retail margin</c:v>
                </c:pt>
              </c:strCache>
            </c:strRef>
          </c:tx>
          <c:spPr>
            <a:solidFill>
              <a:srgbClr val="ED8B00">
                <a:alpha val="74902"/>
              </a:srgb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CH_CostStack_RES!$I$34:$I$35</c:f>
              <c:numCache>
                <c:formatCode>"$"#,##0_);[Red]\("$"#,##0\)</c:formatCode>
                <c:ptCount val="2"/>
                <c:pt idx="0">
                  <c:v>73.083096482559682</c:v>
                </c:pt>
                <c:pt idx="1">
                  <c:v>68.154132580602891</c:v>
                </c:pt>
              </c:numCache>
            </c:numRef>
          </c:val>
          <c:extLst>
            <c:ext xmlns:c16="http://schemas.microsoft.com/office/drawing/2014/chart" uri="{C3380CC4-5D6E-409C-BE32-E72D297353CC}">
              <c16:uniqueId val="{00000006-D111-4E1B-ABB0-8C923C6416AE}"/>
            </c:ext>
          </c:extLst>
        </c:ser>
        <c:ser>
          <c:idx val="6"/>
          <c:order val="5"/>
          <c:tx>
            <c:strRef>
              <c:f>CH_CostStack_RES!$J$33</c:f>
              <c:strCache>
                <c:ptCount val="1"/>
                <c:pt idx="0">
                  <c:v>GST</c:v>
                </c:pt>
              </c:strCache>
            </c:strRef>
          </c:tx>
          <c:spPr>
            <a:solidFill>
              <a:srgbClr val="7F7F7F">
                <a:alpha val="25000"/>
              </a:srgb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CH_CostStack_RES!$J$34:$J$35</c:f>
              <c:numCache>
                <c:formatCode>"$"#,##0_);[Red]\("$"#,##0\)</c:formatCode>
                <c:ptCount val="2"/>
                <c:pt idx="0">
                  <c:v>128.30681375845413</c:v>
                </c:pt>
                <c:pt idx="1">
                  <c:v>119.65338110674058</c:v>
                </c:pt>
              </c:numCache>
            </c:numRef>
          </c:val>
          <c:extLst>
            <c:ext xmlns:c16="http://schemas.microsoft.com/office/drawing/2014/chart" uri="{C3380CC4-5D6E-409C-BE32-E72D297353CC}">
              <c16:uniqueId val="{00000007-D111-4E1B-ABB0-8C923C6416AE}"/>
            </c:ext>
          </c:extLst>
        </c:ser>
        <c:ser>
          <c:idx val="4"/>
          <c:order val="6"/>
          <c:tx>
            <c:strRef>
              <c:f>CH_CostStack_RES!$H$33</c:f>
              <c:strCache>
                <c:ptCount val="1"/>
                <c:pt idx="0">
                  <c:v>Other</c:v>
                </c:pt>
              </c:strCache>
            </c:strRef>
          </c:tx>
          <c:spPr>
            <a:solidFill>
              <a:srgbClr val="7F7F7F"/>
            </a:solidFill>
            <a:ln>
              <a:solidFill>
                <a:schemeClr val="bg1"/>
              </a:solidFill>
            </a:ln>
            <a:effectLst/>
          </c:spPr>
          <c:invertIfNegative val="0"/>
          <c:dLbls>
            <c:dLbl>
              <c:idx val="0"/>
              <c:layout>
                <c:manualLayout>
                  <c:x val="0.1130236777960833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111-4E1B-ABB0-8C923C6416AE}"/>
                </c:ext>
              </c:extLst>
            </c:dLbl>
            <c:dLbl>
              <c:idx val="1"/>
              <c:layout>
                <c:manualLayout>
                  <c:x val="0.12231329514918614"/>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111-4E1B-ABB0-8C923C6416AE}"/>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CH_CostStack_RES!$H$34:$H$35</c:f>
              <c:numCache>
                <c:formatCode>"$"#,##0_);[Red]\("$"#,##0\)</c:formatCode>
                <c:ptCount val="2"/>
                <c:pt idx="0">
                  <c:v>9.2255887062436805</c:v>
                </c:pt>
                <c:pt idx="1">
                  <c:v>7.8241710885950742</c:v>
                </c:pt>
              </c:numCache>
            </c:numRef>
          </c:val>
          <c:extLst>
            <c:ext xmlns:c16="http://schemas.microsoft.com/office/drawing/2014/chart" uri="{C3380CC4-5D6E-409C-BE32-E72D297353CC}">
              <c16:uniqueId val="{00000005-D111-4E1B-ABB0-8C923C6416AE}"/>
            </c:ext>
          </c:extLst>
        </c:ser>
        <c:dLbls>
          <c:showLegendKey val="0"/>
          <c:showVal val="0"/>
          <c:showCatName val="0"/>
          <c:showSerName val="0"/>
          <c:showPercent val="0"/>
          <c:showBubbleSize val="0"/>
        </c:dLbls>
        <c:gapWidth val="150"/>
        <c:overlap val="100"/>
        <c:axId val="492956920"/>
        <c:axId val="492948064"/>
      </c:barChart>
      <c:lineChart>
        <c:grouping val="standard"/>
        <c:varyColors val="0"/>
        <c:ser>
          <c:idx val="7"/>
          <c:order val="7"/>
          <c:tx>
            <c:strRef>
              <c:f>CH_CostStack_RES!$K$33</c:f>
              <c:strCache>
                <c:ptCount val="1"/>
                <c:pt idx="0">
                  <c:v>Total</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23619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CH_CostStack_RES!$K$34:$K$35</c:f>
              <c:numCache>
                <c:formatCode>"$"#,##0_);[Red]\("$"#,##0\)</c:formatCode>
                <c:ptCount val="2"/>
                <c:pt idx="0">
                  <c:v>1412</c:v>
                </c:pt>
                <c:pt idx="1">
                  <c:v>1342</c:v>
                </c:pt>
              </c:numCache>
            </c:numRef>
          </c:val>
          <c:smooth val="0"/>
          <c:extLst>
            <c:ext xmlns:c16="http://schemas.microsoft.com/office/drawing/2014/chart" uri="{C3380CC4-5D6E-409C-BE32-E72D297353CC}">
              <c16:uniqueId val="{00000008-D111-4E1B-ABB0-8C923C6416AE}"/>
            </c:ext>
          </c:extLst>
        </c:ser>
        <c:dLbls>
          <c:showLegendKey val="0"/>
          <c:showVal val="0"/>
          <c:showCatName val="0"/>
          <c:showSerName val="0"/>
          <c:showPercent val="0"/>
          <c:showBubbleSize val="0"/>
        </c:dLbls>
        <c:marker val="1"/>
        <c:smooth val="0"/>
        <c:axId val="492956920"/>
        <c:axId val="492948064"/>
      </c:lineChart>
      <c:catAx>
        <c:axId val="49295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2948064"/>
        <c:crosses val="autoZero"/>
        <c:auto val="1"/>
        <c:lblAlgn val="ctr"/>
        <c:lblOffset val="100"/>
        <c:noMultiLvlLbl val="0"/>
      </c:catAx>
      <c:valAx>
        <c:axId val="492948064"/>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2956920"/>
        <c:crosses val="autoZero"/>
        <c:crossBetween val="between"/>
      </c:valAx>
      <c:spPr>
        <a:noFill/>
        <a:ln>
          <a:noFill/>
        </a:ln>
        <a:effectLst/>
      </c:spPr>
    </c:plotArea>
    <c:legend>
      <c:legendPos val="r"/>
      <c:legendEntry>
        <c:idx val="7"/>
        <c:delete val="1"/>
      </c:legendEntry>
      <c:layout>
        <c:manualLayout>
          <c:xMode val="edge"/>
          <c:yMode val="edge"/>
          <c:x val="0.83165616322223412"/>
          <c:y val="0.16844628586674726"/>
          <c:w val="0.1528611411892612"/>
          <c:h val="0.7537960581281443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CH_CostStack_SME!$D$33</c:f>
              <c:strCache>
                <c:ptCount val="1"/>
                <c:pt idx="0">
                  <c:v>Wholesale</c:v>
                </c:pt>
              </c:strCache>
            </c:strRef>
          </c:tx>
          <c:spPr>
            <a:solidFill>
              <a:srgbClr val="236192"/>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CH_CostStack_SME!$C$34:$C$35</c:f>
              <c:strCache>
                <c:ptCount val="2"/>
                <c:pt idx="0">
                  <c:v>VDO 2021 - Variation final</c:v>
                </c:pt>
                <c:pt idx="1">
                  <c:v>VDO 2022 - Final</c:v>
                </c:pt>
              </c:strCache>
            </c:strRef>
          </c:cat>
          <c:val>
            <c:numRef>
              <c:f>CH_CostStack_SME!$D$34:$D$35</c:f>
              <c:numCache>
                <c:formatCode>"$"#,##0_);[Red]\("$"#,##0\)</c:formatCode>
                <c:ptCount val="2"/>
                <c:pt idx="0">
                  <c:v>1774.3898415283202</c:v>
                </c:pt>
                <c:pt idx="1">
                  <c:v>1345.0359158236326</c:v>
                </c:pt>
              </c:numCache>
            </c:numRef>
          </c:val>
          <c:extLst>
            <c:ext xmlns:c16="http://schemas.microsoft.com/office/drawing/2014/chart" uri="{C3380CC4-5D6E-409C-BE32-E72D297353CC}">
              <c16:uniqueId val="{00000000-F839-45E8-A789-37EC8724F4FE}"/>
            </c:ext>
          </c:extLst>
        </c:ser>
        <c:ser>
          <c:idx val="1"/>
          <c:order val="1"/>
          <c:tx>
            <c:strRef>
              <c:f>CH_CostStack_SME!$E$33</c:f>
              <c:strCache>
                <c:ptCount val="1"/>
                <c:pt idx="0">
                  <c:v>Network</c:v>
                </c:pt>
              </c:strCache>
            </c:strRef>
          </c:tx>
          <c:spPr>
            <a:solidFill>
              <a:srgbClr val="236192">
                <a:alpha val="50000"/>
              </a:srgb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CH_CostStack_SME!$E$34:$E$35</c:f>
              <c:numCache>
                <c:formatCode>"$"#,##0_);[Red]\("$"#,##0\)</c:formatCode>
                <c:ptCount val="2"/>
                <c:pt idx="0">
                  <c:v>2395.6858039999997</c:v>
                </c:pt>
                <c:pt idx="1">
                  <c:v>2410.1787460082737</c:v>
                </c:pt>
              </c:numCache>
            </c:numRef>
          </c:val>
          <c:extLst>
            <c:ext xmlns:c16="http://schemas.microsoft.com/office/drawing/2014/chart" uri="{C3380CC4-5D6E-409C-BE32-E72D297353CC}">
              <c16:uniqueId val="{00000001-F839-45E8-A789-37EC8724F4FE}"/>
            </c:ext>
          </c:extLst>
        </c:ser>
        <c:ser>
          <c:idx val="2"/>
          <c:order val="2"/>
          <c:tx>
            <c:strRef>
              <c:f>CH_CostStack_SME!$F$33</c:f>
              <c:strCache>
                <c:ptCount val="1"/>
                <c:pt idx="0">
                  <c:v>Retail</c:v>
                </c:pt>
              </c:strCache>
            </c:strRef>
          </c:tx>
          <c:spPr>
            <a:solidFill>
              <a:srgbClr val="D50032"/>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CH_CostStack_SME!$F$34:$F$35</c:f>
              <c:numCache>
                <c:formatCode>"$"#,##0_);[Red]\("$"#,##0\)</c:formatCode>
                <c:ptCount val="2"/>
                <c:pt idx="0">
                  <c:v>181.75878095302619</c:v>
                </c:pt>
                <c:pt idx="1">
                  <c:v>181.37562065040649</c:v>
                </c:pt>
              </c:numCache>
            </c:numRef>
          </c:val>
          <c:extLst>
            <c:ext xmlns:c16="http://schemas.microsoft.com/office/drawing/2014/chart" uri="{C3380CC4-5D6E-409C-BE32-E72D297353CC}">
              <c16:uniqueId val="{00000002-F839-45E8-A789-37EC8724F4FE}"/>
            </c:ext>
          </c:extLst>
        </c:ser>
        <c:ser>
          <c:idx val="3"/>
          <c:order val="3"/>
          <c:tx>
            <c:strRef>
              <c:f>CH_CostStack_SME!$G$33</c:f>
              <c:strCache>
                <c:ptCount val="1"/>
                <c:pt idx="0">
                  <c:v>Environmental</c:v>
                </c:pt>
              </c:strCache>
            </c:strRef>
          </c:tx>
          <c:spPr>
            <a:solidFill>
              <a:srgbClr val="4986A0"/>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CH_CostStack_SME!$G$34:$G$35</c:f>
              <c:numCache>
                <c:formatCode>"$"#,##0_);[Red]\("$"#,##0\)</c:formatCode>
                <c:ptCount val="2"/>
                <c:pt idx="0">
                  <c:v>500.48971444069565</c:v>
                </c:pt>
                <c:pt idx="1">
                  <c:v>638.31286558187821</c:v>
                </c:pt>
              </c:numCache>
            </c:numRef>
          </c:val>
          <c:extLst>
            <c:ext xmlns:c16="http://schemas.microsoft.com/office/drawing/2014/chart" uri="{C3380CC4-5D6E-409C-BE32-E72D297353CC}">
              <c16:uniqueId val="{00000003-F839-45E8-A789-37EC8724F4FE}"/>
            </c:ext>
          </c:extLst>
        </c:ser>
        <c:ser>
          <c:idx val="5"/>
          <c:order val="4"/>
          <c:tx>
            <c:strRef>
              <c:f>CH_CostStack_SME!$I$33</c:f>
              <c:strCache>
                <c:ptCount val="1"/>
                <c:pt idx="0">
                  <c:v>Retail margin</c:v>
                </c:pt>
              </c:strCache>
            </c:strRef>
          </c:tx>
          <c:spPr>
            <a:solidFill>
              <a:srgbClr val="ED8B00">
                <a:alpha val="74902"/>
              </a:srgb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CH_CostStack_SME!$I$34:$I$35</c:f>
              <c:numCache>
                <c:formatCode>"$"#,##0_);[Red]\("$"#,##0\)</c:formatCode>
                <c:ptCount val="2"/>
                <c:pt idx="0">
                  <c:v>294.38629695857094</c:v>
                </c:pt>
                <c:pt idx="1">
                  <c:v>272.8661987244945</c:v>
                </c:pt>
              </c:numCache>
            </c:numRef>
          </c:val>
          <c:extLst>
            <c:ext xmlns:c16="http://schemas.microsoft.com/office/drawing/2014/chart" uri="{C3380CC4-5D6E-409C-BE32-E72D297353CC}">
              <c16:uniqueId val="{00000004-F839-45E8-A789-37EC8724F4FE}"/>
            </c:ext>
          </c:extLst>
        </c:ser>
        <c:ser>
          <c:idx val="6"/>
          <c:order val="5"/>
          <c:tx>
            <c:strRef>
              <c:f>CH_CostStack_SME!$J$33</c:f>
              <c:strCache>
                <c:ptCount val="1"/>
                <c:pt idx="0">
                  <c:v>GST</c:v>
                </c:pt>
              </c:strCache>
            </c:strRef>
          </c:tx>
          <c:spPr>
            <a:solidFill>
              <a:srgbClr val="7F7F7F">
                <a:alpha val="25000"/>
              </a:srgb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CH_CostStack_SME!$J$34:$J$35</c:f>
              <c:numCache>
                <c:formatCode>"$"#,##0_);[Red]\("$"#,##0\)</c:formatCode>
                <c:ptCount val="2"/>
                <c:pt idx="0">
                  <c:v>516.83316108421968</c:v>
                </c:pt>
                <c:pt idx="1">
                  <c:v>479.05184954876495</c:v>
                </c:pt>
              </c:numCache>
            </c:numRef>
          </c:val>
          <c:extLst>
            <c:ext xmlns:c16="http://schemas.microsoft.com/office/drawing/2014/chart" uri="{C3380CC4-5D6E-409C-BE32-E72D297353CC}">
              <c16:uniqueId val="{00000005-F839-45E8-A789-37EC8724F4FE}"/>
            </c:ext>
          </c:extLst>
        </c:ser>
        <c:ser>
          <c:idx val="4"/>
          <c:order val="6"/>
          <c:tx>
            <c:strRef>
              <c:f>CH_CostStack_SME!$H$33</c:f>
              <c:strCache>
                <c:ptCount val="1"/>
                <c:pt idx="0">
                  <c:v>Other</c:v>
                </c:pt>
              </c:strCache>
            </c:strRef>
          </c:tx>
          <c:spPr>
            <a:solidFill>
              <a:srgbClr val="7F7F7F"/>
            </a:solidFill>
            <a:ln>
              <a:solidFill>
                <a:schemeClr val="bg1"/>
              </a:solidFill>
            </a:ln>
            <a:effectLst/>
          </c:spPr>
          <c:invertIfNegative val="0"/>
          <c:dLbls>
            <c:dLbl>
              <c:idx val="0"/>
              <c:layout>
                <c:manualLayout>
                  <c:x val="0.1130236777960833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839-45E8-A789-37EC8724F4FE}"/>
                </c:ext>
              </c:extLst>
            </c:dLbl>
            <c:dLbl>
              <c:idx val="1"/>
              <c:layout>
                <c:manualLayout>
                  <c:x val="0.12231329514918614"/>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839-45E8-A789-37EC8724F4FE}"/>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CH_CostStack_SME!$H$34:$H$35</c:f>
              <c:numCache>
                <c:formatCode>"$"#,##0_);[Red]\("$"#,##0\)</c:formatCode>
                <c:ptCount val="2"/>
                <c:pt idx="0">
                  <c:v>21.62117296158377</c:v>
                </c:pt>
                <c:pt idx="1">
                  <c:v>22.641445418527887</c:v>
                </c:pt>
              </c:numCache>
            </c:numRef>
          </c:val>
          <c:extLst>
            <c:ext xmlns:c16="http://schemas.microsoft.com/office/drawing/2014/chart" uri="{C3380CC4-5D6E-409C-BE32-E72D297353CC}">
              <c16:uniqueId val="{00000008-F839-45E8-A789-37EC8724F4FE}"/>
            </c:ext>
          </c:extLst>
        </c:ser>
        <c:dLbls>
          <c:showLegendKey val="0"/>
          <c:showVal val="0"/>
          <c:showCatName val="0"/>
          <c:showSerName val="0"/>
          <c:showPercent val="0"/>
          <c:showBubbleSize val="0"/>
        </c:dLbls>
        <c:gapWidth val="150"/>
        <c:overlap val="100"/>
        <c:axId val="492956920"/>
        <c:axId val="492948064"/>
      </c:barChart>
      <c:lineChart>
        <c:grouping val="standard"/>
        <c:varyColors val="0"/>
        <c:ser>
          <c:idx val="7"/>
          <c:order val="7"/>
          <c:tx>
            <c:strRef>
              <c:f>CH_CostStack_SME!$K$33</c:f>
              <c:strCache>
                <c:ptCount val="1"/>
                <c:pt idx="0">
                  <c:v>Total</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23619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CH_CostStack_SME!$K$34:$K$35</c:f>
              <c:numCache>
                <c:formatCode>"$"#,##0_);[Red]\("$"#,##0\)</c:formatCode>
                <c:ptCount val="2"/>
                <c:pt idx="0">
                  <c:v>5686</c:v>
                </c:pt>
                <c:pt idx="1">
                  <c:v>5350</c:v>
                </c:pt>
              </c:numCache>
            </c:numRef>
          </c:val>
          <c:smooth val="0"/>
          <c:extLst>
            <c:ext xmlns:c16="http://schemas.microsoft.com/office/drawing/2014/chart" uri="{C3380CC4-5D6E-409C-BE32-E72D297353CC}">
              <c16:uniqueId val="{00000009-F839-45E8-A789-37EC8724F4FE}"/>
            </c:ext>
          </c:extLst>
        </c:ser>
        <c:dLbls>
          <c:showLegendKey val="0"/>
          <c:showVal val="0"/>
          <c:showCatName val="0"/>
          <c:showSerName val="0"/>
          <c:showPercent val="0"/>
          <c:showBubbleSize val="0"/>
        </c:dLbls>
        <c:marker val="1"/>
        <c:smooth val="0"/>
        <c:axId val="492956920"/>
        <c:axId val="492948064"/>
      </c:lineChart>
      <c:catAx>
        <c:axId val="49295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2948064"/>
        <c:crosses val="autoZero"/>
        <c:auto val="1"/>
        <c:lblAlgn val="ctr"/>
        <c:lblOffset val="100"/>
        <c:noMultiLvlLbl val="0"/>
      </c:catAx>
      <c:valAx>
        <c:axId val="492948064"/>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2956920"/>
        <c:crosses val="autoZero"/>
        <c:crossBetween val="between"/>
      </c:valAx>
      <c:spPr>
        <a:noFill/>
        <a:ln>
          <a:noFill/>
        </a:ln>
        <a:effectLst/>
      </c:spPr>
    </c:plotArea>
    <c:legend>
      <c:legendPos val="r"/>
      <c:legendEntry>
        <c:idx val="7"/>
        <c:delete val="1"/>
      </c:legendEntry>
      <c:layout>
        <c:manualLayout>
          <c:xMode val="edge"/>
          <c:yMode val="edge"/>
          <c:x val="0.83165616322223412"/>
          <c:y val="0.16844628586674726"/>
          <c:w val="0.1528611411892612"/>
          <c:h val="0.7537960581281443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CH_CostElements_Anytime!$D$102</c:f>
              <c:strCache>
                <c:ptCount val="1"/>
                <c:pt idx="0">
                  <c:v>VDO 2021 Variation - Final</c:v>
                </c:pt>
              </c:strCache>
            </c:strRef>
          </c:tx>
          <c:spPr>
            <a:solidFill>
              <a:srgbClr val="7F7F7F">
                <a:alpha val="5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7F7F7F"/>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CH_CostElements_Anytime!$E$52:$O$52</c:f>
              <c:strCache>
                <c:ptCount val="11"/>
                <c:pt idx="0">
                  <c:v>Total</c:v>
                </c:pt>
                <c:pt idx="1">
                  <c:v>Wholesale</c:v>
                </c:pt>
                <c:pt idx="2">
                  <c:v>Network</c:v>
                </c:pt>
                <c:pt idx="3">
                  <c:v>Network true up</c:v>
                </c:pt>
                <c:pt idx="4">
                  <c:v>Retail</c:v>
                </c:pt>
                <c:pt idx="5">
                  <c:v>Environmental schemes</c:v>
                </c:pt>
                <c:pt idx="6">
                  <c:v>Environmental true up</c:v>
                </c:pt>
                <c:pt idx="7">
                  <c:v>FiT</c:v>
                </c:pt>
                <c:pt idx="8">
                  <c:v>Other</c:v>
                </c:pt>
                <c:pt idx="9">
                  <c:v>Retail margin</c:v>
                </c:pt>
                <c:pt idx="10">
                  <c:v>GST</c:v>
                </c:pt>
              </c:strCache>
            </c:strRef>
          </c:cat>
          <c:val>
            <c:numRef>
              <c:f>CH_CostElements_Anytime!$E$102:$O$102</c:f>
              <c:numCache>
                <c:formatCode>"$"#,##0_);[Red]\("$"#,##0\)</c:formatCode>
                <c:ptCount val="11"/>
                <c:pt idx="0">
                  <c:v>1411.3749513429952</c:v>
                </c:pt>
                <c:pt idx="1">
                  <c:v>399.43883000330271</c:v>
                </c:pt>
                <c:pt idx="2">
                  <c:v>510.78450000000009</c:v>
                </c:pt>
                <c:pt idx="3">
                  <c:v>0</c:v>
                </c:pt>
                <c:pt idx="4">
                  <c:v>181.75878095302619</c:v>
                </c:pt>
                <c:pt idx="5">
                  <c:v>97.928093250321623</c:v>
                </c:pt>
                <c:pt idx="6">
                  <c:v>0</c:v>
                </c:pt>
                <c:pt idx="7">
                  <c:v>10.849248189087444</c:v>
                </c:pt>
                <c:pt idx="8">
                  <c:v>9.2255887062436805</c:v>
                </c:pt>
                <c:pt idx="9">
                  <c:v>73.083096482559682</c:v>
                </c:pt>
                <c:pt idx="10">
                  <c:v>128.30681375845415</c:v>
                </c:pt>
              </c:numCache>
            </c:numRef>
          </c:val>
          <c:extLst>
            <c:ext xmlns:c16="http://schemas.microsoft.com/office/drawing/2014/chart" uri="{C3380CC4-5D6E-409C-BE32-E72D297353CC}">
              <c16:uniqueId val="{00000002-E383-4390-A988-C6681F9C7A4F}"/>
            </c:ext>
          </c:extLst>
        </c:ser>
        <c:ser>
          <c:idx val="1"/>
          <c:order val="1"/>
          <c:tx>
            <c:strRef>
              <c:f>CH_CostElements_Anytime!$D$110</c:f>
              <c:strCache>
                <c:ptCount val="1"/>
                <c:pt idx="0">
                  <c:v>VDO 2022 - Final</c:v>
                </c:pt>
              </c:strCache>
            </c:strRef>
          </c:tx>
          <c:spPr>
            <a:solidFill>
              <a:srgbClr val="236192"/>
            </a:solidFill>
            <a:ln>
              <a:noFill/>
            </a:ln>
            <a:effectLst/>
          </c:spPr>
          <c:invertIfNegative val="0"/>
          <c:dLbls>
            <c:dLbl>
              <c:idx val="0"/>
              <c:tx>
                <c:rich>
                  <a:bodyPr/>
                  <a:lstStyle/>
                  <a:p>
                    <a:fld id="{B5CBC207-149C-4B3F-879A-0080D58557AB}" type="CELLRANGE">
                      <a:rPr lang="en-US"/>
                      <a:pPr/>
                      <a:t>[CELLRANGE]</a:t>
                    </a:fld>
                    <a:endParaRPr lang="en-US" baseline="0"/>
                  </a:p>
                  <a:p>
                    <a:fld id="{26E2B9DE-8588-4E7D-9230-9F3596EA5F1D}" type="VALUE">
                      <a:rPr lang="en-US"/>
                      <a:pPr/>
                      <a:t>[VALUE]</a:t>
                    </a:fld>
                    <a:endParaRPr lang="en-AU"/>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383-4390-A988-C6681F9C7A4F}"/>
                </c:ext>
              </c:extLst>
            </c:dLbl>
            <c:dLbl>
              <c:idx val="1"/>
              <c:tx>
                <c:rich>
                  <a:bodyPr/>
                  <a:lstStyle/>
                  <a:p>
                    <a:fld id="{17121DEF-C01D-40BD-8570-C9E491D40BFE}" type="CELLRANGE">
                      <a:rPr lang="en-US"/>
                      <a:pPr/>
                      <a:t>[CELLRANGE]</a:t>
                    </a:fld>
                    <a:endParaRPr lang="en-US" baseline="0"/>
                  </a:p>
                  <a:p>
                    <a:fld id="{D5F3A100-279C-40B6-8639-0C3642BA58BC}" type="VALUE">
                      <a:rPr lang="en-US"/>
                      <a:pPr/>
                      <a:t>[VALUE]</a:t>
                    </a:fld>
                    <a:endParaRPr lang="en-AU"/>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383-4390-A988-C6681F9C7A4F}"/>
                </c:ext>
              </c:extLst>
            </c:dLbl>
            <c:dLbl>
              <c:idx val="2"/>
              <c:tx>
                <c:rich>
                  <a:bodyPr/>
                  <a:lstStyle/>
                  <a:p>
                    <a:fld id="{CE5E98F2-8754-4923-8C74-5924DBA01956}" type="CELLRANGE">
                      <a:rPr lang="en-US"/>
                      <a:pPr/>
                      <a:t>[CELLRANGE]</a:t>
                    </a:fld>
                    <a:endParaRPr lang="en-US" baseline="0"/>
                  </a:p>
                  <a:p>
                    <a:fld id="{412D137C-5E2C-43F1-A810-0AF1729CE243}" type="VALUE">
                      <a:rPr lang="en-US"/>
                      <a:pPr/>
                      <a:t>[VALUE]</a:t>
                    </a:fld>
                    <a:endParaRPr lang="en-AU"/>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383-4390-A988-C6681F9C7A4F}"/>
                </c:ext>
              </c:extLst>
            </c:dLbl>
            <c:dLbl>
              <c:idx val="3"/>
              <c:tx>
                <c:rich>
                  <a:bodyPr/>
                  <a:lstStyle/>
                  <a:p>
                    <a:fld id="{511B5E2C-BDAA-4E9F-8477-64A8A6E6CDB8}" type="CELLRANGE">
                      <a:rPr lang="en-US"/>
                      <a:pPr/>
                      <a:t>[CELLRANGE]</a:t>
                    </a:fld>
                    <a:endParaRPr lang="en-US" baseline="0"/>
                  </a:p>
                  <a:p>
                    <a:fld id="{B80A0DEF-E43C-4F75-A4AD-FEC15619DE50}" type="VALUE">
                      <a:rPr lang="en-US"/>
                      <a:pPr/>
                      <a:t>[VALUE]</a:t>
                    </a:fld>
                    <a:endParaRPr lang="en-AU"/>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383-4390-A988-C6681F9C7A4F}"/>
                </c:ext>
              </c:extLst>
            </c:dLbl>
            <c:dLbl>
              <c:idx val="4"/>
              <c:tx>
                <c:rich>
                  <a:bodyPr/>
                  <a:lstStyle/>
                  <a:p>
                    <a:fld id="{ED4E7B00-05B6-473B-9499-BD84F6CBA830}" type="CELLRANGE">
                      <a:rPr lang="en-US"/>
                      <a:pPr/>
                      <a:t>[CELLRANGE]</a:t>
                    </a:fld>
                    <a:endParaRPr lang="en-US" baseline="0"/>
                  </a:p>
                  <a:p>
                    <a:fld id="{8A8C3B0A-3F54-4BEE-9F7B-A564EB1DC2E7}" type="VALUE">
                      <a:rPr lang="en-US"/>
                      <a:pPr/>
                      <a:t>[VALUE]</a:t>
                    </a:fld>
                    <a:endParaRPr lang="en-AU"/>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E383-4390-A988-C6681F9C7A4F}"/>
                </c:ext>
              </c:extLst>
            </c:dLbl>
            <c:dLbl>
              <c:idx val="5"/>
              <c:tx>
                <c:rich>
                  <a:bodyPr/>
                  <a:lstStyle/>
                  <a:p>
                    <a:fld id="{619A4AAE-D4FC-4E31-B81C-19244D96C969}" type="CELLRANGE">
                      <a:rPr lang="en-US"/>
                      <a:pPr/>
                      <a:t>[CELLRANGE]</a:t>
                    </a:fld>
                    <a:endParaRPr lang="en-US" baseline="0"/>
                  </a:p>
                  <a:p>
                    <a:fld id="{EFE5B8C5-BA8A-4910-9A51-D42FC0C2F4A2}" type="VALUE">
                      <a:rPr lang="en-US"/>
                      <a:pPr/>
                      <a:t>[VALUE]</a:t>
                    </a:fld>
                    <a:endParaRPr lang="en-AU"/>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383-4390-A988-C6681F9C7A4F}"/>
                </c:ext>
              </c:extLst>
            </c:dLbl>
            <c:dLbl>
              <c:idx val="6"/>
              <c:tx>
                <c:rich>
                  <a:bodyPr/>
                  <a:lstStyle/>
                  <a:p>
                    <a:fld id="{0CEE4A50-50CC-44F7-8778-9A8DED2BFD0B}" type="CELLRANGE">
                      <a:rPr lang="en-US"/>
                      <a:pPr/>
                      <a:t>[CELLRANGE]</a:t>
                    </a:fld>
                    <a:endParaRPr lang="en-US" baseline="0"/>
                  </a:p>
                  <a:p>
                    <a:fld id="{2124BB6E-FE04-4CF0-BDC5-886F1458361E}" type="VALUE">
                      <a:rPr lang="en-US"/>
                      <a:pPr/>
                      <a:t>[VALUE]</a:t>
                    </a:fld>
                    <a:endParaRPr lang="en-AU"/>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383-4390-A988-C6681F9C7A4F}"/>
                </c:ext>
              </c:extLst>
            </c:dLbl>
            <c:dLbl>
              <c:idx val="7"/>
              <c:tx>
                <c:rich>
                  <a:bodyPr/>
                  <a:lstStyle/>
                  <a:p>
                    <a:fld id="{512BD022-4B98-427E-9367-21455B5B939E}" type="CELLRANGE">
                      <a:rPr lang="en-US"/>
                      <a:pPr/>
                      <a:t>[CELLRANGE]</a:t>
                    </a:fld>
                    <a:endParaRPr lang="en-US" baseline="0"/>
                  </a:p>
                  <a:p>
                    <a:fld id="{E63CCFB0-FD9F-40AB-A70A-B4A3D0DFFEC1}" type="VALUE">
                      <a:rPr lang="en-US"/>
                      <a:pPr/>
                      <a:t>[VALUE]</a:t>
                    </a:fld>
                    <a:endParaRPr lang="en-AU"/>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383-4390-A988-C6681F9C7A4F}"/>
                </c:ext>
              </c:extLst>
            </c:dLbl>
            <c:dLbl>
              <c:idx val="8"/>
              <c:tx>
                <c:rich>
                  <a:bodyPr/>
                  <a:lstStyle/>
                  <a:p>
                    <a:fld id="{331799F1-2F49-46AC-A204-984A7C120B3F}" type="CELLRANGE">
                      <a:rPr lang="en-US"/>
                      <a:pPr/>
                      <a:t>[CELLRANGE]</a:t>
                    </a:fld>
                    <a:endParaRPr lang="en-US" baseline="0"/>
                  </a:p>
                  <a:p>
                    <a:fld id="{559E43DE-90D8-4259-BF32-9F0250CF8D53}" type="VALUE">
                      <a:rPr lang="en-US"/>
                      <a:pPr/>
                      <a:t>[VALUE]</a:t>
                    </a:fld>
                    <a:endParaRPr lang="en-AU"/>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383-4390-A988-C6681F9C7A4F}"/>
                </c:ext>
              </c:extLst>
            </c:dLbl>
            <c:dLbl>
              <c:idx val="9"/>
              <c:tx>
                <c:rich>
                  <a:bodyPr/>
                  <a:lstStyle/>
                  <a:p>
                    <a:fld id="{3824876D-1D39-4A6F-B718-222ACACA8FA6}" type="CELLRANGE">
                      <a:rPr lang="en-US"/>
                      <a:pPr/>
                      <a:t>[CELLRANGE]</a:t>
                    </a:fld>
                    <a:endParaRPr lang="en-US" baseline="0"/>
                  </a:p>
                  <a:p>
                    <a:fld id="{F58F0238-4302-45B4-8276-DFBA7A3E243A}" type="VALUE">
                      <a:rPr lang="en-US"/>
                      <a:pPr/>
                      <a:t>[VALUE]</a:t>
                    </a:fld>
                    <a:endParaRPr lang="en-AU"/>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383-4390-A988-C6681F9C7A4F}"/>
                </c:ext>
              </c:extLst>
            </c:dLbl>
            <c:dLbl>
              <c:idx val="10"/>
              <c:tx>
                <c:rich>
                  <a:bodyPr/>
                  <a:lstStyle/>
                  <a:p>
                    <a:fld id="{F9469822-5618-4FB9-8765-9068418FC578}" type="CELLRANGE">
                      <a:rPr lang="en-US"/>
                      <a:pPr/>
                      <a:t>[CELLRANGE]</a:t>
                    </a:fld>
                    <a:endParaRPr lang="en-US" baseline="0"/>
                  </a:p>
                  <a:p>
                    <a:fld id="{4CDE321D-DC21-4FDD-B28D-B6EB8DEAAC69}" type="VALUE">
                      <a:rPr lang="en-US"/>
                      <a:pPr/>
                      <a:t>[VALUE]</a:t>
                    </a:fld>
                    <a:endParaRPr lang="en-AU"/>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383-4390-A988-C6681F9C7A4F}"/>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236192"/>
                    </a:solidFill>
                    <a:latin typeface="+mn-lt"/>
                    <a:ea typeface="+mn-ea"/>
                    <a:cs typeface="+mn-cs"/>
                  </a:defRPr>
                </a:pPr>
                <a:endParaRPr lang="en-US"/>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val>
            <c:numRef>
              <c:f>CH_CostElements_Anytime!$E$110:$O$110</c:f>
              <c:numCache>
                <c:formatCode>"$"#,##0_);[Red]\("$"#,##0\)</c:formatCode>
                <c:ptCount val="11"/>
                <c:pt idx="0">
                  <c:v>1342</c:v>
                </c:pt>
                <c:pt idx="1">
                  <c:v>303.14242733766685</c:v>
                </c:pt>
                <c:pt idx="2">
                  <c:v>510.78450000000009</c:v>
                </c:pt>
                <c:pt idx="3">
                  <c:v>12.530679555985406</c:v>
                </c:pt>
                <c:pt idx="4">
                  <c:v>181.37562065040649</c:v>
                </c:pt>
                <c:pt idx="5">
                  <c:v>111.91513786511329</c:v>
                </c:pt>
                <c:pt idx="6">
                  <c:v>13.079870942258086</c:v>
                </c:pt>
                <c:pt idx="7">
                  <c:v>13.337821545021233</c:v>
                </c:pt>
                <c:pt idx="8">
                  <c:v>7.8241710885950742</c:v>
                </c:pt>
                <c:pt idx="9">
                  <c:v>68.154132580602891</c:v>
                </c:pt>
                <c:pt idx="10">
                  <c:v>119.65338110674058</c:v>
                </c:pt>
              </c:numCache>
            </c:numRef>
          </c:val>
          <c:extLst>
            <c:ext xmlns:c15="http://schemas.microsoft.com/office/drawing/2012/chart" uri="{02D57815-91ED-43cb-92C2-25804820EDAC}">
              <c15:datalabelsRange>
                <c15:f>CH_CostElements_Anytime!$E$118:$O$118</c15:f>
                <c15:dlblRangeCache>
                  <c:ptCount val="11"/>
                  <c:pt idx="0">
                    <c:v>-4.9%</c:v>
                  </c:pt>
                  <c:pt idx="1">
                    <c:v>-6.8%</c:v>
                  </c:pt>
                  <c:pt idx="2">
                    <c:v>0.0%</c:v>
                  </c:pt>
                  <c:pt idx="3">
                    <c:v>0.9%</c:v>
                  </c:pt>
                  <c:pt idx="4">
                    <c:v>0.0%</c:v>
                  </c:pt>
                  <c:pt idx="5">
                    <c:v>1.0%</c:v>
                  </c:pt>
                  <c:pt idx="6">
                    <c:v>0.9%</c:v>
                  </c:pt>
                  <c:pt idx="7">
                    <c:v>0.2%</c:v>
                  </c:pt>
                  <c:pt idx="8">
                    <c:v>-0.1%</c:v>
                  </c:pt>
                  <c:pt idx="9">
                    <c:v>-0.3%</c:v>
                  </c:pt>
                  <c:pt idx="10">
                    <c:v>-0.6%</c:v>
                  </c:pt>
                </c15:dlblRangeCache>
              </c15:datalabelsRange>
            </c:ext>
            <c:ext xmlns:c16="http://schemas.microsoft.com/office/drawing/2014/chart" uri="{C3380CC4-5D6E-409C-BE32-E72D297353CC}">
              <c16:uniqueId val="{00000003-E383-4390-A988-C6681F9C7A4F}"/>
            </c:ext>
          </c:extLst>
        </c:ser>
        <c:dLbls>
          <c:showLegendKey val="0"/>
          <c:showVal val="0"/>
          <c:showCatName val="0"/>
          <c:showSerName val="0"/>
          <c:showPercent val="0"/>
          <c:showBubbleSize val="0"/>
        </c:dLbls>
        <c:gapWidth val="50"/>
        <c:overlap val="-5"/>
        <c:axId val="1384032960"/>
        <c:axId val="1384034600"/>
      </c:barChart>
      <c:catAx>
        <c:axId val="1384032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384034600"/>
        <c:crosses val="autoZero"/>
        <c:auto val="1"/>
        <c:lblAlgn val="ctr"/>
        <c:lblOffset val="100"/>
        <c:noMultiLvlLbl val="0"/>
      </c:catAx>
      <c:valAx>
        <c:axId val="1384034600"/>
        <c:scaling>
          <c:orientation val="minMax"/>
        </c:scaling>
        <c:delete val="1"/>
        <c:axPos val="l"/>
        <c:numFmt formatCode="&quot;$&quot;#,##0_);[Red]\(&quot;$&quot;#,##0\)" sourceLinked="1"/>
        <c:majorTickMark val="none"/>
        <c:minorTickMark val="none"/>
        <c:tickLblPos val="nextTo"/>
        <c:crossAx val="1384032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56028</xdr:colOff>
      <xdr:row>100</xdr:row>
      <xdr:rowOff>199214</xdr:rowOff>
    </xdr:from>
    <xdr:to>
      <xdr:col>9</xdr:col>
      <xdr:colOff>750792</xdr:colOff>
      <xdr:row>107</xdr:row>
      <xdr:rowOff>97045</xdr:rowOff>
    </xdr:to>
    <xdr:sp macro="" textlink="">
      <xdr:nvSpPr>
        <xdr:cNvPr id="349" name="Rectangle 348">
          <a:extLst>
            <a:ext uri="{FF2B5EF4-FFF2-40B4-BE49-F238E27FC236}">
              <a16:creationId xmlns:a16="http://schemas.microsoft.com/office/drawing/2014/main" id="{97F6ABEB-DE10-4C5D-8BB6-009E223E8CE6}"/>
            </a:ext>
          </a:extLst>
        </xdr:cNvPr>
        <xdr:cNvSpPr/>
      </xdr:nvSpPr>
      <xdr:spPr>
        <a:xfrm>
          <a:off x="9300881" y="19753479"/>
          <a:ext cx="5838264" cy="1242537"/>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indent="0" algn="ctr"/>
          <a:r>
            <a:rPr lang="en-AU" sz="900" b="1">
              <a:solidFill>
                <a:schemeClr val="bg1"/>
              </a:solidFill>
              <a:latin typeface="+mj-lt"/>
              <a:ea typeface="+mn-ea"/>
              <a:cs typeface="Arial" panose="020B0604020202020204" pitchFamily="34" charset="0"/>
            </a:rPr>
            <a:t>Total variable charge ($/year)</a:t>
          </a:r>
        </a:p>
      </xdr:txBody>
    </xdr:sp>
    <xdr:clientData/>
  </xdr:twoCellAnchor>
  <xdr:twoCellAnchor>
    <xdr:from>
      <xdr:col>2</xdr:col>
      <xdr:colOff>2364524</xdr:colOff>
      <xdr:row>100</xdr:row>
      <xdr:rowOff>199214</xdr:rowOff>
    </xdr:from>
    <xdr:to>
      <xdr:col>5</xdr:col>
      <xdr:colOff>1299882</xdr:colOff>
      <xdr:row>107</xdr:row>
      <xdr:rowOff>97045</xdr:rowOff>
    </xdr:to>
    <xdr:sp macro="" textlink="">
      <xdr:nvSpPr>
        <xdr:cNvPr id="363" name="Rectangle 362">
          <a:extLst>
            <a:ext uri="{FF2B5EF4-FFF2-40B4-BE49-F238E27FC236}">
              <a16:creationId xmlns:a16="http://schemas.microsoft.com/office/drawing/2014/main" id="{85F62CFE-F7A7-4C40-B18A-3BC3CE0156B7}"/>
            </a:ext>
          </a:extLst>
        </xdr:cNvPr>
        <xdr:cNvSpPr/>
      </xdr:nvSpPr>
      <xdr:spPr>
        <a:xfrm>
          <a:off x="3081700" y="19753479"/>
          <a:ext cx="5748535" cy="1242537"/>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indent="0" algn="ctr"/>
          <a:r>
            <a:rPr lang="en-AU" sz="900" b="1">
              <a:solidFill>
                <a:schemeClr val="bg1"/>
              </a:solidFill>
              <a:latin typeface="+mj-lt"/>
              <a:ea typeface="+mn-ea"/>
              <a:cs typeface="Arial" panose="020B0604020202020204" pitchFamily="34" charset="0"/>
            </a:rPr>
            <a:t>Total supply charge ($/year)</a:t>
          </a:r>
        </a:p>
      </xdr:txBody>
    </xdr:sp>
    <xdr:clientData/>
  </xdr:twoCellAnchor>
  <xdr:twoCellAnchor>
    <xdr:from>
      <xdr:col>2</xdr:col>
      <xdr:colOff>2454171</xdr:colOff>
      <xdr:row>102</xdr:row>
      <xdr:rowOff>44823</xdr:rowOff>
    </xdr:from>
    <xdr:to>
      <xdr:col>4</xdr:col>
      <xdr:colOff>907676</xdr:colOff>
      <xdr:row>107</xdr:row>
      <xdr:rowOff>39133</xdr:rowOff>
    </xdr:to>
    <xdr:sp macro="" textlink="">
      <xdr:nvSpPr>
        <xdr:cNvPr id="375" name="TextBox 374">
          <a:extLst>
            <a:ext uri="{FF2B5EF4-FFF2-40B4-BE49-F238E27FC236}">
              <a16:creationId xmlns:a16="http://schemas.microsoft.com/office/drawing/2014/main" id="{710E2D9B-331D-43EB-A449-8186F13AF7E5}"/>
            </a:ext>
          </a:extLst>
        </xdr:cNvPr>
        <xdr:cNvSpPr txBox="1"/>
      </xdr:nvSpPr>
      <xdr:spPr>
        <a:xfrm>
          <a:off x="3171347" y="19991294"/>
          <a:ext cx="3552182" cy="946810"/>
        </a:xfrm>
        <a:prstGeom prst="rect">
          <a:avLst/>
        </a:prstGeom>
        <a:noFill/>
        <a:ln w="28575" cmpd="sng">
          <a:solidFill>
            <a:schemeClr val="bg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Total supply charge</a:t>
          </a:r>
          <a:r>
            <a:rPr lang="en-AU" sz="900" b="1" baseline="0">
              <a:solidFill>
                <a:schemeClr val="bg1"/>
              </a:solidFill>
              <a:latin typeface="+mj-lt"/>
              <a:ea typeface="+mn-ea"/>
              <a:cs typeface="Arial" panose="020B0604020202020204" pitchFamily="34" charset="0"/>
            </a:rPr>
            <a:t> ($/day)</a:t>
          </a:r>
          <a:endParaRPr lang="en-AU" sz="900" b="1">
            <a:solidFill>
              <a:schemeClr val="bg1"/>
            </a:solidFill>
            <a:latin typeface="+mj-lt"/>
            <a:ea typeface="+mn-ea"/>
            <a:cs typeface="Arial" panose="020B0604020202020204" pitchFamily="34" charset="0"/>
          </a:endParaRPr>
        </a:p>
      </xdr:txBody>
    </xdr:sp>
    <xdr:clientData/>
  </xdr:twoCellAnchor>
  <xdr:twoCellAnchor>
    <xdr:from>
      <xdr:col>6</xdr:col>
      <xdr:colOff>257816</xdr:colOff>
      <xdr:row>102</xdr:row>
      <xdr:rowOff>44823</xdr:rowOff>
    </xdr:from>
    <xdr:to>
      <xdr:col>8</xdr:col>
      <xdr:colOff>380998</xdr:colOff>
      <xdr:row>107</xdr:row>
      <xdr:rowOff>39133</xdr:rowOff>
    </xdr:to>
    <xdr:sp macro="" textlink="">
      <xdr:nvSpPr>
        <xdr:cNvPr id="376" name="TextBox 375">
          <a:extLst>
            <a:ext uri="{FF2B5EF4-FFF2-40B4-BE49-F238E27FC236}">
              <a16:creationId xmlns:a16="http://schemas.microsoft.com/office/drawing/2014/main" id="{1E00ABB1-8718-431E-BCA5-766806932C88}"/>
            </a:ext>
          </a:extLst>
        </xdr:cNvPr>
        <xdr:cNvSpPr txBox="1"/>
      </xdr:nvSpPr>
      <xdr:spPr>
        <a:xfrm>
          <a:off x="9502669" y="19991294"/>
          <a:ext cx="3552182" cy="946810"/>
        </a:xfrm>
        <a:prstGeom prst="rect">
          <a:avLst/>
        </a:prstGeom>
        <a:noFill/>
        <a:ln w="28575" cmpd="sng">
          <a:solidFill>
            <a:schemeClr val="bg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Total variable charge</a:t>
          </a:r>
          <a:r>
            <a:rPr lang="en-AU" sz="900" b="1" baseline="0">
              <a:solidFill>
                <a:schemeClr val="bg1"/>
              </a:solidFill>
              <a:latin typeface="+mj-lt"/>
              <a:ea typeface="+mn-ea"/>
              <a:cs typeface="Arial" panose="020B0604020202020204" pitchFamily="34" charset="0"/>
            </a:rPr>
            <a:t> ($/kWh)</a:t>
          </a:r>
          <a:endParaRPr lang="en-AU" sz="900" b="1">
            <a:solidFill>
              <a:schemeClr val="bg1"/>
            </a:solidFill>
            <a:latin typeface="+mj-lt"/>
            <a:ea typeface="+mn-ea"/>
            <a:cs typeface="Arial" panose="020B0604020202020204" pitchFamily="34" charset="0"/>
          </a:endParaRPr>
        </a:p>
      </xdr:txBody>
    </xdr:sp>
    <xdr:clientData/>
  </xdr:twoCellAnchor>
  <xdr:twoCellAnchor>
    <xdr:from>
      <xdr:col>2</xdr:col>
      <xdr:colOff>2285999</xdr:colOff>
      <xdr:row>73</xdr:row>
      <xdr:rowOff>33619</xdr:rowOff>
    </xdr:from>
    <xdr:to>
      <xdr:col>6</xdr:col>
      <xdr:colOff>1109381</xdr:colOff>
      <xdr:row>79</xdr:row>
      <xdr:rowOff>141875</xdr:rowOff>
    </xdr:to>
    <xdr:sp macro="" textlink="">
      <xdr:nvSpPr>
        <xdr:cNvPr id="332" name="Rectangle 331">
          <a:extLst>
            <a:ext uri="{FF2B5EF4-FFF2-40B4-BE49-F238E27FC236}">
              <a16:creationId xmlns:a16="http://schemas.microsoft.com/office/drawing/2014/main" id="{7EB77414-9042-4301-AB4B-5A3F5FAC0DD3}"/>
            </a:ext>
          </a:extLst>
        </xdr:cNvPr>
        <xdr:cNvSpPr/>
      </xdr:nvSpPr>
      <xdr:spPr>
        <a:xfrm>
          <a:off x="3003175" y="15374472"/>
          <a:ext cx="7351059" cy="1251256"/>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True up cost ($)</a:t>
          </a:r>
        </a:p>
      </xdr:txBody>
    </xdr:sp>
    <xdr:clientData/>
  </xdr:twoCellAnchor>
  <xdr:twoCellAnchor>
    <xdr:from>
      <xdr:col>2</xdr:col>
      <xdr:colOff>2285999</xdr:colOff>
      <xdr:row>65</xdr:row>
      <xdr:rowOff>112060</xdr:rowOff>
    </xdr:from>
    <xdr:to>
      <xdr:col>6</xdr:col>
      <xdr:colOff>1109381</xdr:colOff>
      <xdr:row>72</xdr:row>
      <xdr:rowOff>29816</xdr:rowOff>
    </xdr:to>
    <xdr:sp macro="" textlink="">
      <xdr:nvSpPr>
        <xdr:cNvPr id="169" name="Rectangle 168">
          <a:extLst>
            <a:ext uri="{FF2B5EF4-FFF2-40B4-BE49-F238E27FC236}">
              <a16:creationId xmlns:a16="http://schemas.microsoft.com/office/drawing/2014/main" id="{CB1CF9E0-22EA-49D0-81E6-2C7DB131568F}"/>
            </a:ext>
          </a:extLst>
        </xdr:cNvPr>
        <xdr:cNvSpPr/>
      </xdr:nvSpPr>
      <xdr:spPr>
        <a:xfrm>
          <a:off x="3003175" y="13928913"/>
          <a:ext cx="7351059" cy="1251256"/>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True up cost ($)</a:t>
          </a:r>
        </a:p>
      </xdr:txBody>
    </xdr:sp>
    <xdr:clientData/>
  </xdr:twoCellAnchor>
  <xdr:twoCellAnchor>
    <xdr:from>
      <xdr:col>4</xdr:col>
      <xdr:colOff>1187823</xdr:colOff>
      <xdr:row>66</xdr:row>
      <xdr:rowOff>156883</xdr:rowOff>
    </xdr:from>
    <xdr:to>
      <xdr:col>6</xdr:col>
      <xdr:colOff>1008531</xdr:colOff>
      <xdr:row>71</xdr:row>
      <xdr:rowOff>151193</xdr:rowOff>
    </xdr:to>
    <xdr:sp macro="" textlink="">
      <xdr:nvSpPr>
        <xdr:cNvPr id="208" name="TextBox 207">
          <a:extLst>
            <a:ext uri="{FF2B5EF4-FFF2-40B4-BE49-F238E27FC236}">
              <a16:creationId xmlns:a16="http://schemas.microsoft.com/office/drawing/2014/main" id="{75F0AED9-8428-4605-AE6C-D7D8FB204127}"/>
            </a:ext>
          </a:extLst>
        </xdr:cNvPr>
        <xdr:cNvSpPr txBox="1"/>
      </xdr:nvSpPr>
      <xdr:spPr>
        <a:xfrm>
          <a:off x="7003676" y="14164236"/>
          <a:ext cx="3249708" cy="946810"/>
        </a:xfrm>
        <a:prstGeom prst="rect">
          <a:avLst/>
        </a:prstGeom>
        <a:noFill/>
        <a:ln w="28575" cmpd="sng">
          <a:solidFill>
            <a:schemeClr val="bg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Cost allowance in previous decision ($)</a:t>
          </a:r>
        </a:p>
      </xdr:txBody>
    </xdr:sp>
    <xdr:clientData/>
  </xdr:twoCellAnchor>
  <xdr:twoCellAnchor>
    <xdr:from>
      <xdr:col>2</xdr:col>
      <xdr:colOff>2442882</xdr:colOff>
      <xdr:row>66</xdr:row>
      <xdr:rowOff>156883</xdr:rowOff>
    </xdr:from>
    <xdr:to>
      <xdr:col>4</xdr:col>
      <xdr:colOff>593913</xdr:colOff>
      <xdr:row>71</xdr:row>
      <xdr:rowOff>151193</xdr:rowOff>
    </xdr:to>
    <xdr:sp macro="" textlink="">
      <xdr:nvSpPr>
        <xdr:cNvPr id="207" name="TextBox 206">
          <a:extLst>
            <a:ext uri="{FF2B5EF4-FFF2-40B4-BE49-F238E27FC236}">
              <a16:creationId xmlns:a16="http://schemas.microsoft.com/office/drawing/2014/main" id="{5A8A21A0-0E9C-477D-8B74-6D2FD6992904}"/>
            </a:ext>
          </a:extLst>
        </xdr:cNvPr>
        <xdr:cNvSpPr txBox="1"/>
      </xdr:nvSpPr>
      <xdr:spPr>
        <a:xfrm>
          <a:off x="3160058" y="14164236"/>
          <a:ext cx="3249708" cy="946810"/>
        </a:xfrm>
        <a:prstGeom prst="rect">
          <a:avLst/>
        </a:prstGeom>
        <a:noFill/>
        <a:ln w="28575" cmpd="sng">
          <a:solidFill>
            <a:schemeClr val="bg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Actual cost ($)</a:t>
          </a:r>
        </a:p>
      </xdr:txBody>
    </xdr:sp>
    <xdr:clientData/>
  </xdr:twoCellAnchor>
  <xdr:twoCellAnchor>
    <xdr:from>
      <xdr:col>2</xdr:col>
      <xdr:colOff>0</xdr:colOff>
      <xdr:row>6</xdr:row>
      <xdr:rowOff>0</xdr:rowOff>
    </xdr:from>
    <xdr:to>
      <xdr:col>9</xdr:col>
      <xdr:colOff>1604842</xdr:colOff>
      <xdr:row>36</xdr:row>
      <xdr:rowOff>55672</xdr:rowOff>
    </xdr:to>
    <xdr:grpSp>
      <xdr:nvGrpSpPr>
        <xdr:cNvPr id="3" name="Group 80">
          <a:extLst>
            <a:ext uri="{FF2B5EF4-FFF2-40B4-BE49-F238E27FC236}">
              <a16:creationId xmlns:a16="http://schemas.microsoft.com/office/drawing/2014/main" id="{20A56223-2431-4F27-B3EA-BA7A5072D103}"/>
            </a:ext>
          </a:extLst>
        </xdr:cNvPr>
        <xdr:cNvGrpSpPr/>
      </xdr:nvGrpSpPr>
      <xdr:grpSpPr>
        <a:xfrm>
          <a:off x="717176" y="1792941"/>
          <a:ext cx="15276019" cy="5770672"/>
          <a:chOff x="199305" y="11867386"/>
          <a:chExt cx="14851407" cy="5774489"/>
        </a:xfrm>
      </xdr:grpSpPr>
      <xdr:grpSp>
        <xdr:nvGrpSpPr>
          <xdr:cNvPr id="4" name="Group 81">
            <a:extLst>
              <a:ext uri="{FF2B5EF4-FFF2-40B4-BE49-F238E27FC236}">
                <a16:creationId xmlns:a16="http://schemas.microsoft.com/office/drawing/2014/main" id="{C08E5B7E-DC0F-4F75-B4B0-FD590CE11652}"/>
              </a:ext>
            </a:extLst>
          </xdr:cNvPr>
          <xdr:cNvGrpSpPr/>
        </xdr:nvGrpSpPr>
        <xdr:grpSpPr>
          <a:xfrm>
            <a:off x="199305" y="11867386"/>
            <a:ext cx="14851407" cy="5774489"/>
            <a:chOff x="360589" y="793307"/>
            <a:chExt cx="14454099" cy="5519880"/>
          </a:xfrm>
        </xdr:grpSpPr>
        <xdr:grpSp>
          <xdr:nvGrpSpPr>
            <xdr:cNvPr id="5" name="Group 84">
              <a:extLst>
                <a:ext uri="{FF2B5EF4-FFF2-40B4-BE49-F238E27FC236}">
                  <a16:creationId xmlns:a16="http://schemas.microsoft.com/office/drawing/2014/main" id="{8AF0CD35-A132-4A35-8F9B-3D37599298C1}"/>
                </a:ext>
              </a:extLst>
            </xdr:cNvPr>
            <xdr:cNvGrpSpPr/>
          </xdr:nvGrpSpPr>
          <xdr:grpSpPr>
            <a:xfrm>
              <a:off x="360589" y="793307"/>
              <a:ext cx="14454099" cy="5519880"/>
              <a:chOff x="367393" y="820522"/>
              <a:chExt cx="14868846" cy="5780769"/>
            </a:xfrm>
          </xdr:grpSpPr>
          <xdr:grpSp>
            <xdr:nvGrpSpPr>
              <xdr:cNvPr id="6" name="Group 91">
                <a:extLst>
                  <a:ext uri="{FF2B5EF4-FFF2-40B4-BE49-F238E27FC236}">
                    <a16:creationId xmlns:a16="http://schemas.microsoft.com/office/drawing/2014/main" id="{3D1368CB-0402-4FA7-B709-597E9F14F105}"/>
                  </a:ext>
                </a:extLst>
              </xdr:cNvPr>
              <xdr:cNvGrpSpPr/>
            </xdr:nvGrpSpPr>
            <xdr:grpSpPr>
              <a:xfrm>
                <a:off x="367393" y="820522"/>
                <a:ext cx="14868846" cy="5780769"/>
                <a:chOff x="367393" y="820522"/>
                <a:chExt cx="14868846" cy="5780769"/>
              </a:xfrm>
            </xdr:grpSpPr>
            <xdr:grpSp>
              <xdr:nvGrpSpPr>
                <xdr:cNvPr id="7" name="Group 96">
                  <a:extLst>
                    <a:ext uri="{FF2B5EF4-FFF2-40B4-BE49-F238E27FC236}">
                      <a16:creationId xmlns:a16="http://schemas.microsoft.com/office/drawing/2014/main" id="{2491A49E-37BF-47DA-B693-F8F90F09517C}"/>
                    </a:ext>
                  </a:extLst>
                </xdr:cNvPr>
                <xdr:cNvGrpSpPr/>
              </xdr:nvGrpSpPr>
              <xdr:grpSpPr>
                <a:xfrm>
                  <a:off x="367393" y="820522"/>
                  <a:ext cx="14868846" cy="5780769"/>
                  <a:chOff x="244929" y="-789201"/>
                  <a:chExt cx="14868846" cy="5780769"/>
                </a:xfrm>
              </xdr:grpSpPr>
              <xdr:grpSp>
                <xdr:nvGrpSpPr>
                  <xdr:cNvPr id="8" name="Group 98">
                    <a:extLst>
                      <a:ext uri="{FF2B5EF4-FFF2-40B4-BE49-F238E27FC236}">
                        <a16:creationId xmlns:a16="http://schemas.microsoft.com/office/drawing/2014/main" id="{E4486211-B52A-4939-9298-3B35D8598533}"/>
                      </a:ext>
                    </a:extLst>
                  </xdr:cNvPr>
                  <xdr:cNvGrpSpPr/>
                </xdr:nvGrpSpPr>
                <xdr:grpSpPr>
                  <a:xfrm>
                    <a:off x="244929" y="-789201"/>
                    <a:ext cx="14868846" cy="5780769"/>
                    <a:chOff x="244929" y="-789201"/>
                    <a:chExt cx="14868846" cy="5780769"/>
                  </a:xfrm>
                </xdr:grpSpPr>
                <xdr:sp macro="" textlink="">
                  <xdr:nvSpPr>
                    <xdr:cNvPr id="9" name="Rounded Rectangle 107">
                      <a:extLst>
                        <a:ext uri="{FF2B5EF4-FFF2-40B4-BE49-F238E27FC236}">
                          <a16:creationId xmlns:a16="http://schemas.microsoft.com/office/drawing/2014/main" id="{DADF9959-75C2-43D7-A708-0BE63BF6FC99}"/>
                        </a:ext>
                      </a:extLst>
                    </xdr:cNvPr>
                    <xdr:cNvSpPr/>
                  </xdr:nvSpPr>
                  <xdr:spPr>
                    <a:xfrm>
                      <a:off x="244929" y="120064"/>
                      <a:ext cx="5633357" cy="4871502"/>
                    </a:xfrm>
                    <a:prstGeom prst="roundRect">
                      <a:avLst>
                        <a:gd name="adj" fmla="val 0"/>
                      </a:avLst>
                    </a:prstGeom>
                    <a:solidFill>
                      <a:srgbClr val="FFFFFF">
                        <a:lumMod val="95000"/>
                        <a:alpha val="50000"/>
                      </a:srgbClr>
                    </a:solidFill>
                    <a:ln w="12700" cap="flat" cmpd="sng" algn="ctr">
                      <a:solidFill>
                        <a:srgbClr val="FFFFFF">
                          <a:lumMod val="50000"/>
                        </a:srgbClr>
                      </a:solidFill>
                      <a:prstDash val="solid"/>
                      <a:miter lim="800000"/>
                    </a:ln>
                    <a:effectLst/>
                  </xdr:spPr>
                  <xdr:txBody>
                    <a:bodyPr vertOverflow="clip" horzOverflow="clip"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INPUTS AND ASSUMPTIONS</a:t>
                      </a:r>
                    </a:p>
                  </xdr:txBody>
                </xdr:sp>
                <xdr:sp macro="" textlink="">
                  <xdr:nvSpPr>
                    <xdr:cNvPr id="10" name="Rounded Rectangle 108">
                      <a:extLst>
                        <a:ext uri="{FF2B5EF4-FFF2-40B4-BE49-F238E27FC236}">
                          <a16:creationId xmlns:a16="http://schemas.microsoft.com/office/drawing/2014/main" id="{5B070611-19A5-4342-9D12-D519941AAE70}"/>
                        </a:ext>
                      </a:extLst>
                    </xdr:cNvPr>
                    <xdr:cNvSpPr/>
                  </xdr:nvSpPr>
                  <xdr:spPr>
                    <a:xfrm>
                      <a:off x="6134350" y="1002847"/>
                      <a:ext cx="4849090" cy="3988721"/>
                    </a:xfrm>
                    <a:prstGeom prst="roundRect">
                      <a:avLst>
                        <a:gd name="adj" fmla="val 0"/>
                      </a:avLst>
                    </a:prstGeom>
                    <a:solidFill>
                      <a:srgbClr val="236192"/>
                    </a:solidFill>
                    <a:ln w="9525" cmpd="sng">
                      <a:solidFill>
                        <a:sysClr val="windowText" lastClr="000000"/>
                      </a:solidFill>
                    </a:ln>
                    <a:effectLst/>
                  </xdr:spPr>
                  <xdr:txBody>
                    <a:bodyPr vertOverflow="clip" horz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Calc_C</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Calculations will take reference to inputs in the period selected by user.</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Fixed tariff,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Variable tariff,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Annual bill,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Fixed tariff, small business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Variable tariff, small business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Annual bill, small business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xdr:txBody>
                </xdr:sp>
                <xdr:sp macro="" textlink="">
                  <xdr:nvSpPr>
                    <xdr:cNvPr id="11" name="Rectangle 102">
                      <a:extLst>
                        <a:ext uri="{FF2B5EF4-FFF2-40B4-BE49-F238E27FC236}">
                          <a16:creationId xmlns:a16="http://schemas.microsoft.com/office/drawing/2014/main" id="{7ED4F174-8621-4ACA-9290-E39D4A72785F}"/>
                        </a:ext>
                      </a:extLst>
                    </xdr:cNvPr>
                    <xdr:cNvSpPr/>
                  </xdr:nvSpPr>
                  <xdr:spPr>
                    <a:xfrm>
                      <a:off x="6134350" y="120988"/>
                      <a:ext cx="4849090" cy="786610"/>
                    </a:xfrm>
                    <a:prstGeom prst="rect">
                      <a:avLst/>
                    </a:prstGeom>
                    <a:solidFill>
                      <a:sysClr val="windowText" lastClr="000000">
                        <a:lumMod val="50000"/>
                        <a:lumOff val="50000"/>
                      </a:sysClr>
                    </a:solidFill>
                    <a:ln w="12700" cap="flat" cmpd="sng" algn="ctr">
                      <a:solidFill>
                        <a:sysClr val="windowText" lastClr="000000">
                          <a:shade val="50000"/>
                        </a:sys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mn-cs"/>
                        </a:rPr>
                        <a:t>Period Selector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rgbClr val="FFFFFF"/>
                          </a:solidFill>
                          <a:effectLst/>
                          <a:uLnTx/>
                          <a:uFillTx/>
                          <a:latin typeface="Arial" panose="020B0604020202020204"/>
                          <a:ea typeface="+mn-ea"/>
                          <a:cs typeface="+mn-cs"/>
                        </a:rPr>
                        <a:t>Dropdown menu of current and historical periods included in each worksheet allowing for user to select desired period</a:t>
                      </a:r>
                    </a:p>
                  </xdr:txBody>
                </xdr:sp>
                <xdr:sp macro="" textlink="">
                  <xdr:nvSpPr>
                    <xdr:cNvPr id="12" name="Rectangle 103">
                      <a:extLst>
                        <a:ext uri="{FF2B5EF4-FFF2-40B4-BE49-F238E27FC236}">
                          <a16:creationId xmlns:a16="http://schemas.microsoft.com/office/drawing/2014/main" id="{AE00A211-4C7E-4289-8584-64FAED672848}"/>
                        </a:ext>
                      </a:extLst>
                    </xdr:cNvPr>
                    <xdr:cNvSpPr/>
                  </xdr:nvSpPr>
                  <xdr:spPr>
                    <a:xfrm>
                      <a:off x="3116035" y="1510393"/>
                      <a:ext cx="2449286" cy="1347108"/>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endParaRPr>
                    </a:p>
                  </xdr:txBody>
                </xdr:sp>
                <xdr:sp macro="" textlink="">
                  <xdr:nvSpPr>
                    <xdr:cNvPr id="13" name="Rectangle 104">
                      <a:extLst>
                        <a:ext uri="{FF2B5EF4-FFF2-40B4-BE49-F238E27FC236}">
                          <a16:creationId xmlns:a16="http://schemas.microsoft.com/office/drawing/2014/main" id="{AFBCC46F-893C-41B5-B7B7-BA7A50C32AC6}"/>
                        </a:ext>
                      </a:extLst>
                    </xdr:cNvPr>
                    <xdr:cNvSpPr/>
                  </xdr:nvSpPr>
                  <xdr:spPr>
                    <a:xfrm>
                      <a:off x="590549" y="1047750"/>
                      <a:ext cx="2525487" cy="2544536"/>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endParaRPr>
                    </a:p>
                  </xdr:txBody>
                </xdr:sp>
                <xdr:sp macro="" textlink="">
                  <xdr:nvSpPr>
                    <xdr:cNvPr id="14" name="Rectangle 105">
                      <a:extLst>
                        <a:ext uri="{FF2B5EF4-FFF2-40B4-BE49-F238E27FC236}">
                          <a16:creationId xmlns:a16="http://schemas.microsoft.com/office/drawing/2014/main" id="{4AF6E949-F4A1-4D82-A73B-82939FDE70F5}"/>
                        </a:ext>
                      </a:extLst>
                    </xdr:cNvPr>
                    <xdr:cNvSpPr/>
                  </xdr:nvSpPr>
                  <xdr:spPr>
                    <a:xfrm>
                      <a:off x="651780" y="3891643"/>
                      <a:ext cx="2277178" cy="598714"/>
                    </a:xfrm>
                    <a:prstGeom prst="rect">
                      <a:avLst/>
                    </a:prstGeom>
                    <a:no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endParaRPr>
                    </a:p>
                  </xdr:txBody>
                </xdr:sp>
                <xdr:sp macro="" textlink="">
                  <xdr:nvSpPr>
                    <xdr:cNvPr id="15" name="TextBox 106">
                      <a:extLst>
                        <a:ext uri="{FF2B5EF4-FFF2-40B4-BE49-F238E27FC236}">
                          <a16:creationId xmlns:a16="http://schemas.microsoft.com/office/drawing/2014/main" id="{15A6298F-4BA1-472E-B252-2D6A9B5CE028}"/>
                        </a:ext>
                      </a:extLst>
                    </xdr:cNvPr>
                    <xdr:cNvSpPr txBox="1"/>
                  </xdr:nvSpPr>
                  <xdr:spPr>
                    <a:xfrm>
                      <a:off x="11280694" y="120988"/>
                      <a:ext cx="3833081" cy="4870579"/>
                    </a:xfrm>
                    <a:prstGeom prst="rect">
                      <a:avLst/>
                    </a:prstGeom>
                    <a:solidFill>
                      <a:srgbClr val="CE0058"/>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Tariff_O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Final calculations are extracted and organised, ready for publishing</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Display the respective rates and bills for all electricity providers, for residential and small business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FFFFFF"/>
                        </a:solidFill>
                        <a:effectLst/>
                        <a:uLnTx/>
                        <a:uFillTx/>
                        <a:latin typeface="Arial" panose="020B060402020202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Outputs include: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VDO Tariff Rates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VDO Estimated annual bills</a:t>
                      </a:r>
                    </a:p>
                  </xdr:txBody>
                </xdr:sp>
                <xdr:sp macro="" textlink="">
                  <xdr:nvSpPr>
                    <xdr:cNvPr id="16" name="TextBox 107">
                      <a:extLst>
                        <a:ext uri="{FF2B5EF4-FFF2-40B4-BE49-F238E27FC236}">
                          <a16:creationId xmlns:a16="http://schemas.microsoft.com/office/drawing/2014/main" id="{B5BC4048-0CE2-4393-A39F-1395AD3C96EB}"/>
                        </a:ext>
                      </a:extLst>
                    </xdr:cNvPr>
                    <xdr:cNvSpPr txBox="1"/>
                  </xdr:nvSpPr>
                  <xdr:spPr>
                    <a:xfrm>
                      <a:off x="6951435" y="-771611"/>
                      <a:ext cx="766583" cy="829433"/>
                    </a:xfrm>
                    <a:prstGeom prst="rect">
                      <a:avLst/>
                    </a:prstGeom>
                    <a:solidFill>
                      <a:srgbClr val="FFFFFF">
                        <a:lumMod val="65000"/>
                      </a:srgbClr>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mn-cs"/>
                        </a:rPr>
                        <a:t>Contents</a:t>
                      </a:r>
                    </a:p>
                  </xdr:txBody>
                </xdr:sp>
                <xdr:sp macro="" textlink="">
                  <xdr:nvSpPr>
                    <xdr:cNvPr id="17" name="TextBox 108">
                      <a:extLst>
                        <a:ext uri="{FF2B5EF4-FFF2-40B4-BE49-F238E27FC236}">
                          <a16:creationId xmlns:a16="http://schemas.microsoft.com/office/drawing/2014/main" id="{47339E79-6907-456D-941D-6FA86FF830A8}"/>
                        </a:ext>
                      </a:extLst>
                    </xdr:cNvPr>
                    <xdr:cNvSpPr txBox="1"/>
                  </xdr:nvSpPr>
                  <xdr:spPr>
                    <a:xfrm>
                      <a:off x="7770615" y="-771611"/>
                      <a:ext cx="766583" cy="829433"/>
                    </a:xfrm>
                    <a:prstGeom prst="rect">
                      <a:avLst/>
                    </a:prstGeom>
                    <a:solidFill>
                      <a:srgbClr val="FFFFFF">
                        <a:lumMod val="65000"/>
                      </a:srgbClr>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Information</a:t>
                      </a:r>
                      <a:endPar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endParaRPr>
                    </a:p>
                  </xdr:txBody>
                </xdr:sp>
                <xdr:sp macro="" textlink="">
                  <xdr:nvSpPr>
                    <xdr:cNvPr id="18" name="TextBox 109">
                      <a:extLst>
                        <a:ext uri="{FF2B5EF4-FFF2-40B4-BE49-F238E27FC236}">
                          <a16:creationId xmlns:a16="http://schemas.microsoft.com/office/drawing/2014/main" id="{B35E2222-20A3-40FD-8D43-C5EFD99DC7C6}"/>
                        </a:ext>
                      </a:extLst>
                    </xdr:cNvPr>
                    <xdr:cNvSpPr txBox="1"/>
                  </xdr:nvSpPr>
                  <xdr:spPr>
                    <a:xfrm>
                      <a:off x="9408974" y="-771611"/>
                      <a:ext cx="766583" cy="829433"/>
                    </a:xfrm>
                    <a:prstGeom prst="rect">
                      <a:avLst/>
                    </a:prstGeom>
                    <a:solidFill>
                      <a:srgbClr val="FFFFFF">
                        <a:lumMod val="65000"/>
                      </a:srgbClr>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Data</a:t>
                      </a:r>
                      <a:endPar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endParaRPr>
                    </a:p>
                  </xdr:txBody>
                </xdr:sp>
                <xdr:sp macro="" textlink="">
                  <xdr:nvSpPr>
                    <xdr:cNvPr id="19" name="TextBox 110">
                      <a:extLst>
                        <a:ext uri="{FF2B5EF4-FFF2-40B4-BE49-F238E27FC236}">
                          <a16:creationId xmlns:a16="http://schemas.microsoft.com/office/drawing/2014/main" id="{D8B1F174-B906-474C-B608-DA1D3C0507CF}"/>
                        </a:ext>
                      </a:extLst>
                    </xdr:cNvPr>
                    <xdr:cNvSpPr txBox="1"/>
                  </xdr:nvSpPr>
                  <xdr:spPr>
                    <a:xfrm>
                      <a:off x="8589795" y="-771611"/>
                      <a:ext cx="766583" cy="829433"/>
                    </a:xfrm>
                    <a:prstGeom prst="rect">
                      <a:avLst/>
                    </a:prstGeom>
                    <a:solidFill>
                      <a:srgbClr val="FFFFFF">
                        <a:lumMod val="65000"/>
                      </a:srgbClr>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Change</a:t>
                      </a:r>
                    </a:p>
                  </xdr:txBody>
                </xdr:sp>
                <xdr:sp macro="" textlink="">
                  <xdr:nvSpPr>
                    <xdr:cNvPr id="20" name="TextBox 111">
                      <a:extLst>
                        <a:ext uri="{FF2B5EF4-FFF2-40B4-BE49-F238E27FC236}">
                          <a16:creationId xmlns:a16="http://schemas.microsoft.com/office/drawing/2014/main" id="{7C738FD1-3AAD-4D78-8F92-81AE77D936EB}"/>
                        </a:ext>
                      </a:extLst>
                    </xdr:cNvPr>
                    <xdr:cNvSpPr txBox="1"/>
                  </xdr:nvSpPr>
                  <xdr:spPr>
                    <a:xfrm>
                      <a:off x="6132255" y="-771611"/>
                      <a:ext cx="766583" cy="829433"/>
                    </a:xfrm>
                    <a:prstGeom prst="rect">
                      <a:avLst/>
                    </a:prstGeom>
                    <a:solidFill>
                      <a:srgbClr val="FFFFFF">
                        <a:lumMod val="65000"/>
                      </a:srgbClr>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Disclaimer</a:t>
                      </a:r>
                      <a:endPar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endParaRPr>
                    </a:p>
                  </xdr:txBody>
                </xdr:sp>
                <xdr:sp macro="" textlink="">
                  <xdr:nvSpPr>
                    <xdr:cNvPr id="21" name="Rounded Rectangle 125">
                      <a:extLst>
                        <a:ext uri="{FF2B5EF4-FFF2-40B4-BE49-F238E27FC236}">
                          <a16:creationId xmlns:a16="http://schemas.microsoft.com/office/drawing/2014/main" id="{E5DCA80B-5419-4531-AC40-993F502EBEB4}"/>
                        </a:ext>
                      </a:extLst>
                    </xdr:cNvPr>
                    <xdr:cNvSpPr/>
                  </xdr:nvSpPr>
                  <xdr:spPr>
                    <a:xfrm>
                      <a:off x="244929" y="-789201"/>
                      <a:ext cx="5633357" cy="828591"/>
                    </a:xfrm>
                    <a:prstGeom prst="roundRect">
                      <a:avLst>
                        <a:gd name="adj" fmla="val 0"/>
                      </a:avLst>
                    </a:prstGeom>
                    <a:solidFill>
                      <a:sysClr val="window" lastClr="FFFFFF"/>
                    </a:solidFill>
                    <a:ln w="12700" cap="flat" cmpd="sng" algn="ctr">
                      <a:solidFill>
                        <a:srgbClr val="FFFFFF">
                          <a:lumMod val="50000"/>
                        </a:srgbClr>
                      </a:solidFill>
                      <a:prstDash val="solid"/>
                      <a:miter lim="800000"/>
                    </a:ln>
                    <a:effectLst/>
                  </xdr:spPr>
                  <xdr:txBody>
                    <a:bodyPr vertOverflow="clip" horzOverflow="clip" lIns="91440" tIns="45720" rIns="91440" bIns="9144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mn-cs"/>
                        </a:rPr>
                        <a:t>LEGEND</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mn-cs"/>
                      </a:endParaRPr>
                    </a:p>
                  </xdr:txBody>
                </xdr:sp>
                <xdr:sp macro="" textlink="">
                  <xdr:nvSpPr>
                    <xdr:cNvPr id="22" name="TextBox 113">
                      <a:extLst>
                        <a:ext uri="{FF2B5EF4-FFF2-40B4-BE49-F238E27FC236}">
                          <a16:creationId xmlns:a16="http://schemas.microsoft.com/office/drawing/2014/main" id="{C2B0E760-40AE-4038-82A9-5B2FC815A494}"/>
                        </a:ext>
                      </a:extLst>
                    </xdr:cNvPr>
                    <xdr:cNvSpPr txBox="1"/>
                  </xdr:nvSpPr>
                  <xdr:spPr>
                    <a:xfrm>
                      <a:off x="440733" y="-479018"/>
                      <a:ext cx="1265108" cy="400170"/>
                    </a:xfrm>
                    <a:prstGeom prst="rect">
                      <a:avLst/>
                    </a:prstGeom>
                    <a:solidFill>
                      <a:srgbClr val="AFCDDB"/>
                    </a:solidFill>
                    <a:ln w="9525" cmpd="sng">
                      <a:solidFill>
                        <a:srgbClr val="FFFFFF">
                          <a:shade val="50000"/>
                        </a:srgb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Inputs</a:t>
                      </a:r>
                    </a:p>
                  </xdr:txBody>
                </xdr:sp>
                <xdr:sp macro="" textlink="">
                  <xdr:nvSpPr>
                    <xdr:cNvPr id="23" name="TextBox 114">
                      <a:extLst>
                        <a:ext uri="{FF2B5EF4-FFF2-40B4-BE49-F238E27FC236}">
                          <a16:creationId xmlns:a16="http://schemas.microsoft.com/office/drawing/2014/main" id="{C8DC98E2-389F-4F67-A2EA-731D8C7B5B98}"/>
                        </a:ext>
                      </a:extLst>
                    </xdr:cNvPr>
                    <xdr:cNvSpPr txBox="1"/>
                  </xdr:nvSpPr>
                  <xdr:spPr>
                    <a:xfrm>
                      <a:off x="1791648" y="-479117"/>
                      <a:ext cx="1256352" cy="397488"/>
                    </a:xfrm>
                    <a:prstGeom prst="rect">
                      <a:avLst/>
                    </a:prstGeom>
                    <a:solidFill>
                      <a:srgbClr val="236192"/>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Calculations</a:t>
                      </a:r>
                    </a:p>
                  </xdr:txBody>
                </xdr:sp>
                <xdr:sp macro="" textlink="">
                  <xdr:nvSpPr>
                    <xdr:cNvPr id="24" name="TextBox 115">
                      <a:extLst>
                        <a:ext uri="{FF2B5EF4-FFF2-40B4-BE49-F238E27FC236}">
                          <a16:creationId xmlns:a16="http://schemas.microsoft.com/office/drawing/2014/main" id="{AC75EF32-8050-4AFA-A187-C3E360F83608}"/>
                        </a:ext>
                      </a:extLst>
                    </xdr:cNvPr>
                    <xdr:cNvSpPr txBox="1"/>
                  </xdr:nvSpPr>
                  <xdr:spPr>
                    <a:xfrm>
                      <a:off x="3129643" y="-475624"/>
                      <a:ext cx="1256352" cy="393995"/>
                    </a:xfrm>
                    <a:prstGeom prst="rect">
                      <a:avLst/>
                    </a:prstGeom>
                    <a:solidFill>
                      <a:srgbClr val="CE0058"/>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Outputs</a:t>
                      </a:r>
                    </a:p>
                  </xdr:txBody>
                </xdr:sp>
                <xdr:sp macro="" textlink="">
                  <xdr:nvSpPr>
                    <xdr:cNvPr id="25" name="TextBox 116">
                      <a:extLst>
                        <a:ext uri="{FF2B5EF4-FFF2-40B4-BE49-F238E27FC236}">
                          <a16:creationId xmlns:a16="http://schemas.microsoft.com/office/drawing/2014/main" id="{FA5AF2AB-2A17-4986-BF57-633C26797917}"/>
                        </a:ext>
                      </a:extLst>
                    </xdr:cNvPr>
                    <xdr:cNvSpPr txBox="1"/>
                  </xdr:nvSpPr>
                  <xdr:spPr>
                    <a:xfrm>
                      <a:off x="4458647" y="-474255"/>
                      <a:ext cx="1256352" cy="390644"/>
                    </a:xfrm>
                    <a:prstGeom prst="rect">
                      <a:avLst/>
                    </a:prstGeom>
                    <a:solidFill>
                      <a:srgbClr val="FFFFFF">
                        <a:lumMod val="65000"/>
                      </a:srgbClr>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Supporting Worksheets</a:t>
                      </a:r>
                    </a:p>
                  </xdr:txBody>
                </xdr:sp>
                <xdr:cxnSp macro="">
                  <xdr:nvCxnSpPr>
                    <xdr:cNvPr id="27" name="Straight Arrow Connector 118">
                      <a:extLst>
                        <a:ext uri="{FF2B5EF4-FFF2-40B4-BE49-F238E27FC236}">
                          <a16:creationId xmlns:a16="http://schemas.microsoft.com/office/drawing/2014/main" id="{C63F4C4F-0735-424C-9263-9D8B29BDEFC7}"/>
                        </a:ext>
                      </a:extLst>
                    </xdr:cNvPr>
                    <xdr:cNvCxnSpPr/>
                  </xdr:nvCxnSpPr>
                  <xdr:spPr>
                    <a:xfrm flipV="1">
                      <a:off x="10990497" y="2571750"/>
                      <a:ext cx="235402" cy="1"/>
                    </a:xfrm>
                    <a:prstGeom prst="straightConnector1">
                      <a:avLst/>
                    </a:prstGeom>
                    <a:noFill/>
                    <a:ln w="12700" cap="flat" cmpd="sng" algn="ctr">
                      <a:solidFill>
                        <a:sysClr val="windowText" lastClr="000000"/>
                      </a:solidFill>
                      <a:prstDash val="solid"/>
                      <a:miter lim="800000"/>
                      <a:tailEnd type="triangle"/>
                    </a:ln>
                    <a:effectLst/>
                  </xdr:spPr>
                </xdr:cxnSp>
              </xdr:grpSp>
              <xdr:sp macro="" textlink="">
                <xdr:nvSpPr>
                  <xdr:cNvPr id="28" name="TextBox 99">
                    <a:extLst>
                      <a:ext uri="{FF2B5EF4-FFF2-40B4-BE49-F238E27FC236}">
                        <a16:creationId xmlns:a16="http://schemas.microsoft.com/office/drawing/2014/main" id="{CF8FF41C-98FE-41DE-891B-6357D463A07C}"/>
                      </a:ext>
                    </a:extLst>
                  </xdr:cNvPr>
                  <xdr:cNvSpPr txBox="1"/>
                </xdr:nvSpPr>
                <xdr:spPr>
                  <a:xfrm>
                    <a:off x="326572" y="4475553"/>
                    <a:ext cx="5483677" cy="426209"/>
                  </a:xfrm>
                  <a:prstGeom prst="rect">
                    <a:avLst/>
                  </a:prstGeom>
                  <a:solidFill>
                    <a:srgbClr val="AFCDDB"/>
                  </a:solidFill>
                  <a:ln w="9525" cmpd="sng">
                    <a:solidFill>
                      <a:srgbClr val="FFFFFF">
                        <a:shade val="50000"/>
                      </a:srgbClr>
                    </a:solidFill>
                  </a:ln>
                  <a:effectLst/>
                </xdr:spPr>
                <xdr:txBody>
                  <a:bodyPr vertOverflow="clip" horzOverflow="clip"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mn-cs"/>
                      </a:rPr>
                      <a:t>CPI inputs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Quarterly CPI indices and associated VDO regulatory periods</a:t>
                    </a:r>
                  </a:p>
                </xdr:txBody>
              </xdr:sp>
            </xdr:grpSp>
            <xdr:sp macro="" textlink="">
              <xdr:nvSpPr>
                <xdr:cNvPr id="29" name="TextBox 97">
                  <a:extLst>
                    <a:ext uri="{FF2B5EF4-FFF2-40B4-BE49-F238E27FC236}">
                      <a16:creationId xmlns:a16="http://schemas.microsoft.com/office/drawing/2014/main" id="{8A1CF666-196D-44F6-8951-34EED3C68478}"/>
                    </a:ext>
                  </a:extLst>
                </xdr:cNvPr>
                <xdr:cNvSpPr txBox="1"/>
              </xdr:nvSpPr>
              <xdr:spPr>
                <a:xfrm>
                  <a:off x="455081" y="1999200"/>
                  <a:ext cx="5459342" cy="3412549"/>
                </a:xfrm>
                <a:prstGeom prst="rect">
                  <a:avLst/>
                </a:prstGeom>
                <a:solidFill>
                  <a:srgbClr val="AFCDDB"/>
                </a:solidFill>
                <a:ln w="9525" cmpd="sng">
                  <a:solidFill>
                    <a:srgbClr val="FFFFFF">
                      <a:shade val="50000"/>
                    </a:srgbClr>
                  </a:solidFill>
                </a:ln>
                <a:effectLst/>
              </xdr:spPr>
              <xdr:txBody>
                <a:bodyPr vertOverflow="clip" horzOverflow="clip" wrap="square"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Inputs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Values to be inputted every new period, over time creating a time series of historical and current inputs.</a:t>
                  </a:r>
                </a:p>
              </xdr:txBody>
            </xdr:sp>
            <xdr:sp macro="" textlink="">
              <xdr:nvSpPr>
                <xdr:cNvPr id="30" name="TextBox 123">
                  <a:extLst>
                    <a:ext uri="{FF2B5EF4-FFF2-40B4-BE49-F238E27FC236}">
                      <a16:creationId xmlns:a16="http://schemas.microsoft.com/office/drawing/2014/main" id="{7420815E-0F85-4C85-BA61-C5A58F1EB871}"/>
                    </a:ext>
                  </a:extLst>
                </xdr:cNvPr>
                <xdr:cNvSpPr txBox="1"/>
              </xdr:nvSpPr>
              <xdr:spPr>
                <a:xfrm>
                  <a:off x="444174" y="5501552"/>
                  <a:ext cx="5459342" cy="493921"/>
                </a:xfrm>
                <a:prstGeom prst="rect">
                  <a:avLst/>
                </a:prstGeom>
                <a:solidFill>
                  <a:srgbClr val="AFCDDB"/>
                </a:solidFill>
                <a:ln w="9525" cmpd="sng">
                  <a:solidFill>
                    <a:srgbClr val="FFFFFF">
                      <a:shade val="50000"/>
                    </a:srgbClr>
                  </a:solidFill>
                </a:ln>
                <a:effectLst/>
              </xdr:spPr>
              <xdr:txBody>
                <a:bodyPr vertOverflow="clip" horzOverflow="clip" wrap="square"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General Assumptions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Inputs that remain constant across the time periods</a:t>
                  </a:r>
                </a:p>
              </xdr:txBody>
            </xdr:sp>
          </xdr:grpSp>
          <xdr:sp macro="" textlink="">
            <xdr:nvSpPr>
              <xdr:cNvPr id="31" name="TextBox 92">
                <a:extLst>
                  <a:ext uri="{FF2B5EF4-FFF2-40B4-BE49-F238E27FC236}">
                    <a16:creationId xmlns:a16="http://schemas.microsoft.com/office/drawing/2014/main" id="{1014C094-2F54-4172-B57E-4790967D5EF2}"/>
                  </a:ext>
                </a:extLst>
              </xdr:cNvPr>
              <xdr:cNvSpPr txBox="1"/>
            </xdr:nvSpPr>
            <xdr:spPr>
              <a:xfrm>
                <a:off x="584453" y="2706405"/>
                <a:ext cx="2590744" cy="2555915"/>
              </a:xfrm>
              <a:prstGeom prst="rect">
                <a:avLst/>
              </a:prstGeom>
              <a:solidFill>
                <a:srgbClr val="FFFFFF"/>
              </a:solidFill>
              <a:ln w="9525" cmpd="sng">
                <a:solidFill>
                  <a:srgbClr val="FFFFFF">
                    <a:shade val="50000"/>
                  </a:srgbClr>
                </a:solidFill>
              </a:ln>
              <a:effectLst/>
            </xdr:spPr>
            <xdr:txBody>
              <a:bodyPr vertOverflow="clip" horzOverflow="clip"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Variable Cost Input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Wholesale price,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Wholesale volatility,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Wholesale price, small business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Wholesale volatility, small business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Environmental programs price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Environmental programs liability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Ancillary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Network usage charge,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Network usage charge, small business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Controlled load charges, residential</a:t>
                </a:r>
              </a:p>
            </xdr:txBody>
          </xdr:sp>
          <xdr:sp macro="" textlink="">
            <xdr:nvSpPr>
              <xdr:cNvPr id="32" name="TextBox 93">
                <a:extLst>
                  <a:ext uri="{FF2B5EF4-FFF2-40B4-BE49-F238E27FC236}">
                    <a16:creationId xmlns:a16="http://schemas.microsoft.com/office/drawing/2014/main" id="{E739218C-B44E-4F91-B57D-9D84EC27B03A}"/>
                  </a:ext>
                </a:extLst>
              </xdr:cNvPr>
              <xdr:cNvSpPr txBox="1"/>
            </xdr:nvSpPr>
            <xdr:spPr>
              <a:xfrm>
                <a:off x="3276395" y="2706406"/>
                <a:ext cx="2536779" cy="1406262"/>
              </a:xfrm>
              <a:prstGeom prst="rect">
                <a:avLst/>
              </a:prstGeom>
              <a:solidFill>
                <a:srgbClr val="FFFFFF"/>
              </a:solidFill>
              <a:ln w="9525" cmpd="sng">
                <a:solidFill>
                  <a:srgbClr val="FFFFFF">
                    <a:shade val="50000"/>
                  </a:srgbClr>
                </a:solidFill>
              </a:ln>
              <a:effectLst/>
            </xdr:spPr>
            <xdr:txBody>
              <a:bodyPr vertOverflow="clip" horzOverflow="clip"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Fixed Cost Input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Retail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Solar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Ancillary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Metering</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Network supply charge,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Network supply charge, small business</a:t>
                </a:r>
              </a:p>
            </xdr:txBody>
          </xdr:sp>
          <xdr:sp macro="" textlink="">
            <xdr:nvSpPr>
              <xdr:cNvPr id="33" name="TextBox 94">
                <a:extLst>
                  <a:ext uri="{FF2B5EF4-FFF2-40B4-BE49-F238E27FC236}">
                    <a16:creationId xmlns:a16="http://schemas.microsoft.com/office/drawing/2014/main" id="{661FD5E0-9EEE-4B46-9684-7CFAD3BD60AE}"/>
                  </a:ext>
                </a:extLst>
              </xdr:cNvPr>
              <xdr:cNvSpPr txBox="1"/>
            </xdr:nvSpPr>
            <xdr:spPr>
              <a:xfrm>
                <a:off x="3280469" y="4195697"/>
                <a:ext cx="2529781" cy="1069678"/>
              </a:xfrm>
              <a:prstGeom prst="rect">
                <a:avLst/>
              </a:prstGeom>
              <a:solidFill>
                <a:srgbClr val="FFFFFF"/>
              </a:solidFill>
              <a:ln w="9525" cmpd="sng">
                <a:solidFill>
                  <a:srgbClr val="FFFFFF">
                    <a:shade val="50000"/>
                  </a:srgbClr>
                </a:solidFill>
              </a:ln>
              <a:effectLst/>
            </xdr:spPr>
            <xdr:txBody>
              <a:bodyPr vertOverflow="clip" horzOverflow="clip"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Non-Cost Input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Distribution network loss factors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Marginal network loss factors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Retail margin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Electricity consumption</a:t>
                </a:r>
              </a:p>
            </xdr:txBody>
          </xdr:sp>
          <xdr:sp macro="" textlink="">
            <xdr:nvSpPr>
              <xdr:cNvPr id="34" name="TextBox 95">
                <a:extLst>
                  <a:ext uri="{FF2B5EF4-FFF2-40B4-BE49-F238E27FC236}">
                    <a16:creationId xmlns:a16="http://schemas.microsoft.com/office/drawing/2014/main" id="{E1E9623C-D5D8-4BB4-8CA5-24BD19492BC2}"/>
                  </a:ext>
                </a:extLst>
              </xdr:cNvPr>
              <xdr:cNvSpPr txBox="1"/>
            </xdr:nvSpPr>
            <xdr:spPr>
              <a:xfrm>
                <a:off x="6715124" y="4793986"/>
                <a:ext cx="3946071" cy="1644571"/>
              </a:xfrm>
              <a:prstGeom prst="rect">
                <a:avLst/>
              </a:prstGeom>
              <a:noFill/>
              <a:ln w="9525" cmpd="sng">
                <a:noFill/>
              </a:ln>
              <a:effectLst/>
            </xdr:spPr>
            <xdr:txBody>
              <a:bodyPr vertOverflow="clip" horz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xdr:txBody>
          </xdr:sp>
        </xdr:grpSp>
        <xdr:sp macro="" textlink="">
          <xdr:nvSpPr>
            <xdr:cNvPr id="35" name="TextBox 85">
              <a:extLst>
                <a:ext uri="{FF2B5EF4-FFF2-40B4-BE49-F238E27FC236}">
                  <a16:creationId xmlns:a16="http://schemas.microsoft.com/office/drawing/2014/main" id="{D6FCE240-7C14-42C4-950E-108A20ECC6FF}"/>
                </a:ext>
              </a:extLst>
            </xdr:cNvPr>
            <xdr:cNvSpPr txBox="1"/>
          </xdr:nvSpPr>
          <xdr:spPr>
            <a:xfrm>
              <a:off x="6651625" y="4798063"/>
              <a:ext cx="1101873" cy="622365"/>
            </a:xfrm>
            <a:prstGeom prst="rect">
              <a:avLst/>
            </a:prstGeom>
            <a:solidFill>
              <a:srgbClr val="FFFFFF"/>
            </a:solidFill>
            <a:ln w="9525" cmpd="sng">
              <a:solidFill>
                <a:srgbClr val="FFFFFF">
                  <a:shade val="50000"/>
                </a:srgb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AusNet</a:t>
              </a:r>
            </a:p>
          </xdr:txBody>
        </xdr:sp>
        <xdr:sp macro="" textlink="">
          <xdr:nvSpPr>
            <xdr:cNvPr id="36" name="TextBox 86">
              <a:extLst>
                <a:ext uri="{FF2B5EF4-FFF2-40B4-BE49-F238E27FC236}">
                  <a16:creationId xmlns:a16="http://schemas.microsoft.com/office/drawing/2014/main" id="{6C6F8D72-B31D-49E4-A863-5AD31A6EF591}"/>
                </a:ext>
              </a:extLst>
            </xdr:cNvPr>
            <xdr:cNvSpPr txBox="1"/>
          </xdr:nvSpPr>
          <xdr:spPr>
            <a:xfrm>
              <a:off x="7894418" y="4798064"/>
              <a:ext cx="1101873" cy="622365"/>
            </a:xfrm>
            <a:prstGeom prst="rect">
              <a:avLst/>
            </a:prstGeom>
            <a:solidFill>
              <a:srgbClr val="FFFFFF"/>
            </a:solidFill>
            <a:ln w="9525" cmpd="sng">
              <a:solidFill>
                <a:srgbClr val="FFFFFF">
                  <a:shade val="50000"/>
                </a:srgb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CitiPower</a:t>
              </a:r>
            </a:p>
          </xdr:txBody>
        </xdr:sp>
        <xdr:sp macro="" textlink="">
          <xdr:nvSpPr>
            <xdr:cNvPr id="37" name="TextBox 87">
              <a:extLst>
                <a:ext uri="{FF2B5EF4-FFF2-40B4-BE49-F238E27FC236}">
                  <a16:creationId xmlns:a16="http://schemas.microsoft.com/office/drawing/2014/main" id="{40939CEF-2A9E-4B02-8904-35FC1B76B88A}"/>
                </a:ext>
              </a:extLst>
            </xdr:cNvPr>
            <xdr:cNvSpPr txBox="1"/>
          </xdr:nvSpPr>
          <xdr:spPr>
            <a:xfrm>
              <a:off x="9148079" y="4803925"/>
              <a:ext cx="1100985" cy="608199"/>
            </a:xfrm>
            <a:prstGeom prst="rect">
              <a:avLst/>
            </a:prstGeom>
            <a:solidFill>
              <a:srgbClr val="FFFFFF"/>
            </a:solidFill>
            <a:ln w="9525" cmpd="sng">
              <a:solidFill>
                <a:srgbClr val="FFFFFF">
                  <a:shade val="50000"/>
                </a:srgb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Jemena</a:t>
              </a:r>
            </a:p>
          </xdr:txBody>
        </xdr:sp>
        <xdr:sp macro="" textlink="">
          <xdr:nvSpPr>
            <xdr:cNvPr id="38" name="TextBox 88">
              <a:extLst>
                <a:ext uri="{FF2B5EF4-FFF2-40B4-BE49-F238E27FC236}">
                  <a16:creationId xmlns:a16="http://schemas.microsoft.com/office/drawing/2014/main" id="{15BB24D6-E6C2-4591-8373-937E75ECD2D2}"/>
                </a:ext>
              </a:extLst>
            </xdr:cNvPr>
            <xdr:cNvSpPr txBox="1"/>
          </xdr:nvSpPr>
          <xdr:spPr>
            <a:xfrm>
              <a:off x="7288882" y="5488923"/>
              <a:ext cx="1100985" cy="619335"/>
            </a:xfrm>
            <a:prstGeom prst="rect">
              <a:avLst/>
            </a:prstGeom>
            <a:solidFill>
              <a:srgbClr val="FFFFFF"/>
            </a:solidFill>
            <a:ln w="9525" cmpd="sng">
              <a:solidFill>
                <a:srgbClr val="FFFFFF">
                  <a:shade val="50000"/>
                </a:srgb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Powercor</a:t>
              </a:r>
            </a:p>
          </xdr:txBody>
        </xdr:sp>
        <xdr:sp macro="" textlink="">
          <xdr:nvSpPr>
            <xdr:cNvPr id="39" name="TextBox 89">
              <a:extLst>
                <a:ext uri="{FF2B5EF4-FFF2-40B4-BE49-F238E27FC236}">
                  <a16:creationId xmlns:a16="http://schemas.microsoft.com/office/drawing/2014/main" id="{12391A71-E691-402F-9D47-53D2C2E7EA81}"/>
                </a:ext>
              </a:extLst>
            </xdr:cNvPr>
            <xdr:cNvSpPr txBox="1"/>
          </xdr:nvSpPr>
          <xdr:spPr>
            <a:xfrm>
              <a:off x="8523056" y="5475229"/>
              <a:ext cx="1100985" cy="631026"/>
            </a:xfrm>
            <a:prstGeom prst="rect">
              <a:avLst/>
            </a:prstGeom>
            <a:solidFill>
              <a:srgbClr val="FFFFFF"/>
            </a:solidFill>
            <a:ln w="9525" cmpd="sng">
              <a:solidFill>
                <a:srgbClr val="FFFFFF">
                  <a:shade val="50000"/>
                </a:srgb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UnitedEnergy</a:t>
              </a:r>
            </a:p>
          </xdr:txBody>
        </xdr:sp>
        <xdr:sp macro="" textlink="">
          <xdr:nvSpPr>
            <xdr:cNvPr id="40" name="TextBox 90">
              <a:extLst>
                <a:ext uri="{FF2B5EF4-FFF2-40B4-BE49-F238E27FC236}">
                  <a16:creationId xmlns:a16="http://schemas.microsoft.com/office/drawing/2014/main" id="{F0FA5653-47A6-4A2D-825D-DAC01DEB8196}"/>
                </a:ext>
              </a:extLst>
            </xdr:cNvPr>
            <xdr:cNvSpPr txBox="1"/>
          </xdr:nvSpPr>
          <xdr:spPr>
            <a:xfrm>
              <a:off x="10065347" y="810104"/>
              <a:ext cx="745200" cy="792000"/>
            </a:xfrm>
            <a:prstGeom prst="rect">
              <a:avLst/>
            </a:prstGeom>
            <a:solidFill>
              <a:srgbClr val="FFFFFF">
                <a:lumMod val="65000"/>
              </a:srgbClr>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Style_O</a:t>
              </a:r>
            </a:p>
          </xdr:txBody>
        </xdr:sp>
      </xdr:grpSp>
      <xdr:sp macro="" textlink="">
        <xdr:nvSpPr>
          <xdr:cNvPr id="41" name="TextBox 82">
            <a:extLst>
              <a:ext uri="{FF2B5EF4-FFF2-40B4-BE49-F238E27FC236}">
                <a16:creationId xmlns:a16="http://schemas.microsoft.com/office/drawing/2014/main" id="{D1A907A2-32B6-448A-869E-5893B3BD908F}"/>
              </a:ext>
            </a:extLst>
          </xdr:cNvPr>
          <xdr:cNvSpPr txBox="1"/>
        </xdr:nvSpPr>
        <xdr:spPr>
          <a:xfrm>
            <a:off x="11222126" y="11884958"/>
            <a:ext cx="1914292" cy="828532"/>
          </a:xfrm>
          <a:prstGeom prst="rect">
            <a:avLst/>
          </a:prstGeom>
          <a:solidFill>
            <a:srgbClr val="236192"/>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Flags_C</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Period flags</a:t>
            </a:r>
          </a:p>
        </xdr:txBody>
      </xdr:sp>
      <xdr:sp macro="" textlink="">
        <xdr:nvSpPr>
          <xdr:cNvPr id="42" name="TextBox 83">
            <a:extLst>
              <a:ext uri="{FF2B5EF4-FFF2-40B4-BE49-F238E27FC236}">
                <a16:creationId xmlns:a16="http://schemas.microsoft.com/office/drawing/2014/main" id="{2635FC4D-C5BC-4BA9-B9D6-604EFFBD1AFC}"/>
              </a:ext>
            </a:extLst>
          </xdr:cNvPr>
          <xdr:cNvSpPr txBox="1"/>
        </xdr:nvSpPr>
        <xdr:spPr>
          <a:xfrm>
            <a:off x="13224951" y="11884958"/>
            <a:ext cx="1825761" cy="828532"/>
          </a:xfrm>
          <a:prstGeom prst="rect">
            <a:avLst/>
          </a:prstGeom>
          <a:solidFill>
            <a:srgbClr val="236192"/>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Chk_C</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Summarises all the error checks in the Model</a:t>
            </a:r>
          </a:p>
        </xdr:txBody>
      </xdr:sp>
    </xdr:grpSp>
    <xdr:clientData/>
  </xdr:twoCellAnchor>
  <xdr:twoCellAnchor>
    <xdr:from>
      <xdr:col>2</xdr:col>
      <xdr:colOff>2286000</xdr:colOff>
      <xdr:row>48</xdr:row>
      <xdr:rowOff>76726</xdr:rowOff>
    </xdr:from>
    <xdr:to>
      <xdr:col>7</xdr:col>
      <xdr:colOff>720011</xdr:colOff>
      <xdr:row>54</xdr:row>
      <xdr:rowOff>84125</xdr:rowOff>
    </xdr:to>
    <xdr:sp macro="" textlink="">
      <xdr:nvSpPr>
        <xdr:cNvPr id="47" name="Rectangle 46">
          <a:extLst>
            <a:ext uri="{FF2B5EF4-FFF2-40B4-BE49-F238E27FC236}">
              <a16:creationId xmlns:a16="http://schemas.microsoft.com/office/drawing/2014/main" id="{B8F92B5F-585B-437F-B6E7-120814771D5A}"/>
            </a:ext>
          </a:extLst>
        </xdr:cNvPr>
        <xdr:cNvSpPr/>
      </xdr:nvSpPr>
      <xdr:spPr>
        <a:xfrm>
          <a:off x="3003176" y="9702579"/>
          <a:ext cx="8676188" cy="1150399"/>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Total Fixed Cost ($)</a:t>
          </a:r>
        </a:p>
      </xdr:txBody>
    </xdr:sp>
    <xdr:clientData/>
  </xdr:twoCellAnchor>
  <xdr:twoCellAnchor>
    <xdr:from>
      <xdr:col>2</xdr:col>
      <xdr:colOff>2496111</xdr:colOff>
      <xdr:row>49</xdr:row>
      <xdr:rowOff>173825</xdr:rowOff>
    </xdr:from>
    <xdr:to>
      <xdr:col>3</xdr:col>
      <xdr:colOff>507150</xdr:colOff>
      <xdr:row>53</xdr:row>
      <xdr:rowOff>130824</xdr:rowOff>
    </xdr:to>
    <xdr:sp macro="" textlink="">
      <xdr:nvSpPr>
        <xdr:cNvPr id="48" name="Rectangle 47">
          <a:extLst>
            <a:ext uri="{FF2B5EF4-FFF2-40B4-BE49-F238E27FC236}">
              <a16:creationId xmlns:a16="http://schemas.microsoft.com/office/drawing/2014/main" id="{C4A16E1A-B0AA-4DD8-8E3F-0E84D23F7AB1}"/>
            </a:ext>
          </a:extLst>
        </xdr:cNvPr>
        <xdr:cNvSpPr/>
      </xdr:nvSpPr>
      <xdr:spPr>
        <a:xfrm>
          <a:off x="3213287" y="9990178"/>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Retail operating cost ($)</a:t>
          </a:r>
        </a:p>
      </xdr:txBody>
    </xdr:sp>
    <xdr:clientData/>
  </xdr:twoCellAnchor>
  <xdr:twoCellAnchor>
    <xdr:from>
      <xdr:col>3</xdr:col>
      <xdr:colOff>819876</xdr:colOff>
      <xdr:row>49</xdr:row>
      <xdr:rowOff>173825</xdr:rowOff>
    </xdr:from>
    <xdr:to>
      <xdr:col>4</xdr:col>
      <xdr:colOff>500592</xdr:colOff>
      <xdr:row>53</xdr:row>
      <xdr:rowOff>130824</xdr:rowOff>
    </xdr:to>
    <xdr:sp macro="" textlink="">
      <xdr:nvSpPr>
        <xdr:cNvPr id="49" name="Rectangle 48">
          <a:extLst>
            <a:ext uri="{FF2B5EF4-FFF2-40B4-BE49-F238E27FC236}">
              <a16:creationId xmlns:a16="http://schemas.microsoft.com/office/drawing/2014/main" id="{D640DC63-9569-4F5C-B62C-88CC3B2A1C01}"/>
            </a:ext>
          </a:extLst>
        </xdr:cNvPr>
        <xdr:cNvSpPr/>
      </xdr:nvSpPr>
      <xdr:spPr>
        <a:xfrm>
          <a:off x="4921229" y="9990178"/>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Network charges ($)</a:t>
          </a:r>
        </a:p>
      </xdr:txBody>
    </xdr:sp>
    <xdr:clientData/>
  </xdr:twoCellAnchor>
  <xdr:twoCellAnchor>
    <xdr:from>
      <xdr:col>4</xdr:col>
      <xdr:colOff>796866</xdr:colOff>
      <xdr:row>49</xdr:row>
      <xdr:rowOff>173825</xdr:rowOff>
    </xdr:from>
    <xdr:to>
      <xdr:col>5</xdr:col>
      <xdr:colOff>470291</xdr:colOff>
      <xdr:row>53</xdr:row>
      <xdr:rowOff>130824</xdr:rowOff>
    </xdr:to>
    <xdr:sp macro="" textlink="">
      <xdr:nvSpPr>
        <xdr:cNvPr id="51" name="Rectangle 50">
          <a:extLst>
            <a:ext uri="{FF2B5EF4-FFF2-40B4-BE49-F238E27FC236}">
              <a16:creationId xmlns:a16="http://schemas.microsoft.com/office/drawing/2014/main" id="{57129EC0-1579-4619-B1E8-8F5C891ABD6B}"/>
            </a:ext>
          </a:extLst>
        </xdr:cNvPr>
        <xdr:cNvSpPr/>
      </xdr:nvSpPr>
      <xdr:spPr>
        <a:xfrm>
          <a:off x="6612719" y="9990178"/>
          <a:ext cx="1387925"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Other</a:t>
          </a:r>
        </a:p>
        <a:p>
          <a:pPr marL="0" indent="0" algn="ctr"/>
          <a:r>
            <a:rPr lang="en-AU" sz="900" b="1">
              <a:solidFill>
                <a:schemeClr val="tx1"/>
              </a:solidFill>
              <a:latin typeface="+mj-lt"/>
              <a:ea typeface="+mn-ea"/>
              <a:cs typeface="Arial" panose="020B0604020202020204" pitchFamily="34" charset="0"/>
            </a:rPr>
            <a:t>($)</a:t>
          </a:r>
        </a:p>
      </xdr:txBody>
    </xdr:sp>
    <xdr:clientData/>
  </xdr:twoCellAnchor>
  <xdr:twoCellAnchor>
    <xdr:from>
      <xdr:col>5</xdr:col>
      <xdr:colOff>795731</xdr:colOff>
      <xdr:row>49</xdr:row>
      <xdr:rowOff>173825</xdr:rowOff>
    </xdr:from>
    <xdr:to>
      <xdr:col>6</xdr:col>
      <xdr:colOff>476448</xdr:colOff>
      <xdr:row>53</xdr:row>
      <xdr:rowOff>130824</xdr:rowOff>
    </xdr:to>
    <xdr:sp macro="" textlink="">
      <xdr:nvSpPr>
        <xdr:cNvPr id="53" name="Rectangle 52">
          <a:extLst>
            <a:ext uri="{FF2B5EF4-FFF2-40B4-BE49-F238E27FC236}">
              <a16:creationId xmlns:a16="http://schemas.microsoft.com/office/drawing/2014/main" id="{EF13050F-BB06-4627-A30F-4E6E5A5269D6}"/>
            </a:ext>
          </a:extLst>
        </xdr:cNvPr>
        <xdr:cNvSpPr/>
      </xdr:nvSpPr>
      <xdr:spPr>
        <a:xfrm>
          <a:off x="8326084" y="9990178"/>
          <a:ext cx="1395217"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Feed-In Tariff</a:t>
          </a:r>
        </a:p>
        <a:p>
          <a:pPr marL="0" indent="0" algn="ctr"/>
          <a:r>
            <a:rPr lang="en-AU" sz="900" b="1">
              <a:solidFill>
                <a:schemeClr val="tx1"/>
              </a:solidFill>
              <a:latin typeface="+mj-lt"/>
              <a:ea typeface="+mn-ea"/>
              <a:cs typeface="Arial" panose="020B0604020202020204" pitchFamily="34" charset="0"/>
            </a:rPr>
            <a:t>($)</a:t>
          </a:r>
        </a:p>
      </xdr:txBody>
    </xdr:sp>
    <xdr:clientData/>
  </xdr:twoCellAnchor>
  <xdr:twoCellAnchor>
    <xdr:from>
      <xdr:col>6</xdr:col>
      <xdr:colOff>784112</xdr:colOff>
      <xdr:row>49</xdr:row>
      <xdr:rowOff>173825</xdr:rowOff>
    </xdr:from>
    <xdr:to>
      <xdr:col>7</xdr:col>
      <xdr:colOff>464829</xdr:colOff>
      <xdr:row>53</xdr:row>
      <xdr:rowOff>130824</xdr:rowOff>
    </xdr:to>
    <xdr:sp macro="" textlink="">
      <xdr:nvSpPr>
        <xdr:cNvPr id="55" name="Rectangle 54">
          <a:extLst>
            <a:ext uri="{FF2B5EF4-FFF2-40B4-BE49-F238E27FC236}">
              <a16:creationId xmlns:a16="http://schemas.microsoft.com/office/drawing/2014/main" id="{BE5A7782-3F56-48F4-91F7-ADA4041E7ADE}"/>
            </a:ext>
          </a:extLst>
        </xdr:cNvPr>
        <xdr:cNvSpPr/>
      </xdr:nvSpPr>
      <xdr:spPr>
        <a:xfrm>
          <a:off x="10028965" y="9990178"/>
          <a:ext cx="1395217"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CARC</a:t>
          </a:r>
        </a:p>
        <a:p>
          <a:pPr marL="0" indent="0" algn="ctr"/>
          <a:r>
            <a:rPr lang="en-AU" sz="900" b="1">
              <a:solidFill>
                <a:schemeClr val="tx1"/>
              </a:solidFill>
              <a:latin typeface="+mj-lt"/>
              <a:ea typeface="+mn-ea"/>
              <a:cs typeface="Arial" panose="020B0604020202020204" pitchFamily="34" charset="0"/>
            </a:rPr>
            <a:t>($)</a:t>
          </a:r>
        </a:p>
      </xdr:txBody>
    </xdr:sp>
    <xdr:clientData/>
  </xdr:twoCellAnchor>
  <xdr:twoCellAnchor>
    <xdr:from>
      <xdr:col>7</xdr:col>
      <xdr:colOff>1230377</xdr:colOff>
      <xdr:row>48</xdr:row>
      <xdr:rowOff>76726</xdr:rowOff>
    </xdr:from>
    <xdr:to>
      <xdr:col>8</xdr:col>
      <xdr:colOff>1046967</xdr:colOff>
      <xdr:row>54</xdr:row>
      <xdr:rowOff>84125</xdr:rowOff>
    </xdr:to>
    <xdr:sp macro="" textlink="">
      <xdr:nvSpPr>
        <xdr:cNvPr id="58" name="Rectangle 57">
          <a:extLst>
            <a:ext uri="{FF2B5EF4-FFF2-40B4-BE49-F238E27FC236}">
              <a16:creationId xmlns:a16="http://schemas.microsoft.com/office/drawing/2014/main" id="{3EE40249-264E-4B69-94D6-D70B2D457E50}"/>
            </a:ext>
          </a:extLst>
        </xdr:cNvPr>
        <xdr:cNvSpPr/>
      </xdr:nvSpPr>
      <xdr:spPr>
        <a:xfrm>
          <a:off x="12189730" y="9702579"/>
          <a:ext cx="1531090" cy="1150399"/>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Retail Margin factor</a:t>
          </a: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Retail Margin</a:t>
          </a:r>
        </a:p>
      </xdr:txBody>
    </xdr:sp>
    <xdr:clientData/>
  </xdr:twoCellAnchor>
  <xdr:twoCellAnchor>
    <xdr:from>
      <xdr:col>8</xdr:col>
      <xdr:colOff>1542749</xdr:colOff>
      <xdr:row>48</xdr:row>
      <xdr:rowOff>76726</xdr:rowOff>
    </xdr:from>
    <xdr:to>
      <xdr:col>9</xdr:col>
      <xdr:colOff>1349133</xdr:colOff>
      <xdr:row>54</xdr:row>
      <xdr:rowOff>84125</xdr:rowOff>
    </xdr:to>
    <xdr:sp macro="" textlink="">
      <xdr:nvSpPr>
        <xdr:cNvPr id="59" name="Rectangle 58">
          <a:extLst>
            <a:ext uri="{FF2B5EF4-FFF2-40B4-BE49-F238E27FC236}">
              <a16:creationId xmlns:a16="http://schemas.microsoft.com/office/drawing/2014/main" id="{024C6063-DDEF-47D7-9310-7238581E51D1}"/>
            </a:ext>
          </a:extLst>
        </xdr:cNvPr>
        <xdr:cNvSpPr/>
      </xdr:nvSpPr>
      <xdr:spPr>
        <a:xfrm>
          <a:off x="14216602" y="9702579"/>
          <a:ext cx="1520884" cy="1150399"/>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GST factor</a:t>
          </a:r>
        </a:p>
        <a:p>
          <a:pPr marL="0" indent="0" algn="ctr"/>
          <a:endParaRPr lang="en-AU" sz="900" b="1">
            <a:solidFill>
              <a:schemeClr val="bg1"/>
            </a:solidFill>
            <a:latin typeface="+mj-lt"/>
            <a:ea typeface="+mn-ea"/>
            <a:cs typeface="Arial" panose="020B0604020202020204" pitchFamily="34" charset="0"/>
          </a:endParaRP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GST rate</a:t>
          </a:r>
        </a:p>
      </xdr:txBody>
    </xdr:sp>
    <xdr:clientData/>
  </xdr:twoCellAnchor>
  <xdr:twoCellAnchor>
    <xdr:from>
      <xdr:col>2</xdr:col>
      <xdr:colOff>1882784</xdr:colOff>
      <xdr:row>51</xdr:row>
      <xdr:rowOff>121511</xdr:rowOff>
    </xdr:from>
    <xdr:to>
      <xdr:col>2</xdr:col>
      <xdr:colOff>2142340</xdr:colOff>
      <xdr:row>51</xdr:row>
      <xdr:rowOff>121511</xdr:rowOff>
    </xdr:to>
    <xdr:cxnSp macro="">
      <xdr:nvCxnSpPr>
        <xdr:cNvPr id="61" name="Straight Arrow Connector 60">
          <a:extLst>
            <a:ext uri="{FF2B5EF4-FFF2-40B4-BE49-F238E27FC236}">
              <a16:creationId xmlns:a16="http://schemas.microsoft.com/office/drawing/2014/main" id="{502AFFC0-C715-48D6-8339-E7746624C3BE}"/>
            </a:ext>
          </a:extLst>
        </xdr:cNvPr>
        <xdr:cNvCxnSpPr/>
      </xdr:nvCxnSpPr>
      <xdr:spPr>
        <a:xfrm>
          <a:off x="2599960" y="10318864"/>
          <a:ext cx="259556"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42157</xdr:colOff>
      <xdr:row>46</xdr:row>
      <xdr:rowOff>186565</xdr:rowOff>
    </xdr:from>
    <xdr:to>
      <xdr:col>2</xdr:col>
      <xdr:colOff>1739460</xdr:colOff>
      <xdr:row>62</xdr:row>
      <xdr:rowOff>84402</xdr:rowOff>
    </xdr:to>
    <xdr:grpSp>
      <xdr:nvGrpSpPr>
        <xdr:cNvPr id="86" name="Group 85">
          <a:extLst>
            <a:ext uri="{FF2B5EF4-FFF2-40B4-BE49-F238E27FC236}">
              <a16:creationId xmlns:a16="http://schemas.microsoft.com/office/drawing/2014/main" id="{240DFC70-0083-48CF-A91E-F37FC970CF5A}"/>
            </a:ext>
          </a:extLst>
        </xdr:cNvPr>
        <xdr:cNvGrpSpPr/>
      </xdr:nvGrpSpPr>
      <xdr:grpSpPr>
        <a:xfrm>
          <a:off x="759333" y="9633124"/>
          <a:ext cx="1697303" cy="2945837"/>
          <a:chOff x="13982274" y="9016796"/>
          <a:chExt cx="1697303" cy="2945837"/>
        </a:xfrm>
      </xdr:grpSpPr>
      <xdr:sp macro="" textlink="">
        <xdr:nvSpPr>
          <xdr:cNvPr id="45" name="Rectangle 44">
            <a:extLst>
              <a:ext uri="{FF2B5EF4-FFF2-40B4-BE49-F238E27FC236}">
                <a16:creationId xmlns:a16="http://schemas.microsoft.com/office/drawing/2014/main" id="{744A0365-E213-49D5-B239-43037B7A516A}"/>
              </a:ext>
            </a:extLst>
          </xdr:cNvPr>
          <xdr:cNvSpPr/>
        </xdr:nvSpPr>
        <xdr:spPr>
          <a:xfrm>
            <a:off x="13982274" y="9016796"/>
            <a:ext cx="1697303" cy="2945837"/>
          </a:xfrm>
          <a:prstGeom prst="rect">
            <a:avLst/>
          </a:prstGeom>
          <a:noFill/>
          <a:ln w="254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050" b="1">
                <a:solidFill>
                  <a:sysClr val="windowText" lastClr="000000"/>
                </a:solidFill>
                <a:latin typeface="+mj-lt"/>
              </a:rPr>
              <a:t>Tariffs</a:t>
            </a:r>
            <a:endParaRPr lang="en-AU" sz="1050" b="0">
              <a:solidFill>
                <a:sysClr val="windowText" lastClr="000000"/>
              </a:solidFill>
              <a:latin typeface="+mj-lt"/>
            </a:endParaRPr>
          </a:p>
        </xdr:txBody>
      </xdr:sp>
      <xdr:sp macro="" textlink="">
        <xdr:nvSpPr>
          <xdr:cNvPr id="62" name="Rectangle 61">
            <a:extLst>
              <a:ext uri="{FF2B5EF4-FFF2-40B4-BE49-F238E27FC236}">
                <a16:creationId xmlns:a16="http://schemas.microsoft.com/office/drawing/2014/main" id="{34156727-E535-422B-BCAB-DEADED5EAE66}"/>
              </a:ext>
            </a:extLst>
          </xdr:cNvPr>
          <xdr:cNvSpPr/>
        </xdr:nvSpPr>
        <xdr:spPr>
          <a:xfrm>
            <a:off x="14057156" y="9288748"/>
            <a:ext cx="1554829" cy="1150399"/>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Supply Charge ($/day)</a:t>
            </a:r>
          </a:p>
        </xdr:txBody>
      </xdr:sp>
      <xdr:sp macro="" textlink="">
        <xdr:nvSpPr>
          <xdr:cNvPr id="67" name="Rectangle 66">
            <a:extLst>
              <a:ext uri="{FF2B5EF4-FFF2-40B4-BE49-F238E27FC236}">
                <a16:creationId xmlns:a16="http://schemas.microsoft.com/office/drawing/2014/main" id="{0A8D12B2-1227-4702-9394-634DFDAEE286}"/>
              </a:ext>
            </a:extLst>
          </xdr:cNvPr>
          <xdr:cNvSpPr/>
        </xdr:nvSpPr>
        <xdr:spPr>
          <a:xfrm>
            <a:off x="14054075" y="10726748"/>
            <a:ext cx="1554829" cy="1150398"/>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Variable Charge ($/kWh)</a:t>
            </a:r>
          </a:p>
        </xdr:txBody>
      </xdr:sp>
    </xdr:grpSp>
    <xdr:clientData/>
  </xdr:twoCellAnchor>
  <xdr:twoCellAnchor>
    <xdr:from>
      <xdr:col>2</xdr:col>
      <xdr:colOff>1</xdr:colOff>
      <xdr:row>40</xdr:row>
      <xdr:rowOff>56030</xdr:rowOff>
    </xdr:from>
    <xdr:to>
      <xdr:col>3</xdr:col>
      <xdr:colOff>1121610</xdr:colOff>
      <xdr:row>44</xdr:row>
      <xdr:rowOff>88626</xdr:rowOff>
    </xdr:to>
    <xdr:grpSp>
      <xdr:nvGrpSpPr>
        <xdr:cNvPr id="2" name="Group 1">
          <a:extLst>
            <a:ext uri="{FF2B5EF4-FFF2-40B4-BE49-F238E27FC236}">
              <a16:creationId xmlns:a16="http://schemas.microsoft.com/office/drawing/2014/main" id="{6FABC891-E672-4803-93B9-8EA13CE5AB3D}"/>
            </a:ext>
          </a:extLst>
        </xdr:cNvPr>
        <xdr:cNvGrpSpPr/>
      </xdr:nvGrpSpPr>
      <xdr:grpSpPr>
        <a:xfrm>
          <a:off x="717177" y="8348383"/>
          <a:ext cx="4505786" cy="794596"/>
          <a:chOff x="717177" y="8348383"/>
          <a:chExt cx="4505786" cy="794596"/>
        </a:xfrm>
      </xdr:grpSpPr>
      <xdr:sp macro="" textlink="">
        <xdr:nvSpPr>
          <xdr:cNvPr id="78" name="Rounded Rectangle 178">
            <a:extLst>
              <a:ext uri="{FF2B5EF4-FFF2-40B4-BE49-F238E27FC236}">
                <a16:creationId xmlns:a16="http://schemas.microsoft.com/office/drawing/2014/main" id="{E6BD7CCC-6B34-49E5-ADF6-129D1398CBAD}"/>
              </a:ext>
            </a:extLst>
          </xdr:cNvPr>
          <xdr:cNvSpPr/>
        </xdr:nvSpPr>
        <xdr:spPr>
          <a:xfrm>
            <a:off x="717177" y="8348383"/>
            <a:ext cx="4505786" cy="794596"/>
          </a:xfrm>
          <a:prstGeom prst="roundRect">
            <a:avLst>
              <a:gd name="adj" fmla="val 0"/>
            </a:avLst>
          </a:prstGeom>
          <a:solidFill>
            <a:sysClr val="window" lastClr="FFFFFF"/>
          </a:solidFill>
          <a:ln w="12700">
            <a:solidFill>
              <a:schemeClr val="bg1">
                <a:lumMod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45720" rIns="91440" bIns="91440" rtlCol="0" anchor="t"/>
          <a:lstStyle/>
          <a:p>
            <a:pPr algn="ctr"/>
            <a:r>
              <a:rPr lang="en-AU" sz="900" b="1">
                <a:solidFill>
                  <a:sysClr val="windowText" lastClr="000000"/>
                </a:solidFill>
                <a:latin typeface="+mj-lt"/>
              </a:rPr>
              <a:t>LEGEND</a:t>
            </a:r>
          </a:p>
          <a:p>
            <a:pPr algn="ctr"/>
            <a:endParaRPr lang="en-AU" sz="900" b="1">
              <a:solidFill>
                <a:sysClr val="windowText" lastClr="000000"/>
              </a:solidFill>
              <a:latin typeface="+mj-lt"/>
            </a:endParaRPr>
          </a:p>
        </xdr:txBody>
      </xdr:sp>
      <xdr:sp macro="" textlink="">
        <xdr:nvSpPr>
          <xdr:cNvPr id="79" name="TextBox 78">
            <a:extLst>
              <a:ext uri="{FF2B5EF4-FFF2-40B4-BE49-F238E27FC236}">
                <a16:creationId xmlns:a16="http://schemas.microsoft.com/office/drawing/2014/main" id="{17360402-689E-40FA-8049-D5B1B670D0F5}"/>
              </a:ext>
            </a:extLst>
          </xdr:cNvPr>
          <xdr:cNvSpPr txBox="1"/>
        </xdr:nvSpPr>
        <xdr:spPr>
          <a:xfrm>
            <a:off x="928614" y="8597668"/>
            <a:ext cx="1319274" cy="383051"/>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Inputs</a:t>
            </a:r>
          </a:p>
        </xdr:txBody>
      </xdr:sp>
      <xdr:sp macro="" textlink="">
        <xdr:nvSpPr>
          <xdr:cNvPr id="80" name="TextBox 79">
            <a:extLst>
              <a:ext uri="{FF2B5EF4-FFF2-40B4-BE49-F238E27FC236}">
                <a16:creationId xmlns:a16="http://schemas.microsoft.com/office/drawing/2014/main" id="{D96D7828-F6E3-4921-B242-F62E028552FD}"/>
              </a:ext>
            </a:extLst>
          </xdr:cNvPr>
          <xdr:cNvSpPr txBox="1"/>
        </xdr:nvSpPr>
        <xdr:spPr>
          <a:xfrm>
            <a:off x="2339841" y="8597568"/>
            <a:ext cx="1309890" cy="380346"/>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Calculations</a:t>
            </a:r>
          </a:p>
        </xdr:txBody>
      </xdr:sp>
      <xdr:sp macro="" textlink="">
        <xdr:nvSpPr>
          <xdr:cNvPr id="120" name="TextBox 119">
            <a:extLst>
              <a:ext uri="{FF2B5EF4-FFF2-40B4-BE49-F238E27FC236}">
                <a16:creationId xmlns:a16="http://schemas.microsoft.com/office/drawing/2014/main" id="{61149ED6-FAA1-436D-987A-EE68E8E2C7E3}"/>
              </a:ext>
            </a:extLst>
          </xdr:cNvPr>
          <xdr:cNvSpPr txBox="1"/>
        </xdr:nvSpPr>
        <xdr:spPr>
          <a:xfrm>
            <a:off x="3729932" y="8601091"/>
            <a:ext cx="1309890" cy="376823"/>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Outputs</a:t>
            </a:r>
          </a:p>
        </xdr:txBody>
      </xdr:sp>
    </xdr:grpSp>
    <xdr:clientData/>
  </xdr:twoCellAnchor>
  <xdr:twoCellAnchor>
    <xdr:from>
      <xdr:col>2</xdr:col>
      <xdr:colOff>1879703</xdr:colOff>
      <xdr:row>59</xdr:row>
      <xdr:rowOff>35510</xdr:rowOff>
    </xdr:from>
    <xdr:to>
      <xdr:col>2</xdr:col>
      <xdr:colOff>2149467</xdr:colOff>
      <xdr:row>59</xdr:row>
      <xdr:rowOff>35510</xdr:rowOff>
    </xdr:to>
    <xdr:cxnSp macro="">
      <xdr:nvCxnSpPr>
        <xdr:cNvPr id="66" name="Straight Arrow Connector 65">
          <a:extLst>
            <a:ext uri="{FF2B5EF4-FFF2-40B4-BE49-F238E27FC236}">
              <a16:creationId xmlns:a16="http://schemas.microsoft.com/office/drawing/2014/main" id="{AAF23852-BB2B-464B-BD21-C14D75F66A7F}"/>
            </a:ext>
          </a:extLst>
        </xdr:cNvPr>
        <xdr:cNvCxnSpPr/>
      </xdr:nvCxnSpPr>
      <xdr:spPr>
        <a:xfrm>
          <a:off x="2596879" y="11756863"/>
          <a:ext cx="269764"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1542749</xdr:colOff>
      <xdr:row>55</xdr:row>
      <xdr:rowOff>181225</xdr:rowOff>
    </xdr:from>
    <xdr:to>
      <xdr:col>9</xdr:col>
      <xdr:colOff>1349133</xdr:colOff>
      <xdr:row>61</xdr:row>
      <xdr:rowOff>188623</xdr:rowOff>
    </xdr:to>
    <xdr:sp macro="" textlink="">
      <xdr:nvSpPr>
        <xdr:cNvPr id="63" name="Rectangle 62">
          <a:extLst>
            <a:ext uri="{FF2B5EF4-FFF2-40B4-BE49-F238E27FC236}">
              <a16:creationId xmlns:a16="http://schemas.microsoft.com/office/drawing/2014/main" id="{0A837E26-BE0D-4BFD-AAD0-0DD7D9A4B95F}"/>
            </a:ext>
          </a:extLst>
        </xdr:cNvPr>
        <xdr:cNvSpPr/>
      </xdr:nvSpPr>
      <xdr:spPr>
        <a:xfrm>
          <a:off x="14216602" y="11140578"/>
          <a:ext cx="1520884" cy="1150398"/>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Retail Margin factor</a:t>
          </a: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Retail Margin</a:t>
          </a:r>
        </a:p>
      </xdr:txBody>
    </xdr:sp>
    <xdr:clientData/>
  </xdr:twoCellAnchor>
  <xdr:twoCellAnchor>
    <xdr:from>
      <xdr:col>7</xdr:col>
      <xdr:colOff>1218561</xdr:colOff>
      <xdr:row>55</xdr:row>
      <xdr:rowOff>181225</xdr:rowOff>
    </xdr:from>
    <xdr:to>
      <xdr:col>8</xdr:col>
      <xdr:colOff>1035151</xdr:colOff>
      <xdr:row>61</xdr:row>
      <xdr:rowOff>188623</xdr:rowOff>
    </xdr:to>
    <xdr:sp macro="" textlink="">
      <xdr:nvSpPr>
        <xdr:cNvPr id="64" name="Rectangle 63">
          <a:extLst>
            <a:ext uri="{FF2B5EF4-FFF2-40B4-BE49-F238E27FC236}">
              <a16:creationId xmlns:a16="http://schemas.microsoft.com/office/drawing/2014/main" id="{DC0CA793-CBE6-41EF-8E38-2CE1FCD090EA}"/>
            </a:ext>
          </a:extLst>
        </xdr:cNvPr>
        <xdr:cNvSpPr/>
      </xdr:nvSpPr>
      <xdr:spPr>
        <a:xfrm>
          <a:off x="12177914" y="11140578"/>
          <a:ext cx="1531090" cy="1150398"/>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GST factor</a:t>
          </a:r>
        </a:p>
        <a:p>
          <a:pPr marL="0" indent="0" algn="ctr"/>
          <a:endParaRPr lang="en-AU" sz="900" b="1">
            <a:solidFill>
              <a:schemeClr val="bg1"/>
            </a:solidFill>
            <a:latin typeface="+mj-lt"/>
            <a:ea typeface="+mn-ea"/>
            <a:cs typeface="Arial" panose="020B0604020202020204" pitchFamily="34" charset="0"/>
          </a:endParaRP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GST rate</a:t>
          </a:r>
        </a:p>
      </xdr:txBody>
    </xdr:sp>
    <xdr:clientData/>
  </xdr:twoCellAnchor>
  <xdr:twoCellAnchor>
    <xdr:from>
      <xdr:col>2</xdr:col>
      <xdr:colOff>2286001</xdr:colOff>
      <xdr:row>55</xdr:row>
      <xdr:rowOff>181225</xdr:rowOff>
    </xdr:from>
    <xdr:to>
      <xdr:col>7</xdr:col>
      <xdr:colOff>720011</xdr:colOff>
      <xdr:row>61</xdr:row>
      <xdr:rowOff>188623</xdr:rowOff>
    </xdr:to>
    <xdr:sp macro="" textlink="">
      <xdr:nvSpPr>
        <xdr:cNvPr id="44" name="Rectangle 43">
          <a:extLst>
            <a:ext uri="{FF2B5EF4-FFF2-40B4-BE49-F238E27FC236}">
              <a16:creationId xmlns:a16="http://schemas.microsoft.com/office/drawing/2014/main" id="{8ED4813D-5AD1-4425-AB07-F425155D0634}"/>
            </a:ext>
          </a:extLst>
        </xdr:cNvPr>
        <xdr:cNvSpPr/>
      </xdr:nvSpPr>
      <xdr:spPr>
        <a:xfrm>
          <a:off x="3003177" y="11140578"/>
          <a:ext cx="8676187" cy="1150398"/>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endParaRPr lang="en-AU" sz="900" b="1">
            <a:solidFill>
              <a:schemeClr val="bg1"/>
            </a:solidFill>
            <a:latin typeface="+mj-lt"/>
            <a:ea typeface="+mn-ea"/>
            <a:cs typeface="Arial" panose="020B0604020202020204" pitchFamily="34" charset="0"/>
          </a:endParaRPr>
        </a:p>
      </xdr:txBody>
    </xdr:sp>
    <xdr:clientData/>
  </xdr:twoCellAnchor>
  <xdr:twoCellAnchor>
    <xdr:from>
      <xdr:col>2</xdr:col>
      <xdr:colOff>2409574</xdr:colOff>
      <xdr:row>57</xdr:row>
      <xdr:rowOff>115221</xdr:rowOff>
    </xdr:from>
    <xdr:to>
      <xdr:col>3</xdr:col>
      <xdr:colOff>413322</xdr:colOff>
      <xdr:row>61</xdr:row>
      <xdr:rowOff>72221</xdr:rowOff>
    </xdr:to>
    <xdr:sp macro="" textlink="">
      <xdr:nvSpPr>
        <xdr:cNvPr id="68" name="Rectangle 67">
          <a:extLst>
            <a:ext uri="{FF2B5EF4-FFF2-40B4-BE49-F238E27FC236}">
              <a16:creationId xmlns:a16="http://schemas.microsoft.com/office/drawing/2014/main" id="{5EE9393B-E0C5-4BF4-A5EE-14EE9BBB7569}"/>
            </a:ext>
          </a:extLst>
        </xdr:cNvPr>
        <xdr:cNvSpPr/>
      </xdr:nvSpPr>
      <xdr:spPr>
        <a:xfrm>
          <a:off x="3126750" y="11455574"/>
          <a:ext cx="1387925" cy="719000"/>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Network usage charge ($/kWh)</a:t>
          </a:r>
        </a:p>
      </xdr:txBody>
    </xdr:sp>
    <xdr:clientData/>
  </xdr:twoCellAnchor>
  <xdr:twoCellAnchor>
    <xdr:from>
      <xdr:col>6</xdr:col>
      <xdr:colOff>964626</xdr:colOff>
      <xdr:row>57</xdr:row>
      <xdr:rowOff>110304</xdr:rowOff>
    </xdr:from>
    <xdr:to>
      <xdr:col>7</xdr:col>
      <xdr:colOff>648259</xdr:colOff>
      <xdr:row>61</xdr:row>
      <xdr:rowOff>57715</xdr:rowOff>
    </xdr:to>
    <xdr:sp macro="" textlink="">
      <xdr:nvSpPr>
        <xdr:cNvPr id="126" name="Rectangle 125">
          <a:extLst>
            <a:ext uri="{FF2B5EF4-FFF2-40B4-BE49-F238E27FC236}">
              <a16:creationId xmlns:a16="http://schemas.microsoft.com/office/drawing/2014/main" id="{DEE7485D-98FD-4A33-A500-ACB93DDF8F30}"/>
            </a:ext>
          </a:extLst>
        </xdr:cNvPr>
        <xdr:cNvSpPr/>
      </xdr:nvSpPr>
      <xdr:spPr>
        <a:xfrm>
          <a:off x="10209479" y="11450657"/>
          <a:ext cx="1398133" cy="709411"/>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Network Loss Factor</a:t>
          </a:r>
        </a:p>
      </xdr:txBody>
    </xdr:sp>
    <xdr:clientData/>
  </xdr:twoCellAnchor>
  <xdr:twoCellAnchor>
    <xdr:from>
      <xdr:col>3</xdr:col>
      <xdr:colOff>821696</xdr:colOff>
      <xdr:row>57</xdr:row>
      <xdr:rowOff>49135</xdr:rowOff>
    </xdr:from>
    <xdr:to>
      <xdr:col>6</xdr:col>
      <xdr:colOff>613671</xdr:colOff>
      <xdr:row>61</xdr:row>
      <xdr:rowOff>133088</xdr:rowOff>
    </xdr:to>
    <xdr:sp macro="" textlink="">
      <xdr:nvSpPr>
        <xdr:cNvPr id="121" name="TextBox 120">
          <a:extLst>
            <a:ext uri="{FF2B5EF4-FFF2-40B4-BE49-F238E27FC236}">
              <a16:creationId xmlns:a16="http://schemas.microsoft.com/office/drawing/2014/main" id="{B1028FD0-65F0-42E7-9921-FFF259D744A0}"/>
            </a:ext>
          </a:extLst>
        </xdr:cNvPr>
        <xdr:cNvSpPr txBox="1"/>
      </xdr:nvSpPr>
      <xdr:spPr>
        <a:xfrm>
          <a:off x="4923049" y="11389488"/>
          <a:ext cx="4935475" cy="845953"/>
        </a:xfrm>
        <a:prstGeom prst="rect">
          <a:avLst/>
        </a:prstGeom>
        <a:noFill/>
        <a:ln w="28575" cmpd="sng">
          <a:solidFill>
            <a:schemeClr val="bg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endParaRPr lang="en-AU" sz="900" b="1">
            <a:solidFill>
              <a:schemeClr val="tx1"/>
            </a:solidFill>
            <a:latin typeface="+mj-lt"/>
            <a:ea typeface="+mn-ea"/>
            <a:cs typeface="Arial" panose="020B0604020202020204" pitchFamily="34" charset="0"/>
          </a:endParaRPr>
        </a:p>
      </xdr:txBody>
    </xdr:sp>
    <xdr:clientData/>
  </xdr:twoCellAnchor>
  <xdr:twoCellAnchor>
    <xdr:from>
      <xdr:col>3</xdr:col>
      <xdr:colOff>889326</xdr:colOff>
      <xdr:row>57</xdr:row>
      <xdr:rowOff>111113</xdr:rowOff>
    </xdr:from>
    <xdr:to>
      <xdr:col>4</xdr:col>
      <xdr:colOff>580249</xdr:colOff>
      <xdr:row>61</xdr:row>
      <xdr:rowOff>68113</xdr:rowOff>
    </xdr:to>
    <xdr:sp macro="" textlink="">
      <xdr:nvSpPr>
        <xdr:cNvPr id="122" name="Rectangle 121">
          <a:extLst>
            <a:ext uri="{FF2B5EF4-FFF2-40B4-BE49-F238E27FC236}">
              <a16:creationId xmlns:a16="http://schemas.microsoft.com/office/drawing/2014/main" id="{7E0C1AFE-72A4-4346-A6A6-02ABB8B703BB}"/>
            </a:ext>
          </a:extLst>
        </xdr:cNvPr>
        <xdr:cNvSpPr/>
      </xdr:nvSpPr>
      <xdr:spPr>
        <a:xfrm>
          <a:off x="4990679" y="11451466"/>
          <a:ext cx="1405423" cy="719000"/>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Wholesale electricity ($/kWh)</a:t>
          </a:r>
        </a:p>
      </xdr:txBody>
    </xdr:sp>
    <xdr:clientData/>
  </xdr:twoCellAnchor>
  <xdr:twoCellAnchor>
    <xdr:from>
      <xdr:col>4</xdr:col>
      <xdr:colOff>862144</xdr:colOff>
      <xdr:row>57</xdr:row>
      <xdr:rowOff>111113</xdr:rowOff>
    </xdr:from>
    <xdr:to>
      <xdr:col>5</xdr:col>
      <xdr:colOff>588141</xdr:colOff>
      <xdr:row>61</xdr:row>
      <xdr:rowOff>68113</xdr:rowOff>
    </xdr:to>
    <xdr:sp macro="" textlink="">
      <xdr:nvSpPr>
        <xdr:cNvPr id="123" name="Rectangle 122">
          <a:extLst>
            <a:ext uri="{FF2B5EF4-FFF2-40B4-BE49-F238E27FC236}">
              <a16:creationId xmlns:a16="http://schemas.microsoft.com/office/drawing/2014/main" id="{39191141-DB64-4417-BA07-FB6DB5492625}"/>
            </a:ext>
          </a:extLst>
        </xdr:cNvPr>
        <xdr:cNvSpPr/>
      </xdr:nvSpPr>
      <xdr:spPr>
        <a:xfrm>
          <a:off x="6677997" y="11451466"/>
          <a:ext cx="1440497" cy="719000"/>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Environmental cost</a:t>
          </a:r>
        </a:p>
        <a:p>
          <a:pPr marL="0" indent="0" algn="ctr"/>
          <a:r>
            <a:rPr lang="en-AU" sz="900" b="1">
              <a:solidFill>
                <a:schemeClr val="tx1"/>
              </a:solidFill>
              <a:latin typeface="+mj-lt"/>
              <a:ea typeface="+mn-ea"/>
              <a:cs typeface="Arial" panose="020B0604020202020204" pitchFamily="34" charset="0"/>
            </a:rPr>
            <a:t>($/kWh)</a:t>
          </a:r>
        </a:p>
      </xdr:txBody>
    </xdr:sp>
    <xdr:clientData/>
  </xdr:twoCellAnchor>
  <xdr:twoCellAnchor>
    <xdr:from>
      <xdr:col>5</xdr:col>
      <xdr:colOff>865181</xdr:colOff>
      <xdr:row>57</xdr:row>
      <xdr:rowOff>111113</xdr:rowOff>
    </xdr:from>
    <xdr:to>
      <xdr:col>6</xdr:col>
      <xdr:colOff>548814</xdr:colOff>
      <xdr:row>61</xdr:row>
      <xdr:rowOff>68113</xdr:rowOff>
    </xdr:to>
    <xdr:sp macro="" textlink="">
      <xdr:nvSpPr>
        <xdr:cNvPr id="125" name="Rectangle 124">
          <a:extLst>
            <a:ext uri="{FF2B5EF4-FFF2-40B4-BE49-F238E27FC236}">
              <a16:creationId xmlns:a16="http://schemas.microsoft.com/office/drawing/2014/main" id="{9EA64B14-EBE3-4427-8DC9-6A44536BE635}"/>
            </a:ext>
          </a:extLst>
        </xdr:cNvPr>
        <xdr:cNvSpPr/>
      </xdr:nvSpPr>
      <xdr:spPr>
        <a:xfrm>
          <a:off x="8395534" y="11451466"/>
          <a:ext cx="1398133" cy="719000"/>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Other</a:t>
          </a:r>
        </a:p>
        <a:p>
          <a:pPr marL="0" indent="0" algn="ctr"/>
          <a:r>
            <a:rPr lang="en-AU" sz="900" b="1">
              <a:solidFill>
                <a:schemeClr val="tx1"/>
              </a:solidFill>
              <a:latin typeface="+mj-lt"/>
              <a:ea typeface="+mn-ea"/>
              <a:cs typeface="Arial" panose="020B0604020202020204" pitchFamily="34" charset="0"/>
            </a:rPr>
            <a:t>($/kWh)</a:t>
          </a:r>
        </a:p>
      </xdr:txBody>
    </xdr:sp>
    <xdr:clientData/>
  </xdr:twoCellAnchor>
  <xdr:twoCellAnchor>
    <xdr:from>
      <xdr:col>2</xdr:col>
      <xdr:colOff>2496111</xdr:colOff>
      <xdr:row>67</xdr:row>
      <xdr:rowOff>119515</xdr:rowOff>
    </xdr:from>
    <xdr:to>
      <xdr:col>3</xdr:col>
      <xdr:colOff>507150</xdr:colOff>
      <xdr:row>71</xdr:row>
      <xdr:rowOff>76514</xdr:rowOff>
    </xdr:to>
    <xdr:sp macro="" textlink="">
      <xdr:nvSpPr>
        <xdr:cNvPr id="170" name="Rectangle 169">
          <a:extLst>
            <a:ext uri="{FF2B5EF4-FFF2-40B4-BE49-F238E27FC236}">
              <a16:creationId xmlns:a16="http://schemas.microsoft.com/office/drawing/2014/main" id="{73020FE8-6D46-427D-AD5C-413B154F7461}"/>
            </a:ext>
          </a:extLst>
        </xdr:cNvPr>
        <xdr:cNvSpPr/>
      </xdr:nvSpPr>
      <xdr:spPr>
        <a:xfrm>
          <a:off x="3213287" y="14317368"/>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Actual cost ($)</a:t>
          </a:r>
        </a:p>
      </xdr:txBody>
    </xdr:sp>
    <xdr:clientData/>
  </xdr:twoCellAnchor>
  <xdr:twoCellAnchor>
    <xdr:from>
      <xdr:col>3</xdr:col>
      <xdr:colOff>819876</xdr:colOff>
      <xdr:row>67</xdr:row>
      <xdr:rowOff>119515</xdr:rowOff>
    </xdr:from>
    <xdr:to>
      <xdr:col>4</xdr:col>
      <xdr:colOff>500592</xdr:colOff>
      <xdr:row>71</xdr:row>
      <xdr:rowOff>76514</xdr:rowOff>
    </xdr:to>
    <xdr:sp macro="" textlink="">
      <xdr:nvSpPr>
        <xdr:cNvPr id="171" name="Rectangle 170">
          <a:extLst>
            <a:ext uri="{FF2B5EF4-FFF2-40B4-BE49-F238E27FC236}">
              <a16:creationId xmlns:a16="http://schemas.microsoft.com/office/drawing/2014/main" id="{03F884A1-F438-4436-B98F-7FA2422AC375}"/>
            </a:ext>
          </a:extLst>
        </xdr:cNvPr>
        <xdr:cNvSpPr/>
      </xdr:nvSpPr>
      <xdr:spPr>
        <a:xfrm>
          <a:off x="4921229" y="14317368"/>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indent="0" algn="ctr"/>
          <a:r>
            <a:rPr lang="en-AU" sz="900" b="1">
              <a:solidFill>
                <a:schemeClr val="tx1"/>
              </a:solidFill>
              <a:latin typeface="+mj-lt"/>
              <a:ea typeface="+mn-ea"/>
              <a:cs typeface="Arial" panose="020B0604020202020204" pitchFamily="34" charset="0"/>
            </a:rPr>
            <a:t>Proportion of actual cost</a:t>
          </a:r>
          <a:r>
            <a:rPr lang="en-AU" sz="900" b="1" baseline="0">
              <a:solidFill>
                <a:schemeClr val="tx1"/>
              </a:solidFill>
              <a:latin typeface="+mj-lt"/>
              <a:ea typeface="+mn-ea"/>
              <a:cs typeface="Arial" panose="020B0604020202020204" pitchFamily="34" charset="0"/>
            </a:rPr>
            <a:t> period to the decision period</a:t>
          </a:r>
          <a:r>
            <a:rPr lang="en-AU" sz="900" b="1">
              <a:solidFill>
                <a:schemeClr val="tx1"/>
              </a:solidFill>
              <a:latin typeface="+mj-lt"/>
              <a:ea typeface="+mn-ea"/>
              <a:cs typeface="Arial" panose="020B0604020202020204" pitchFamily="34" charset="0"/>
            </a:rPr>
            <a:t> (%)</a:t>
          </a:r>
        </a:p>
      </xdr:txBody>
    </xdr:sp>
    <xdr:clientData/>
  </xdr:twoCellAnchor>
  <xdr:twoCellAnchor>
    <xdr:from>
      <xdr:col>6</xdr:col>
      <xdr:colOff>1488113</xdr:colOff>
      <xdr:row>65</xdr:row>
      <xdr:rowOff>100854</xdr:rowOff>
    </xdr:from>
    <xdr:to>
      <xdr:col>7</xdr:col>
      <xdr:colOff>1304703</xdr:colOff>
      <xdr:row>72</xdr:row>
      <xdr:rowOff>29816</xdr:rowOff>
    </xdr:to>
    <xdr:sp macro="" textlink="">
      <xdr:nvSpPr>
        <xdr:cNvPr id="161" name="Rectangle 160">
          <a:extLst>
            <a:ext uri="{FF2B5EF4-FFF2-40B4-BE49-F238E27FC236}">
              <a16:creationId xmlns:a16="http://schemas.microsoft.com/office/drawing/2014/main" id="{C4CAC0B5-E078-4F24-AC13-09A87A8B9525}"/>
            </a:ext>
          </a:extLst>
        </xdr:cNvPr>
        <xdr:cNvSpPr/>
      </xdr:nvSpPr>
      <xdr:spPr>
        <a:xfrm>
          <a:off x="10732966" y="13917707"/>
          <a:ext cx="1531090" cy="1262462"/>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Retail Margin factor</a:t>
          </a: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Retail Margin (previous decision)</a:t>
          </a:r>
        </a:p>
      </xdr:txBody>
    </xdr:sp>
    <xdr:clientData/>
  </xdr:twoCellAnchor>
  <xdr:twoCellAnchor>
    <xdr:from>
      <xdr:col>8</xdr:col>
      <xdr:colOff>85985</xdr:colOff>
      <xdr:row>65</xdr:row>
      <xdr:rowOff>100854</xdr:rowOff>
    </xdr:from>
    <xdr:to>
      <xdr:col>8</xdr:col>
      <xdr:colOff>1606869</xdr:colOff>
      <xdr:row>72</xdr:row>
      <xdr:rowOff>29816</xdr:rowOff>
    </xdr:to>
    <xdr:sp macro="" textlink="">
      <xdr:nvSpPr>
        <xdr:cNvPr id="162" name="Rectangle 161">
          <a:extLst>
            <a:ext uri="{FF2B5EF4-FFF2-40B4-BE49-F238E27FC236}">
              <a16:creationId xmlns:a16="http://schemas.microsoft.com/office/drawing/2014/main" id="{21A4DC95-7096-4AD2-9AA7-F00D940C64D4}"/>
            </a:ext>
          </a:extLst>
        </xdr:cNvPr>
        <xdr:cNvSpPr/>
      </xdr:nvSpPr>
      <xdr:spPr>
        <a:xfrm>
          <a:off x="12759838" y="13917707"/>
          <a:ext cx="1520884" cy="1262462"/>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GST factor</a:t>
          </a:r>
        </a:p>
        <a:p>
          <a:pPr marL="0" indent="0" algn="ctr"/>
          <a:endParaRPr lang="en-AU" sz="900" b="1">
            <a:solidFill>
              <a:schemeClr val="bg1"/>
            </a:solidFill>
            <a:latin typeface="+mj-lt"/>
            <a:ea typeface="+mn-ea"/>
            <a:cs typeface="Arial" panose="020B0604020202020204" pitchFamily="34" charset="0"/>
          </a:endParaRP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GST rate</a:t>
          </a:r>
        </a:p>
      </xdr:txBody>
    </xdr:sp>
    <xdr:clientData/>
  </xdr:twoCellAnchor>
  <xdr:twoCellAnchor>
    <xdr:from>
      <xdr:col>4</xdr:col>
      <xdr:colOff>1263463</xdr:colOff>
      <xdr:row>67</xdr:row>
      <xdr:rowOff>119515</xdr:rowOff>
    </xdr:from>
    <xdr:to>
      <xdr:col>5</xdr:col>
      <xdr:colOff>944179</xdr:colOff>
      <xdr:row>71</xdr:row>
      <xdr:rowOff>76514</xdr:rowOff>
    </xdr:to>
    <xdr:sp macro="" textlink="">
      <xdr:nvSpPr>
        <xdr:cNvPr id="192" name="Rectangle 191">
          <a:extLst>
            <a:ext uri="{FF2B5EF4-FFF2-40B4-BE49-F238E27FC236}">
              <a16:creationId xmlns:a16="http://schemas.microsoft.com/office/drawing/2014/main" id="{2B4DDC14-61DC-49A5-9A2D-4FC457FA5832}"/>
            </a:ext>
          </a:extLst>
        </xdr:cNvPr>
        <xdr:cNvSpPr/>
      </xdr:nvSpPr>
      <xdr:spPr>
        <a:xfrm>
          <a:off x="7079316" y="14317368"/>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00" b="1" i="0" u="none" strike="noStrike" kern="0" cap="none" spc="0" normalizeH="0" baseline="0" noProof="0">
              <a:ln>
                <a:noFill/>
              </a:ln>
              <a:solidFill>
                <a:prstClr val="black"/>
              </a:solidFill>
              <a:effectLst/>
              <a:uLnTx/>
              <a:uFillTx/>
              <a:latin typeface="Calibri Light" panose="020F0302020204030204"/>
              <a:ea typeface="+mn-ea"/>
              <a:cs typeface="Arial" panose="020B0604020202020204" pitchFamily="34" charset="0"/>
            </a:rPr>
            <a:t>Cost allowance in previous decision ($)</a:t>
          </a:r>
          <a:r>
            <a:rPr lang="en-AU" sz="900" b="1">
              <a:solidFill>
                <a:schemeClr val="tx1"/>
              </a:solidFill>
              <a:latin typeface="+mj-lt"/>
              <a:ea typeface="+mn-ea"/>
              <a:cs typeface="Arial" panose="020B0604020202020204" pitchFamily="34" charset="0"/>
            </a:rPr>
            <a:t> </a:t>
          </a:r>
        </a:p>
      </xdr:txBody>
    </xdr:sp>
    <xdr:clientData/>
  </xdr:twoCellAnchor>
  <xdr:twoCellAnchor>
    <xdr:from>
      <xdr:col>5</xdr:col>
      <xdr:colOff>1256905</xdr:colOff>
      <xdr:row>67</xdr:row>
      <xdr:rowOff>119515</xdr:rowOff>
    </xdr:from>
    <xdr:to>
      <xdr:col>6</xdr:col>
      <xdr:colOff>937621</xdr:colOff>
      <xdr:row>71</xdr:row>
      <xdr:rowOff>76514</xdr:rowOff>
    </xdr:to>
    <xdr:sp macro="" textlink="">
      <xdr:nvSpPr>
        <xdr:cNvPr id="193" name="Rectangle 192">
          <a:extLst>
            <a:ext uri="{FF2B5EF4-FFF2-40B4-BE49-F238E27FC236}">
              <a16:creationId xmlns:a16="http://schemas.microsoft.com/office/drawing/2014/main" id="{DCEB23C5-93EA-4DFC-A6C3-0549A63615D7}"/>
            </a:ext>
          </a:extLst>
        </xdr:cNvPr>
        <xdr:cNvSpPr/>
      </xdr:nvSpPr>
      <xdr:spPr>
        <a:xfrm>
          <a:off x="8787258" y="14317368"/>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indent="0" algn="ctr"/>
          <a:r>
            <a:rPr lang="en-AU" sz="900" b="1">
              <a:solidFill>
                <a:schemeClr val="tx1"/>
              </a:solidFill>
              <a:latin typeface="+mj-lt"/>
              <a:ea typeface="+mn-ea"/>
              <a:cs typeface="Arial" panose="020B0604020202020204" pitchFamily="34" charset="0"/>
            </a:rPr>
            <a:t>Proportion of actual cost period to the decision period (%)</a:t>
          </a:r>
        </a:p>
      </xdr:txBody>
    </xdr:sp>
    <xdr:clientData/>
  </xdr:twoCellAnchor>
  <xdr:twoCellAnchor>
    <xdr:from>
      <xdr:col>2</xdr:col>
      <xdr:colOff>1804343</xdr:colOff>
      <xdr:row>68</xdr:row>
      <xdr:rowOff>156847</xdr:rowOff>
    </xdr:from>
    <xdr:to>
      <xdr:col>2</xdr:col>
      <xdr:colOff>2063899</xdr:colOff>
      <xdr:row>68</xdr:row>
      <xdr:rowOff>156847</xdr:rowOff>
    </xdr:to>
    <xdr:cxnSp macro="">
      <xdr:nvCxnSpPr>
        <xdr:cNvPr id="202" name="Straight Arrow Connector 201">
          <a:extLst>
            <a:ext uri="{FF2B5EF4-FFF2-40B4-BE49-F238E27FC236}">
              <a16:creationId xmlns:a16="http://schemas.microsoft.com/office/drawing/2014/main" id="{7D858B78-A01C-476D-8C85-171CD011917C}"/>
            </a:ext>
          </a:extLst>
        </xdr:cNvPr>
        <xdr:cNvCxnSpPr/>
      </xdr:nvCxnSpPr>
      <xdr:spPr>
        <a:xfrm>
          <a:off x="2521519" y="14545200"/>
          <a:ext cx="259556"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129226</xdr:colOff>
      <xdr:row>65</xdr:row>
      <xdr:rowOff>123265</xdr:rowOff>
    </xdr:from>
    <xdr:to>
      <xdr:col>2</xdr:col>
      <xdr:colOff>1650110</xdr:colOff>
      <xdr:row>72</xdr:row>
      <xdr:rowOff>26418</xdr:rowOff>
    </xdr:to>
    <xdr:sp macro="" textlink="">
      <xdr:nvSpPr>
        <xdr:cNvPr id="203" name="Rectangle 202">
          <a:extLst>
            <a:ext uri="{FF2B5EF4-FFF2-40B4-BE49-F238E27FC236}">
              <a16:creationId xmlns:a16="http://schemas.microsoft.com/office/drawing/2014/main" id="{1678BC32-2903-477E-B2A2-F772F04A3279}"/>
            </a:ext>
          </a:extLst>
        </xdr:cNvPr>
        <xdr:cNvSpPr/>
      </xdr:nvSpPr>
      <xdr:spPr>
        <a:xfrm>
          <a:off x="846402" y="13940118"/>
          <a:ext cx="1520884" cy="1236653"/>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Fixed true up cost  ($)</a:t>
          </a:r>
        </a:p>
      </xdr:txBody>
    </xdr:sp>
    <xdr:clientData/>
  </xdr:twoCellAnchor>
  <xdr:twoCellAnchor>
    <xdr:from>
      <xdr:col>2</xdr:col>
      <xdr:colOff>33617</xdr:colOff>
      <xdr:row>81</xdr:row>
      <xdr:rowOff>89647</xdr:rowOff>
    </xdr:from>
    <xdr:to>
      <xdr:col>2</xdr:col>
      <xdr:colOff>1730920</xdr:colOff>
      <xdr:row>96</xdr:row>
      <xdr:rowOff>177984</xdr:rowOff>
    </xdr:to>
    <xdr:grpSp>
      <xdr:nvGrpSpPr>
        <xdr:cNvPr id="209" name="Group 208">
          <a:extLst>
            <a:ext uri="{FF2B5EF4-FFF2-40B4-BE49-F238E27FC236}">
              <a16:creationId xmlns:a16="http://schemas.microsoft.com/office/drawing/2014/main" id="{80413A40-E748-4AE1-AC91-84D10A232C57}"/>
            </a:ext>
          </a:extLst>
        </xdr:cNvPr>
        <xdr:cNvGrpSpPr/>
      </xdr:nvGrpSpPr>
      <xdr:grpSpPr>
        <a:xfrm>
          <a:off x="750793" y="16214912"/>
          <a:ext cx="1697303" cy="2945837"/>
          <a:chOff x="13982274" y="9016796"/>
          <a:chExt cx="1697303" cy="2945837"/>
        </a:xfrm>
      </xdr:grpSpPr>
      <xdr:sp macro="" textlink="">
        <xdr:nvSpPr>
          <xdr:cNvPr id="210" name="Rectangle 209">
            <a:extLst>
              <a:ext uri="{FF2B5EF4-FFF2-40B4-BE49-F238E27FC236}">
                <a16:creationId xmlns:a16="http://schemas.microsoft.com/office/drawing/2014/main" id="{3D4785E9-97CD-4DA7-87B1-8A52D8EB7B66}"/>
              </a:ext>
            </a:extLst>
          </xdr:cNvPr>
          <xdr:cNvSpPr/>
        </xdr:nvSpPr>
        <xdr:spPr>
          <a:xfrm>
            <a:off x="13982274" y="9016796"/>
            <a:ext cx="1697303" cy="2945837"/>
          </a:xfrm>
          <a:prstGeom prst="rect">
            <a:avLst/>
          </a:prstGeom>
          <a:noFill/>
          <a:ln w="254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050" b="1">
                <a:solidFill>
                  <a:sysClr val="windowText" lastClr="000000"/>
                </a:solidFill>
                <a:latin typeface="+mj-lt"/>
              </a:rPr>
              <a:t>True up tariffs</a:t>
            </a:r>
            <a:endParaRPr lang="en-AU" sz="1050" b="0">
              <a:solidFill>
                <a:sysClr val="windowText" lastClr="000000"/>
              </a:solidFill>
              <a:latin typeface="+mj-lt"/>
            </a:endParaRPr>
          </a:p>
        </xdr:txBody>
      </xdr:sp>
      <xdr:sp macro="" textlink="">
        <xdr:nvSpPr>
          <xdr:cNvPr id="211" name="Rectangle 210">
            <a:extLst>
              <a:ext uri="{FF2B5EF4-FFF2-40B4-BE49-F238E27FC236}">
                <a16:creationId xmlns:a16="http://schemas.microsoft.com/office/drawing/2014/main" id="{E9B499BA-FCCE-4A15-9D41-73E32C0464AE}"/>
              </a:ext>
            </a:extLst>
          </xdr:cNvPr>
          <xdr:cNvSpPr/>
        </xdr:nvSpPr>
        <xdr:spPr>
          <a:xfrm>
            <a:off x="14057156" y="9288748"/>
            <a:ext cx="1554829" cy="1150399"/>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True up Supply Charge ($/day)</a:t>
            </a:r>
          </a:p>
        </xdr:txBody>
      </xdr:sp>
      <xdr:sp macro="" textlink="">
        <xdr:nvSpPr>
          <xdr:cNvPr id="212" name="Rectangle 211">
            <a:extLst>
              <a:ext uri="{FF2B5EF4-FFF2-40B4-BE49-F238E27FC236}">
                <a16:creationId xmlns:a16="http://schemas.microsoft.com/office/drawing/2014/main" id="{9F19BB92-99BC-4072-84C0-645CAB64F228}"/>
              </a:ext>
            </a:extLst>
          </xdr:cNvPr>
          <xdr:cNvSpPr/>
        </xdr:nvSpPr>
        <xdr:spPr>
          <a:xfrm>
            <a:off x="14054075" y="10726748"/>
            <a:ext cx="1554829" cy="1150398"/>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True up Variable Charge ($/kWh)</a:t>
            </a:r>
          </a:p>
        </xdr:txBody>
      </xdr:sp>
    </xdr:grpSp>
    <xdr:clientData/>
  </xdr:twoCellAnchor>
  <xdr:twoCellAnchor>
    <xdr:from>
      <xdr:col>2</xdr:col>
      <xdr:colOff>1804343</xdr:colOff>
      <xdr:row>85</xdr:row>
      <xdr:rowOff>179259</xdr:rowOff>
    </xdr:from>
    <xdr:to>
      <xdr:col>2</xdr:col>
      <xdr:colOff>2063899</xdr:colOff>
      <xdr:row>85</xdr:row>
      <xdr:rowOff>179259</xdr:rowOff>
    </xdr:to>
    <xdr:cxnSp macro="">
      <xdr:nvCxnSpPr>
        <xdr:cNvPr id="213" name="Straight Arrow Connector 212">
          <a:extLst>
            <a:ext uri="{FF2B5EF4-FFF2-40B4-BE49-F238E27FC236}">
              <a16:creationId xmlns:a16="http://schemas.microsoft.com/office/drawing/2014/main" id="{48C79257-BB51-4949-A2EF-350E6CFFE9D3}"/>
            </a:ext>
          </a:extLst>
        </xdr:cNvPr>
        <xdr:cNvCxnSpPr/>
      </xdr:nvCxnSpPr>
      <xdr:spPr>
        <a:xfrm>
          <a:off x="2521519" y="16282112"/>
          <a:ext cx="259556"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1804343</xdr:colOff>
      <xdr:row>93</xdr:row>
      <xdr:rowOff>78406</xdr:rowOff>
    </xdr:from>
    <xdr:to>
      <xdr:col>2</xdr:col>
      <xdr:colOff>2063899</xdr:colOff>
      <xdr:row>93</xdr:row>
      <xdr:rowOff>78406</xdr:rowOff>
    </xdr:to>
    <xdr:cxnSp macro="">
      <xdr:nvCxnSpPr>
        <xdr:cNvPr id="214" name="Straight Arrow Connector 213">
          <a:extLst>
            <a:ext uri="{FF2B5EF4-FFF2-40B4-BE49-F238E27FC236}">
              <a16:creationId xmlns:a16="http://schemas.microsoft.com/office/drawing/2014/main" id="{F9E0149B-DBCC-4118-ABED-1F56402FE422}"/>
            </a:ext>
          </a:extLst>
        </xdr:cNvPr>
        <xdr:cNvCxnSpPr/>
      </xdr:nvCxnSpPr>
      <xdr:spPr>
        <a:xfrm>
          <a:off x="2521519" y="17705259"/>
          <a:ext cx="259556"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2386853</xdr:colOff>
      <xdr:row>84</xdr:row>
      <xdr:rowOff>44824</xdr:rowOff>
    </xdr:from>
    <xdr:to>
      <xdr:col>3</xdr:col>
      <xdr:colOff>356188</xdr:colOff>
      <xdr:row>87</xdr:row>
      <xdr:rowOff>127272</xdr:rowOff>
    </xdr:to>
    <xdr:sp macro="" textlink="">
      <xdr:nvSpPr>
        <xdr:cNvPr id="274" name="Rectangle 273">
          <a:extLst>
            <a:ext uri="{FF2B5EF4-FFF2-40B4-BE49-F238E27FC236}">
              <a16:creationId xmlns:a16="http://schemas.microsoft.com/office/drawing/2014/main" id="{D1CEA11A-E9E9-42B8-BA42-83FF4CA5B5EF}"/>
            </a:ext>
          </a:extLst>
        </xdr:cNvPr>
        <xdr:cNvSpPr/>
      </xdr:nvSpPr>
      <xdr:spPr>
        <a:xfrm>
          <a:off x="3104029" y="15957177"/>
          <a:ext cx="1353512" cy="653948"/>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Fixed true up  cost ($)</a:t>
          </a:r>
        </a:p>
      </xdr:txBody>
    </xdr:sp>
    <xdr:clientData/>
  </xdr:twoCellAnchor>
  <xdr:twoCellAnchor>
    <xdr:from>
      <xdr:col>3</xdr:col>
      <xdr:colOff>470647</xdr:colOff>
      <xdr:row>84</xdr:row>
      <xdr:rowOff>112060</xdr:rowOff>
    </xdr:from>
    <xdr:to>
      <xdr:col>3</xdr:col>
      <xdr:colOff>784412</xdr:colOff>
      <xdr:row>87</xdr:row>
      <xdr:rowOff>100853</xdr:rowOff>
    </xdr:to>
    <xdr:sp macro="" textlink="">
      <xdr:nvSpPr>
        <xdr:cNvPr id="100" name="Division Sign 99">
          <a:extLst>
            <a:ext uri="{FF2B5EF4-FFF2-40B4-BE49-F238E27FC236}">
              <a16:creationId xmlns:a16="http://schemas.microsoft.com/office/drawing/2014/main" id="{2E2343FF-69EA-44B0-9917-B5450728EAA1}"/>
            </a:ext>
          </a:extLst>
        </xdr:cNvPr>
        <xdr:cNvSpPr/>
      </xdr:nvSpPr>
      <xdr:spPr>
        <a:xfrm>
          <a:off x="4572000" y="16024413"/>
          <a:ext cx="313765" cy="560293"/>
        </a:xfrm>
        <a:prstGeom prst="mathDivide">
          <a:avLst>
            <a:gd name="adj1" fmla="val 5502"/>
            <a:gd name="adj2" fmla="val 7682"/>
            <a:gd name="adj3" fmla="val 582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493059</xdr:colOff>
      <xdr:row>68</xdr:row>
      <xdr:rowOff>112057</xdr:rowOff>
    </xdr:from>
    <xdr:to>
      <xdr:col>3</xdr:col>
      <xdr:colOff>853059</xdr:colOff>
      <xdr:row>70</xdr:row>
      <xdr:rowOff>91057</xdr:rowOff>
    </xdr:to>
    <xdr:sp macro="" textlink="">
      <xdr:nvSpPr>
        <xdr:cNvPr id="104" name="Multiplication Sign 103">
          <a:extLst>
            <a:ext uri="{FF2B5EF4-FFF2-40B4-BE49-F238E27FC236}">
              <a16:creationId xmlns:a16="http://schemas.microsoft.com/office/drawing/2014/main" id="{397DAF89-FB2F-43C5-B383-FDA5BAA75243}"/>
            </a:ext>
          </a:extLst>
        </xdr:cNvPr>
        <xdr:cNvSpPr/>
      </xdr:nvSpPr>
      <xdr:spPr>
        <a:xfrm>
          <a:off x="4594412" y="14500410"/>
          <a:ext cx="360000" cy="360000"/>
        </a:xfrm>
        <a:prstGeom prst="mathMultiply">
          <a:avLst>
            <a:gd name="adj1" fmla="val 1209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930088</xdr:colOff>
      <xdr:row>68</xdr:row>
      <xdr:rowOff>112057</xdr:rowOff>
    </xdr:from>
    <xdr:to>
      <xdr:col>5</xdr:col>
      <xdr:colOff>1290088</xdr:colOff>
      <xdr:row>70</xdr:row>
      <xdr:rowOff>91057</xdr:rowOff>
    </xdr:to>
    <xdr:sp macro="" textlink="">
      <xdr:nvSpPr>
        <xdr:cNvPr id="275" name="Multiplication Sign 274">
          <a:extLst>
            <a:ext uri="{FF2B5EF4-FFF2-40B4-BE49-F238E27FC236}">
              <a16:creationId xmlns:a16="http://schemas.microsoft.com/office/drawing/2014/main" id="{1DE5BEB6-DF5B-42DA-8606-ACBF9B3DD9D5}"/>
            </a:ext>
          </a:extLst>
        </xdr:cNvPr>
        <xdr:cNvSpPr/>
      </xdr:nvSpPr>
      <xdr:spPr>
        <a:xfrm>
          <a:off x="8460441" y="14500410"/>
          <a:ext cx="360000" cy="360000"/>
        </a:xfrm>
        <a:prstGeom prst="mathMultiply">
          <a:avLst>
            <a:gd name="adj1" fmla="val 1209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728382</xdr:colOff>
      <xdr:row>69</xdr:row>
      <xdr:rowOff>22412</xdr:rowOff>
    </xdr:from>
    <xdr:to>
      <xdr:col>4</xdr:col>
      <xdr:colOff>1088382</xdr:colOff>
      <xdr:row>69</xdr:row>
      <xdr:rowOff>166412</xdr:rowOff>
    </xdr:to>
    <xdr:sp macro="" textlink="">
      <xdr:nvSpPr>
        <xdr:cNvPr id="105" name="Minus Sign 104">
          <a:extLst>
            <a:ext uri="{FF2B5EF4-FFF2-40B4-BE49-F238E27FC236}">
              <a16:creationId xmlns:a16="http://schemas.microsoft.com/office/drawing/2014/main" id="{67074131-39EA-43DE-89A7-7D89D3B412FD}"/>
            </a:ext>
          </a:extLst>
        </xdr:cNvPr>
        <xdr:cNvSpPr/>
      </xdr:nvSpPr>
      <xdr:spPr>
        <a:xfrm>
          <a:off x="6544235" y="14601265"/>
          <a:ext cx="360000" cy="144000"/>
        </a:xfrm>
        <a:prstGeom prst="mathMinus">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459440</xdr:colOff>
      <xdr:row>58</xdr:row>
      <xdr:rowOff>112060</xdr:rowOff>
    </xdr:from>
    <xdr:to>
      <xdr:col>3</xdr:col>
      <xdr:colOff>819440</xdr:colOff>
      <xdr:row>60</xdr:row>
      <xdr:rowOff>89648</xdr:rowOff>
    </xdr:to>
    <xdr:sp macro="" textlink="">
      <xdr:nvSpPr>
        <xdr:cNvPr id="106" name="Plus Sign 105">
          <a:extLst>
            <a:ext uri="{FF2B5EF4-FFF2-40B4-BE49-F238E27FC236}">
              <a16:creationId xmlns:a16="http://schemas.microsoft.com/office/drawing/2014/main" id="{D43FC991-9A44-43DE-A68F-E527684CF17A}"/>
            </a:ext>
          </a:extLst>
        </xdr:cNvPr>
        <xdr:cNvSpPr/>
      </xdr:nvSpPr>
      <xdr:spPr>
        <a:xfrm>
          <a:off x="4560793" y="11642913"/>
          <a:ext cx="360000" cy="358588"/>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1400735</xdr:colOff>
      <xdr:row>68</xdr:row>
      <xdr:rowOff>22409</xdr:rowOff>
    </xdr:from>
    <xdr:to>
      <xdr:col>8</xdr:col>
      <xdr:colOff>10235</xdr:colOff>
      <xdr:row>70</xdr:row>
      <xdr:rowOff>1409</xdr:rowOff>
    </xdr:to>
    <xdr:sp macro="" textlink="">
      <xdr:nvSpPr>
        <xdr:cNvPr id="277" name="Multiplication Sign 276">
          <a:extLst>
            <a:ext uri="{FF2B5EF4-FFF2-40B4-BE49-F238E27FC236}">
              <a16:creationId xmlns:a16="http://schemas.microsoft.com/office/drawing/2014/main" id="{6C0A3F39-7700-4670-954C-977E7A41874E}"/>
            </a:ext>
          </a:extLst>
        </xdr:cNvPr>
        <xdr:cNvSpPr/>
      </xdr:nvSpPr>
      <xdr:spPr>
        <a:xfrm>
          <a:off x="12360088" y="14410762"/>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582705</xdr:colOff>
      <xdr:row>58</xdr:row>
      <xdr:rowOff>112060</xdr:rowOff>
    </xdr:from>
    <xdr:to>
      <xdr:col>4</xdr:col>
      <xdr:colOff>870705</xdr:colOff>
      <xdr:row>60</xdr:row>
      <xdr:rowOff>19060</xdr:rowOff>
    </xdr:to>
    <xdr:sp macro="" textlink="">
      <xdr:nvSpPr>
        <xdr:cNvPr id="280" name="Plus Sign 279">
          <a:extLst>
            <a:ext uri="{FF2B5EF4-FFF2-40B4-BE49-F238E27FC236}">
              <a16:creationId xmlns:a16="http://schemas.microsoft.com/office/drawing/2014/main" id="{D5DE4DFF-5F9E-46BF-97E3-D71C66505D71}"/>
            </a:ext>
          </a:extLst>
        </xdr:cNvPr>
        <xdr:cNvSpPr/>
      </xdr:nvSpPr>
      <xdr:spPr>
        <a:xfrm>
          <a:off x="6398558" y="11642913"/>
          <a:ext cx="288000" cy="288000"/>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571499</xdr:colOff>
      <xdr:row>58</xdr:row>
      <xdr:rowOff>112060</xdr:rowOff>
    </xdr:from>
    <xdr:to>
      <xdr:col>5</xdr:col>
      <xdr:colOff>859499</xdr:colOff>
      <xdr:row>60</xdr:row>
      <xdr:rowOff>19060</xdr:rowOff>
    </xdr:to>
    <xdr:sp macro="" textlink="">
      <xdr:nvSpPr>
        <xdr:cNvPr id="281" name="Plus Sign 280">
          <a:extLst>
            <a:ext uri="{FF2B5EF4-FFF2-40B4-BE49-F238E27FC236}">
              <a16:creationId xmlns:a16="http://schemas.microsoft.com/office/drawing/2014/main" id="{2E256C17-3C2B-4992-9D76-F26FDD355EDD}"/>
            </a:ext>
          </a:extLst>
        </xdr:cNvPr>
        <xdr:cNvSpPr/>
      </xdr:nvSpPr>
      <xdr:spPr>
        <a:xfrm>
          <a:off x="8101852" y="11642913"/>
          <a:ext cx="288000" cy="288000"/>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1131794</xdr:colOff>
      <xdr:row>58</xdr:row>
      <xdr:rowOff>22409</xdr:rowOff>
    </xdr:from>
    <xdr:to>
      <xdr:col>8</xdr:col>
      <xdr:colOff>1455794</xdr:colOff>
      <xdr:row>60</xdr:row>
      <xdr:rowOff>1409</xdr:rowOff>
    </xdr:to>
    <xdr:sp macro="" textlink="">
      <xdr:nvSpPr>
        <xdr:cNvPr id="282" name="Multiplication Sign 281">
          <a:extLst>
            <a:ext uri="{FF2B5EF4-FFF2-40B4-BE49-F238E27FC236}">
              <a16:creationId xmlns:a16="http://schemas.microsoft.com/office/drawing/2014/main" id="{05287BFC-CCA1-4DEA-B930-083F7ED76691}"/>
            </a:ext>
          </a:extLst>
        </xdr:cNvPr>
        <xdr:cNvSpPr/>
      </xdr:nvSpPr>
      <xdr:spPr>
        <a:xfrm>
          <a:off x="13805647" y="11553262"/>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795618</xdr:colOff>
      <xdr:row>58</xdr:row>
      <xdr:rowOff>22409</xdr:rowOff>
    </xdr:from>
    <xdr:to>
      <xdr:col>7</xdr:col>
      <xdr:colOff>1119618</xdr:colOff>
      <xdr:row>60</xdr:row>
      <xdr:rowOff>1409</xdr:rowOff>
    </xdr:to>
    <xdr:sp macro="" textlink="">
      <xdr:nvSpPr>
        <xdr:cNvPr id="283" name="Multiplication Sign 282">
          <a:extLst>
            <a:ext uri="{FF2B5EF4-FFF2-40B4-BE49-F238E27FC236}">
              <a16:creationId xmlns:a16="http://schemas.microsoft.com/office/drawing/2014/main" id="{75AE752A-C358-46E8-B414-C76805CBBE3F}"/>
            </a:ext>
          </a:extLst>
        </xdr:cNvPr>
        <xdr:cNvSpPr/>
      </xdr:nvSpPr>
      <xdr:spPr>
        <a:xfrm>
          <a:off x="11754971" y="11553262"/>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627530</xdr:colOff>
      <xdr:row>58</xdr:row>
      <xdr:rowOff>100851</xdr:rowOff>
    </xdr:from>
    <xdr:to>
      <xdr:col>6</xdr:col>
      <xdr:colOff>987530</xdr:colOff>
      <xdr:row>60</xdr:row>
      <xdr:rowOff>79851</xdr:rowOff>
    </xdr:to>
    <xdr:sp macro="" textlink="">
      <xdr:nvSpPr>
        <xdr:cNvPr id="285" name="Multiplication Sign 284">
          <a:extLst>
            <a:ext uri="{FF2B5EF4-FFF2-40B4-BE49-F238E27FC236}">
              <a16:creationId xmlns:a16="http://schemas.microsoft.com/office/drawing/2014/main" id="{8A71F486-3ED0-43AE-AC30-14D6E309853B}"/>
            </a:ext>
          </a:extLst>
        </xdr:cNvPr>
        <xdr:cNvSpPr/>
      </xdr:nvSpPr>
      <xdr:spPr>
        <a:xfrm>
          <a:off x="9872383" y="11631704"/>
          <a:ext cx="360000" cy="360000"/>
        </a:xfrm>
        <a:prstGeom prst="mathMultiply">
          <a:avLst>
            <a:gd name="adj1" fmla="val 1209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526676</xdr:colOff>
      <xdr:row>51</xdr:row>
      <xdr:rowOff>33619</xdr:rowOff>
    </xdr:from>
    <xdr:to>
      <xdr:col>3</xdr:col>
      <xdr:colOff>814676</xdr:colOff>
      <xdr:row>52</xdr:row>
      <xdr:rowOff>131119</xdr:rowOff>
    </xdr:to>
    <xdr:sp macro="" textlink="">
      <xdr:nvSpPr>
        <xdr:cNvPr id="286" name="Plus Sign 285">
          <a:extLst>
            <a:ext uri="{FF2B5EF4-FFF2-40B4-BE49-F238E27FC236}">
              <a16:creationId xmlns:a16="http://schemas.microsoft.com/office/drawing/2014/main" id="{E706994B-F91B-4C43-887D-C0E19947D45D}"/>
            </a:ext>
          </a:extLst>
        </xdr:cNvPr>
        <xdr:cNvSpPr/>
      </xdr:nvSpPr>
      <xdr:spPr>
        <a:xfrm>
          <a:off x="4628029" y="10230972"/>
          <a:ext cx="288000" cy="288000"/>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515470</xdr:colOff>
      <xdr:row>51</xdr:row>
      <xdr:rowOff>33619</xdr:rowOff>
    </xdr:from>
    <xdr:to>
      <xdr:col>4</xdr:col>
      <xdr:colOff>803470</xdr:colOff>
      <xdr:row>52</xdr:row>
      <xdr:rowOff>131119</xdr:rowOff>
    </xdr:to>
    <xdr:sp macro="" textlink="">
      <xdr:nvSpPr>
        <xdr:cNvPr id="287" name="Plus Sign 286">
          <a:extLst>
            <a:ext uri="{FF2B5EF4-FFF2-40B4-BE49-F238E27FC236}">
              <a16:creationId xmlns:a16="http://schemas.microsoft.com/office/drawing/2014/main" id="{5C1D854E-3BC8-4465-B239-5012951F781E}"/>
            </a:ext>
          </a:extLst>
        </xdr:cNvPr>
        <xdr:cNvSpPr/>
      </xdr:nvSpPr>
      <xdr:spPr>
        <a:xfrm>
          <a:off x="6331323" y="10230972"/>
          <a:ext cx="288000" cy="288000"/>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481852</xdr:colOff>
      <xdr:row>51</xdr:row>
      <xdr:rowOff>33619</xdr:rowOff>
    </xdr:from>
    <xdr:to>
      <xdr:col>5</xdr:col>
      <xdr:colOff>769852</xdr:colOff>
      <xdr:row>52</xdr:row>
      <xdr:rowOff>131119</xdr:rowOff>
    </xdr:to>
    <xdr:sp macro="" textlink="">
      <xdr:nvSpPr>
        <xdr:cNvPr id="288" name="Plus Sign 287">
          <a:extLst>
            <a:ext uri="{FF2B5EF4-FFF2-40B4-BE49-F238E27FC236}">
              <a16:creationId xmlns:a16="http://schemas.microsoft.com/office/drawing/2014/main" id="{EE6A69B9-818D-4685-BFE9-7D7591E545AF}"/>
            </a:ext>
          </a:extLst>
        </xdr:cNvPr>
        <xdr:cNvSpPr/>
      </xdr:nvSpPr>
      <xdr:spPr>
        <a:xfrm>
          <a:off x="8012205" y="10230972"/>
          <a:ext cx="288000" cy="288000"/>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493058</xdr:colOff>
      <xdr:row>51</xdr:row>
      <xdr:rowOff>33619</xdr:rowOff>
    </xdr:from>
    <xdr:to>
      <xdr:col>6</xdr:col>
      <xdr:colOff>781058</xdr:colOff>
      <xdr:row>52</xdr:row>
      <xdr:rowOff>131119</xdr:rowOff>
    </xdr:to>
    <xdr:sp macro="" textlink="">
      <xdr:nvSpPr>
        <xdr:cNvPr id="289" name="Plus Sign 288">
          <a:extLst>
            <a:ext uri="{FF2B5EF4-FFF2-40B4-BE49-F238E27FC236}">
              <a16:creationId xmlns:a16="http://schemas.microsoft.com/office/drawing/2014/main" id="{CC1A0D76-69AB-486D-9DEA-A23861356424}"/>
            </a:ext>
          </a:extLst>
        </xdr:cNvPr>
        <xdr:cNvSpPr/>
      </xdr:nvSpPr>
      <xdr:spPr>
        <a:xfrm>
          <a:off x="9737911" y="10230972"/>
          <a:ext cx="288000" cy="288000"/>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1131794</xdr:colOff>
      <xdr:row>50</xdr:row>
      <xdr:rowOff>100850</xdr:rowOff>
    </xdr:from>
    <xdr:to>
      <xdr:col>8</xdr:col>
      <xdr:colOff>1455794</xdr:colOff>
      <xdr:row>52</xdr:row>
      <xdr:rowOff>79850</xdr:rowOff>
    </xdr:to>
    <xdr:sp macro="" textlink="">
      <xdr:nvSpPr>
        <xdr:cNvPr id="291" name="Multiplication Sign 290">
          <a:extLst>
            <a:ext uri="{FF2B5EF4-FFF2-40B4-BE49-F238E27FC236}">
              <a16:creationId xmlns:a16="http://schemas.microsoft.com/office/drawing/2014/main" id="{C35CE687-770D-4340-BD05-D4C2E0CE745A}"/>
            </a:ext>
          </a:extLst>
        </xdr:cNvPr>
        <xdr:cNvSpPr/>
      </xdr:nvSpPr>
      <xdr:spPr>
        <a:xfrm>
          <a:off x="13805647" y="10107703"/>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795618</xdr:colOff>
      <xdr:row>50</xdr:row>
      <xdr:rowOff>100850</xdr:rowOff>
    </xdr:from>
    <xdr:to>
      <xdr:col>7</xdr:col>
      <xdr:colOff>1119618</xdr:colOff>
      <xdr:row>52</xdr:row>
      <xdr:rowOff>79850</xdr:rowOff>
    </xdr:to>
    <xdr:sp macro="" textlink="">
      <xdr:nvSpPr>
        <xdr:cNvPr id="292" name="Multiplication Sign 291">
          <a:extLst>
            <a:ext uri="{FF2B5EF4-FFF2-40B4-BE49-F238E27FC236}">
              <a16:creationId xmlns:a16="http://schemas.microsoft.com/office/drawing/2014/main" id="{2B138E9A-EE55-4976-BC53-5A68B25A837C}"/>
            </a:ext>
          </a:extLst>
        </xdr:cNvPr>
        <xdr:cNvSpPr/>
      </xdr:nvSpPr>
      <xdr:spPr>
        <a:xfrm>
          <a:off x="11754971" y="10107703"/>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819876</xdr:colOff>
      <xdr:row>84</xdr:row>
      <xdr:rowOff>18662</xdr:rowOff>
    </xdr:from>
    <xdr:to>
      <xdr:col>4</xdr:col>
      <xdr:colOff>500592</xdr:colOff>
      <xdr:row>87</xdr:row>
      <xdr:rowOff>166161</xdr:rowOff>
    </xdr:to>
    <xdr:sp macro="" textlink="">
      <xdr:nvSpPr>
        <xdr:cNvPr id="300" name="Rectangle 299">
          <a:extLst>
            <a:ext uri="{FF2B5EF4-FFF2-40B4-BE49-F238E27FC236}">
              <a16:creationId xmlns:a16="http://schemas.microsoft.com/office/drawing/2014/main" id="{BB4CA80F-C795-4111-AA71-2615B422CC16}"/>
            </a:ext>
          </a:extLst>
        </xdr:cNvPr>
        <xdr:cNvSpPr/>
      </xdr:nvSpPr>
      <xdr:spPr>
        <a:xfrm>
          <a:off x="4921229" y="15931015"/>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indent="0" algn="ctr"/>
          <a:r>
            <a:rPr lang="en-AU" sz="900" b="1">
              <a:solidFill>
                <a:schemeClr val="tx1"/>
              </a:solidFill>
              <a:latin typeface="+mj-lt"/>
              <a:ea typeface="+mn-ea"/>
              <a:cs typeface="Arial" panose="020B0604020202020204" pitchFamily="34" charset="0"/>
            </a:rPr>
            <a:t>No of days in decision period</a:t>
          </a:r>
        </a:p>
      </xdr:txBody>
    </xdr:sp>
    <xdr:clientData/>
  </xdr:twoCellAnchor>
  <xdr:twoCellAnchor>
    <xdr:from>
      <xdr:col>2</xdr:col>
      <xdr:colOff>2386853</xdr:colOff>
      <xdr:row>91</xdr:row>
      <xdr:rowOff>145677</xdr:rowOff>
    </xdr:from>
    <xdr:to>
      <xdr:col>3</xdr:col>
      <xdr:colOff>356188</xdr:colOff>
      <xdr:row>95</xdr:row>
      <xdr:rowOff>37625</xdr:rowOff>
    </xdr:to>
    <xdr:sp macro="" textlink="">
      <xdr:nvSpPr>
        <xdr:cNvPr id="302" name="Rectangle 301">
          <a:extLst>
            <a:ext uri="{FF2B5EF4-FFF2-40B4-BE49-F238E27FC236}">
              <a16:creationId xmlns:a16="http://schemas.microsoft.com/office/drawing/2014/main" id="{5F2D075C-ADFB-467A-8064-7F8B578C4606}"/>
            </a:ext>
          </a:extLst>
        </xdr:cNvPr>
        <xdr:cNvSpPr/>
      </xdr:nvSpPr>
      <xdr:spPr>
        <a:xfrm>
          <a:off x="3104029" y="17391530"/>
          <a:ext cx="1353512" cy="653948"/>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Variable true up cost ($)</a:t>
          </a:r>
        </a:p>
      </xdr:txBody>
    </xdr:sp>
    <xdr:clientData/>
  </xdr:twoCellAnchor>
  <xdr:twoCellAnchor>
    <xdr:from>
      <xdr:col>3</xdr:col>
      <xdr:colOff>470647</xdr:colOff>
      <xdr:row>92</xdr:row>
      <xdr:rowOff>22413</xdr:rowOff>
    </xdr:from>
    <xdr:to>
      <xdr:col>3</xdr:col>
      <xdr:colOff>784412</xdr:colOff>
      <xdr:row>95</xdr:row>
      <xdr:rowOff>11206</xdr:rowOff>
    </xdr:to>
    <xdr:sp macro="" textlink="">
      <xdr:nvSpPr>
        <xdr:cNvPr id="303" name="Division Sign 302">
          <a:extLst>
            <a:ext uri="{FF2B5EF4-FFF2-40B4-BE49-F238E27FC236}">
              <a16:creationId xmlns:a16="http://schemas.microsoft.com/office/drawing/2014/main" id="{4648D8B4-ED86-4C71-831B-394B783852C2}"/>
            </a:ext>
          </a:extLst>
        </xdr:cNvPr>
        <xdr:cNvSpPr/>
      </xdr:nvSpPr>
      <xdr:spPr>
        <a:xfrm>
          <a:off x="4572000" y="17458766"/>
          <a:ext cx="313765" cy="560293"/>
        </a:xfrm>
        <a:prstGeom prst="mathDivide">
          <a:avLst>
            <a:gd name="adj1" fmla="val 5502"/>
            <a:gd name="adj2" fmla="val 7682"/>
            <a:gd name="adj3" fmla="val 582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874059</xdr:colOff>
      <xdr:row>90</xdr:row>
      <xdr:rowOff>91578</xdr:rowOff>
    </xdr:from>
    <xdr:to>
      <xdr:col>6</xdr:col>
      <xdr:colOff>1064558</xdr:colOff>
      <xdr:row>96</xdr:row>
      <xdr:rowOff>98976</xdr:rowOff>
    </xdr:to>
    <xdr:sp macro="" textlink="">
      <xdr:nvSpPr>
        <xdr:cNvPr id="305" name="Rectangle 304">
          <a:extLst>
            <a:ext uri="{FF2B5EF4-FFF2-40B4-BE49-F238E27FC236}">
              <a16:creationId xmlns:a16="http://schemas.microsoft.com/office/drawing/2014/main" id="{5739D8DD-16EC-463A-BF8E-4084B893CB86}"/>
            </a:ext>
          </a:extLst>
        </xdr:cNvPr>
        <xdr:cNvSpPr/>
      </xdr:nvSpPr>
      <xdr:spPr>
        <a:xfrm>
          <a:off x="4975412" y="17146931"/>
          <a:ext cx="5333999" cy="1150398"/>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Electricity consumption in the decision period</a:t>
          </a:r>
        </a:p>
      </xdr:txBody>
    </xdr:sp>
    <xdr:clientData/>
  </xdr:twoCellAnchor>
  <xdr:twoCellAnchor>
    <xdr:from>
      <xdr:col>5</xdr:col>
      <xdr:colOff>1252261</xdr:colOff>
      <xdr:row>91</xdr:row>
      <xdr:rowOff>175544</xdr:rowOff>
    </xdr:from>
    <xdr:to>
      <xdr:col>6</xdr:col>
      <xdr:colOff>932977</xdr:colOff>
      <xdr:row>95</xdr:row>
      <xdr:rowOff>132543</xdr:rowOff>
    </xdr:to>
    <xdr:sp macro="" textlink="">
      <xdr:nvSpPr>
        <xdr:cNvPr id="306" name="Rectangle 305">
          <a:extLst>
            <a:ext uri="{FF2B5EF4-FFF2-40B4-BE49-F238E27FC236}">
              <a16:creationId xmlns:a16="http://schemas.microsoft.com/office/drawing/2014/main" id="{6146A29A-734B-4F50-BC17-C28F8AC84447}"/>
            </a:ext>
          </a:extLst>
        </xdr:cNvPr>
        <xdr:cNvSpPr/>
      </xdr:nvSpPr>
      <xdr:spPr>
        <a:xfrm>
          <a:off x="8782614" y="17421397"/>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Days in year</a:t>
          </a:r>
        </a:p>
      </xdr:txBody>
    </xdr:sp>
    <xdr:clientData/>
  </xdr:twoCellAnchor>
  <xdr:twoCellAnchor>
    <xdr:from>
      <xdr:col>4</xdr:col>
      <xdr:colOff>1156056</xdr:colOff>
      <xdr:row>91</xdr:row>
      <xdr:rowOff>175544</xdr:rowOff>
    </xdr:from>
    <xdr:to>
      <xdr:col>5</xdr:col>
      <xdr:colOff>836772</xdr:colOff>
      <xdr:row>95</xdr:row>
      <xdr:rowOff>132543</xdr:rowOff>
    </xdr:to>
    <xdr:sp macro="" textlink="">
      <xdr:nvSpPr>
        <xdr:cNvPr id="307" name="Rectangle 306">
          <a:extLst>
            <a:ext uri="{FF2B5EF4-FFF2-40B4-BE49-F238E27FC236}">
              <a16:creationId xmlns:a16="http://schemas.microsoft.com/office/drawing/2014/main" id="{A7BD6ACE-A101-4C27-8769-F08FCFEB08E4}"/>
            </a:ext>
          </a:extLst>
        </xdr:cNvPr>
        <xdr:cNvSpPr/>
      </xdr:nvSpPr>
      <xdr:spPr>
        <a:xfrm>
          <a:off x="6971909" y="17421397"/>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indent="0" algn="ctr"/>
          <a:r>
            <a:rPr lang="en-AU" sz="900" b="1">
              <a:solidFill>
                <a:schemeClr val="tx1"/>
              </a:solidFill>
              <a:latin typeface="+mj-lt"/>
              <a:ea typeface="+mn-ea"/>
              <a:cs typeface="Arial" panose="020B0604020202020204" pitchFamily="34" charset="0"/>
            </a:rPr>
            <a:t>No of days in decision period</a:t>
          </a:r>
        </a:p>
      </xdr:txBody>
    </xdr:sp>
    <xdr:clientData/>
  </xdr:twoCellAnchor>
  <xdr:twoCellAnchor>
    <xdr:from>
      <xdr:col>5</xdr:col>
      <xdr:colOff>896476</xdr:colOff>
      <xdr:row>92</xdr:row>
      <xdr:rowOff>100854</xdr:rowOff>
    </xdr:from>
    <xdr:to>
      <xdr:col>5</xdr:col>
      <xdr:colOff>1210241</xdr:colOff>
      <xdr:row>95</xdr:row>
      <xdr:rowOff>89647</xdr:rowOff>
    </xdr:to>
    <xdr:sp macro="" textlink="">
      <xdr:nvSpPr>
        <xdr:cNvPr id="308" name="Division Sign 307">
          <a:extLst>
            <a:ext uri="{FF2B5EF4-FFF2-40B4-BE49-F238E27FC236}">
              <a16:creationId xmlns:a16="http://schemas.microsoft.com/office/drawing/2014/main" id="{F1FD4628-552A-4D2A-81EF-137B9B835502}"/>
            </a:ext>
          </a:extLst>
        </xdr:cNvPr>
        <xdr:cNvSpPr/>
      </xdr:nvSpPr>
      <xdr:spPr>
        <a:xfrm>
          <a:off x="8426829" y="17537207"/>
          <a:ext cx="313765" cy="560293"/>
        </a:xfrm>
        <a:prstGeom prst="mathDivide">
          <a:avLst>
            <a:gd name="adj1" fmla="val 5502"/>
            <a:gd name="adj2" fmla="val 7682"/>
            <a:gd name="adj3" fmla="val 582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1088818</xdr:colOff>
      <xdr:row>91</xdr:row>
      <xdr:rowOff>164339</xdr:rowOff>
    </xdr:from>
    <xdr:to>
      <xdr:col>4</xdr:col>
      <xdr:colOff>769534</xdr:colOff>
      <xdr:row>95</xdr:row>
      <xdr:rowOff>121338</xdr:rowOff>
    </xdr:to>
    <xdr:sp macro="" textlink="">
      <xdr:nvSpPr>
        <xdr:cNvPr id="309" name="Rectangle 308">
          <a:extLst>
            <a:ext uri="{FF2B5EF4-FFF2-40B4-BE49-F238E27FC236}">
              <a16:creationId xmlns:a16="http://schemas.microsoft.com/office/drawing/2014/main" id="{705EBDF4-0060-441D-9397-CBE79E9CBF9F}"/>
            </a:ext>
          </a:extLst>
        </xdr:cNvPr>
        <xdr:cNvSpPr/>
      </xdr:nvSpPr>
      <xdr:spPr>
        <a:xfrm>
          <a:off x="5190171" y="17410192"/>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indent="0" algn="ctr"/>
          <a:r>
            <a:rPr lang="en-AU" sz="900" b="1">
              <a:solidFill>
                <a:schemeClr val="tx1"/>
              </a:solidFill>
              <a:latin typeface="+mj-lt"/>
              <a:ea typeface="+mn-ea"/>
              <a:cs typeface="Arial" panose="020B0604020202020204" pitchFamily="34" charset="0"/>
            </a:rPr>
            <a:t>Electricity Consumption (kWh/year)</a:t>
          </a:r>
        </a:p>
      </xdr:txBody>
    </xdr:sp>
    <xdr:clientData/>
  </xdr:twoCellAnchor>
  <xdr:twoCellAnchor>
    <xdr:from>
      <xdr:col>4</xdr:col>
      <xdr:colOff>795618</xdr:colOff>
      <xdr:row>92</xdr:row>
      <xdr:rowOff>190497</xdr:rowOff>
    </xdr:from>
    <xdr:to>
      <xdr:col>4</xdr:col>
      <xdr:colOff>1155618</xdr:colOff>
      <xdr:row>94</xdr:row>
      <xdr:rowOff>169497</xdr:rowOff>
    </xdr:to>
    <xdr:sp macro="" textlink="">
      <xdr:nvSpPr>
        <xdr:cNvPr id="315" name="Multiplication Sign 314">
          <a:extLst>
            <a:ext uri="{FF2B5EF4-FFF2-40B4-BE49-F238E27FC236}">
              <a16:creationId xmlns:a16="http://schemas.microsoft.com/office/drawing/2014/main" id="{BF25BBD1-7480-4007-A6C1-15063B30BB84}"/>
            </a:ext>
          </a:extLst>
        </xdr:cNvPr>
        <xdr:cNvSpPr/>
      </xdr:nvSpPr>
      <xdr:spPr>
        <a:xfrm>
          <a:off x="6611471" y="17626850"/>
          <a:ext cx="360000" cy="360000"/>
        </a:xfrm>
        <a:prstGeom prst="mathMultiply">
          <a:avLst>
            <a:gd name="adj1" fmla="val 1209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1131794</xdr:colOff>
      <xdr:row>68</xdr:row>
      <xdr:rowOff>22409</xdr:rowOff>
    </xdr:from>
    <xdr:to>
      <xdr:col>6</xdr:col>
      <xdr:colOff>1455794</xdr:colOff>
      <xdr:row>70</xdr:row>
      <xdr:rowOff>1409</xdr:rowOff>
    </xdr:to>
    <xdr:sp macro="" textlink="">
      <xdr:nvSpPr>
        <xdr:cNvPr id="316" name="Multiplication Sign 315">
          <a:extLst>
            <a:ext uri="{FF2B5EF4-FFF2-40B4-BE49-F238E27FC236}">
              <a16:creationId xmlns:a16="http://schemas.microsoft.com/office/drawing/2014/main" id="{EFE8E95F-CB71-4152-8093-E492D58B34F6}"/>
            </a:ext>
          </a:extLst>
        </xdr:cNvPr>
        <xdr:cNvSpPr/>
      </xdr:nvSpPr>
      <xdr:spPr>
        <a:xfrm>
          <a:off x="10376647" y="14410762"/>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1187823</xdr:colOff>
      <xdr:row>74</xdr:row>
      <xdr:rowOff>67236</xdr:rowOff>
    </xdr:from>
    <xdr:to>
      <xdr:col>6</xdr:col>
      <xdr:colOff>1008531</xdr:colOff>
      <xdr:row>79</xdr:row>
      <xdr:rowOff>61546</xdr:rowOff>
    </xdr:to>
    <xdr:sp macro="" textlink="">
      <xdr:nvSpPr>
        <xdr:cNvPr id="317" name="TextBox 316">
          <a:extLst>
            <a:ext uri="{FF2B5EF4-FFF2-40B4-BE49-F238E27FC236}">
              <a16:creationId xmlns:a16="http://schemas.microsoft.com/office/drawing/2014/main" id="{F1AF5684-43AE-4D70-9C07-EC17F6AFF7C1}"/>
            </a:ext>
          </a:extLst>
        </xdr:cNvPr>
        <xdr:cNvSpPr txBox="1"/>
      </xdr:nvSpPr>
      <xdr:spPr>
        <a:xfrm>
          <a:off x="7003676" y="15598589"/>
          <a:ext cx="3249708" cy="946810"/>
        </a:xfrm>
        <a:prstGeom prst="rect">
          <a:avLst/>
        </a:prstGeom>
        <a:noFill/>
        <a:ln w="28575" cmpd="sng">
          <a:solidFill>
            <a:schemeClr val="bg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Cost allowance in previous decision ($)</a:t>
          </a:r>
        </a:p>
      </xdr:txBody>
    </xdr:sp>
    <xdr:clientData/>
  </xdr:twoCellAnchor>
  <xdr:twoCellAnchor>
    <xdr:from>
      <xdr:col>2</xdr:col>
      <xdr:colOff>2442882</xdr:colOff>
      <xdr:row>74</xdr:row>
      <xdr:rowOff>67236</xdr:rowOff>
    </xdr:from>
    <xdr:to>
      <xdr:col>4</xdr:col>
      <xdr:colOff>593913</xdr:colOff>
      <xdr:row>79</xdr:row>
      <xdr:rowOff>61546</xdr:rowOff>
    </xdr:to>
    <xdr:sp macro="" textlink="">
      <xdr:nvSpPr>
        <xdr:cNvPr id="318" name="TextBox 317">
          <a:extLst>
            <a:ext uri="{FF2B5EF4-FFF2-40B4-BE49-F238E27FC236}">
              <a16:creationId xmlns:a16="http://schemas.microsoft.com/office/drawing/2014/main" id="{202740BD-B50D-4A73-8C33-3F9DCE6117D4}"/>
            </a:ext>
          </a:extLst>
        </xdr:cNvPr>
        <xdr:cNvSpPr txBox="1"/>
      </xdr:nvSpPr>
      <xdr:spPr>
        <a:xfrm>
          <a:off x="3160058" y="15598589"/>
          <a:ext cx="3249708" cy="946810"/>
        </a:xfrm>
        <a:prstGeom prst="rect">
          <a:avLst/>
        </a:prstGeom>
        <a:noFill/>
        <a:ln w="28575" cmpd="sng">
          <a:solidFill>
            <a:schemeClr val="bg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Actual cost ($)</a:t>
          </a:r>
        </a:p>
      </xdr:txBody>
    </xdr:sp>
    <xdr:clientData/>
  </xdr:twoCellAnchor>
  <xdr:twoCellAnchor>
    <xdr:from>
      <xdr:col>2</xdr:col>
      <xdr:colOff>2496111</xdr:colOff>
      <xdr:row>75</xdr:row>
      <xdr:rowOff>29868</xdr:rowOff>
    </xdr:from>
    <xdr:to>
      <xdr:col>3</xdr:col>
      <xdr:colOff>507150</xdr:colOff>
      <xdr:row>78</xdr:row>
      <xdr:rowOff>177367</xdr:rowOff>
    </xdr:to>
    <xdr:sp macro="" textlink="">
      <xdr:nvSpPr>
        <xdr:cNvPr id="319" name="Rectangle 318">
          <a:extLst>
            <a:ext uri="{FF2B5EF4-FFF2-40B4-BE49-F238E27FC236}">
              <a16:creationId xmlns:a16="http://schemas.microsoft.com/office/drawing/2014/main" id="{B2EDC7DB-8586-45E6-A9A1-9C24D02EA727}"/>
            </a:ext>
          </a:extLst>
        </xdr:cNvPr>
        <xdr:cNvSpPr/>
      </xdr:nvSpPr>
      <xdr:spPr>
        <a:xfrm>
          <a:off x="3213287" y="15751721"/>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Actual cost ($)</a:t>
          </a:r>
        </a:p>
      </xdr:txBody>
    </xdr:sp>
    <xdr:clientData/>
  </xdr:twoCellAnchor>
  <xdr:twoCellAnchor>
    <xdr:from>
      <xdr:col>3</xdr:col>
      <xdr:colOff>819876</xdr:colOff>
      <xdr:row>75</xdr:row>
      <xdr:rowOff>29868</xdr:rowOff>
    </xdr:from>
    <xdr:to>
      <xdr:col>4</xdr:col>
      <xdr:colOff>500592</xdr:colOff>
      <xdr:row>78</xdr:row>
      <xdr:rowOff>177367</xdr:rowOff>
    </xdr:to>
    <xdr:sp macro="" textlink="">
      <xdr:nvSpPr>
        <xdr:cNvPr id="320" name="Rectangle 319">
          <a:extLst>
            <a:ext uri="{FF2B5EF4-FFF2-40B4-BE49-F238E27FC236}">
              <a16:creationId xmlns:a16="http://schemas.microsoft.com/office/drawing/2014/main" id="{26546092-F699-4524-9B96-7019E70CF5FE}"/>
            </a:ext>
          </a:extLst>
        </xdr:cNvPr>
        <xdr:cNvSpPr/>
      </xdr:nvSpPr>
      <xdr:spPr>
        <a:xfrm>
          <a:off x="4921229" y="15751721"/>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indent="0" algn="ctr"/>
          <a:r>
            <a:rPr lang="en-AU" sz="900" b="1">
              <a:solidFill>
                <a:schemeClr val="tx1"/>
              </a:solidFill>
              <a:latin typeface="+mj-lt"/>
              <a:ea typeface="+mn-ea"/>
              <a:cs typeface="Arial" panose="020B0604020202020204" pitchFamily="34" charset="0"/>
            </a:rPr>
            <a:t>Proportion of actual cost</a:t>
          </a:r>
          <a:r>
            <a:rPr lang="en-AU" sz="900" b="1" baseline="0">
              <a:solidFill>
                <a:schemeClr val="tx1"/>
              </a:solidFill>
              <a:latin typeface="+mj-lt"/>
              <a:ea typeface="+mn-ea"/>
              <a:cs typeface="Arial" panose="020B0604020202020204" pitchFamily="34" charset="0"/>
            </a:rPr>
            <a:t> period to the decision period</a:t>
          </a:r>
          <a:r>
            <a:rPr lang="en-AU" sz="900" b="1">
              <a:solidFill>
                <a:schemeClr val="tx1"/>
              </a:solidFill>
              <a:latin typeface="+mj-lt"/>
              <a:ea typeface="+mn-ea"/>
              <a:cs typeface="Arial" panose="020B0604020202020204" pitchFamily="34" charset="0"/>
            </a:rPr>
            <a:t> (%)</a:t>
          </a:r>
        </a:p>
      </xdr:txBody>
    </xdr:sp>
    <xdr:clientData/>
  </xdr:twoCellAnchor>
  <xdr:twoCellAnchor>
    <xdr:from>
      <xdr:col>8</xdr:col>
      <xdr:colOff>98584</xdr:colOff>
      <xdr:row>73</xdr:row>
      <xdr:rowOff>11207</xdr:rowOff>
    </xdr:from>
    <xdr:to>
      <xdr:col>8</xdr:col>
      <xdr:colOff>1629674</xdr:colOff>
      <xdr:row>79</xdr:row>
      <xdr:rowOff>130669</xdr:rowOff>
    </xdr:to>
    <xdr:sp macro="" textlink="">
      <xdr:nvSpPr>
        <xdr:cNvPr id="321" name="Rectangle 320">
          <a:extLst>
            <a:ext uri="{FF2B5EF4-FFF2-40B4-BE49-F238E27FC236}">
              <a16:creationId xmlns:a16="http://schemas.microsoft.com/office/drawing/2014/main" id="{607C5251-B08D-44F7-A4C7-70A024AF66EA}"/>
            </a:ext>
          </a:extLst>
        </xdr:cNvPr>
        <xdr:cNvSpPr/>
      </xdr:nvSpPr>
      <xdr:spPr>
        <a:xfrm>
          <a:off x="12772437" y="15352060"/>
          <a:ext cx="1531090" cy="1262462"/>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Retail Margin factor</a:t>
          </a: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Retail Margin (previous decision)</a:t>
          </a:r>
        </a:p>
      </xdr:txBody>
    </xdr:sp>
    <xdr:clientData/>
  </xdr:twoCellAnchor>
  <xdr:twoCellAnchor>
    <xdr:from>
      <xdr:col>9</xdr:col>
      <xdr:colOff>410956</xdr:colOff>
      <xdr:row>73</xdr:row>
      <xdr:rowOff>11207</xdr:rowOff>
    </xdr:from>
    <xdr:to>
      <xdr:col>10</xdr:col>
      <xdr:colOff>217340</xdr:colOff>
      <xdr:row>79</xdr:row>
      <xdr:rowOff>130669</xdr:rowOff>
    </xdr:to>
    <xdr:sp macro="" textlink="">
      <xdr:nvSpPr>
        <xdr:cNvPr id="322" name="Rectangle 321">
          <a:extLst>
            <a:ext uri="{FF2B5EF4-FFF2-40B4-BE49-F238E27FC236}">
              <a16:creationId xmlns:a16="http://schemas.microsoft.com/office/drawing/2014/main" id="{FFCD3DC8-D4F8-4A59-9C3D-9F849D4ECFCE}"/>
            </a:ext>
          </a:extLst>
        </xdr:cNvPr>
        <xdr:cNvSpPr/>
      </xdr:nvSpPr>
      <xdr:spPr>
        <a:xfrm>
          <a:off x="14799309" y="15352060"/>
          <a:ext cx="1520884" cy="1262462"/>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GST factor</a:t>
          </a:r>
        </a:p>
        <a:p>
          <a:pPr marL="0" indent="0" algn="ctr"/>
          <a:endParaRPr lang="en-AU" sz="900" b="1">
            <a:solidFill>
              <a:schemeClr val="bg1"/>
            </a:solidFill>
            <a:latin typeface="+mj-lt"/>
            <a:ea typeface="+mn-ea"/>
            <a:cs typeface="Arial" panose="020B0604020202020204" pitchFamily="34" charset="0"/>
          </a:endParaRP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GST rate</a:t>
          </a:r>
        </a:p>
      </xdr:txBody>
    </xdr:sp>
    <xdr:clientData/>
  </xdr:twoCellAnchor>
  <xdr:twoCellAnchor>
    <xdr:from>
      <xdr:col>4</xdr:col>
      <xdr:colOff>1263463</xdr:colOff>
      <xdr:row>75</xdr:row>
      <xdr:rowOff>29868</xdr:rowOff>
    </xdr:from>
    <xdr:to>
      <xdr:col>5</xdr:col>
      <xdr:colOff>944179</xdr:colOff>
      <xdr:row>78</xdr:row>
      <xdr:rowOff>177367</xdr:rowOff>
    </xdr:to>
    <xdr:sp macro="" textlink="">
      <xdr:nvSpPr>
        <xdr:cNvPr id="323" name="Rectangle 322">
          <a:extLst>
            <a:ext uri="{FF2B5EF4-FFF2-40B4-BE49-F238E27FC236}">
              <a16:creationId xmlns:a16="http://schemas.microsoft.com/office/drawing/2014/main" id="{E03D2B5C-E66C-4C58-A0EF-14FCCB22A3F0}"/>
            </a:ext>
          </a:extLst>
        </xdr:cNvPr>
        <xdr:cNvSpPr/>
      </xdr:nvSpPr>
      <xdr:spPr>
        <a:xfrm>
          <a:off x="7079316" y="15751721"/>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00" b="1" i="0" u="none" strike="noStrike" kern="0" cap="none" spc="0" normalizeH="0" baseline="0" noProof="0">
              <a:ln>
                <a:noFill/>
              </a:ln>
              <a:solidFill>
                <a:prstClr val="black"/>
              </a:solidFill>
              <a:effectLst/>
              <a:uLnTx/>
              <a:uFillTx/>
              <a:latin typeface="Calibri Light" panose="020F0302020204030204"/>
              <a:ea typeface="+mn-ea"/>
              <a:cs typeface="Arial" panose="020B0604020202020204" pitchFamily="34" charset="0"/>
            </a:rPr>
            <a:t>Cost allowance in previous decision ($)</a:t>
          </a:r>
          <a:r>
            <a:rPr lang="en-AU" sz="900" b="1">
              <a:solidFill>
                <a:schemeClr val="tx1"/>
              </a:solidFill>
              <a:latin typeface="+mj-lt"/>
              <a:ea typeface="+mn-ea"/>
              <a:cs typeface="Arial" panose="020B0604020202020204" pitchFamily="34" charset="0"/>
            </a:rPr>
            <a:t> </a:t>
          </a:r>
        </a:p>
      </xdr:txBody>
    </xdr:sp>
    <xdr:clientData/>
  </xdr:twoCellAnchor>
  <xdr:twoCellAnchor>
    <xdr:from>
      <xdr:col>5</xdr:col>
      <xdr:colOff>1256905</xdr:colOff>
      <xdr:row>75</xdr:row>
      <xdr:rowOff>29868</xdr:rowOff>
    </xdr:from>
    <xdr:to>
      <xdr:col>6</xdr:col>
      <xdr:colOff>937621</xdr:colOff>
      <xdr:row>78</xdr:row>
      <xdr:rowOff>177367</xdr:rowOff>
    </xdr:to>
    <xdr:sp macro="" textlink="">
      <xdr:nvSpPr>
        <xdr:cNvPr id="324" name="Rectangle 323">
          <a:extLst>
            <a:ext uri="{FF2B5EF4-FFF2-40B4-BE49-F238E27FC236}">
              <a16:creationId xmlns:a16="http://schemas.microsoft.com/office/drawing/2014/main" id="{B63587B3-27B9-49E6-A7E0-0169DDBCB3EC}"/>
            </a:ext>
          </a:extLst>
        </xdr:cNvPr>
        <xdr:cNvSpPr/>
      </xdr:nvSpPr>
      <xdr:spPr>
        <a:xfrm>
          <a:off x="8787258" y="15751721"/>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indent="0" algn="ctr"/>
          <a:r>
            <a:rPr lang="en-AU" sz="900" b="1">
              <a:solidFill>
                <a:schemeClr val="tx1"/>
              </a:solidFill>
              <a:latin typeface="+mj-lt"/>
              <a:ea typeface="+mn-ea"/>
              <a:cs typeface="Arial" panose="020B0604020202020204" pitchFamily="34" charset="0"/>
            </a:rPr>
            <a:t>Proportion of actual cost period to the decision period (%)</a:t>
          </a:r>
        </a:p>
      </xdr:txBody>
    </xdr:sp>
    <xdr:clientData/>
  </xdr:twoCellAnchor>
  <xdr:twoCellAnchor>
    <xdr:from>
      <xdr:col>2</xdr:col>
      <xdr:colOff>1804343</xdr:colOff>
      <xdr:row>76</xdr:row>
      <xdr:rowOff>67200</xdr:rowOff>
    </xdr:from>
    <xdr:to>
      <xdr:col>2</xdr:col>
      <xdr:colOff>2063899</xdr:colOff>
      <xdr:row>76</xdr:row>
      <xdr:rowOff>67200</xdr:rowOff>
    </xdr:to>
    <xdr:cxnSp macro="">
      <xdr:nvCxnSpPr>
        <xdr:cNvPr id="325" name="Straight Arrow Connector 324">
          <a:extLst>
            <a:ext uri="{FF2B5EF4-FFF2-40B4-BE49-F238E27FC236}">
              <a16:creationId xmlns:a16="http://schemas.microsoft.com/office/drawing/2014/main" id="{4BB9DD29-C5EE-42D0-9AA0-0789090C66BE}"/>
            </a:ext>
          </a:extLst>
        </xdr:cNvPr>
        <xdr:cNvCxnSpPr/>
      </xdr:nvCxnSpPr>
      <xdr:spPr>
        <a:xfrm>
          <a:off x="2521519" y="15979553"/>
          <a:ext cx="259556"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129226</xdr:colOff>
      <xdr:row>73</xdr:row>
      <xdr:rowOff>33618</xdr:rowOff>
    </xdr:from>
    <xdr:to>
      <xdr:col>2</xdr:col>
      <xdr:colOff>1650110</xdr:colOff>
      <xdr:row>79</xdr:row>
      <xdr:rowOff>127271</xdr:rowOff>
    </xdr:to>
    <xdr:sp macro="" textlink="">
      <xdr:nvSpPr>
        <xdr:cNvPr id="326" name="Rectangle 325">
          <a:extLst>
            <a:ext uri="{FF2B5EF4-FFF2-40B4-BE49-F238E27FC236}">
              <a16:creationId xmlns:a16="http://schemas.microsoft.com/office/drawing/2014/main" id="{F73402EF-4DFF-46EC-B706-25404FBE1292}"/>
            </a:ext>
          </a:extLst>
        </xdr:cNvPr>
        <xdr:cNvSpPr/>
      </xdr:nvSpPr>
      <xdr:spPr>
        <a:xfrm>
          <a:off x="846402" y="15374471"/>
          <a:ext cx="1520884" cy="1236653"/>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Variable true up  cost ($)</a:t>
          </a:r>
        </a:p>
      </xdr:txBody>
    </xdr:sp>
    <xdr:clientData/>
  </xdr:twoCellAnchor>
  <xdr:twoCellAnchor>
    <xdr:from>
      <xdr:col>3</xdr:col>
      <xdr:colOff>493059</xdr:colOff>
      <xdr:row>76</xdr:row>
      <xdr:rowOff>22410</xdr:rowOff>
    </xdr:from>
    <xdr:to>
      <xdr:col>3</xdr:col>
      <xdr:colOff>853059</xdr:colOff>
      <xdr:row>78</xdr:row>
      <xdr:rowOff>1410</xdr:rowOff>
    </xdr:to>
    <xdr:sp macro="" textlink="">
      <xdr:nvSpPr>
        <xdr:cNvPr id="327" name="Multiplication Sign 326">
          <a:extLst>
            <a:ext uri="{FF2B5EF4-FFF2-40B4-BE49-F238E27FC236}">
              <a16:creationId xmlns:a16="http://schemas.microsoft.com/office/drawing/2014/main" id="{890B365D-FA48-487A-84FB-17A726CD3177}"/>
            </a:ext>
          </a:extLst>
        </xdr:cNvPr>
        <xdr:cNvSpPr/>
      </xdr:nvSpPr>
      <xdr:spPr>
        <a:xfrm>
          <a:off x="4594412" y="15934763"/>
          <a:ext cx="360000" cy="360000"/>
        </a:xfrm>
        <a:prstGeom prst="mathMultiply">
          <a:avLst>
            <a:gd name="adj1" fmla="val 1209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930088</xdr:colOff>
      <xdr:row>76</xdr:row>
      <xdr:rowOff>22410</xdr:rowOff>
    </xdr:from>
    <xdr:to>
      <xdr:col>5</xdr:col>
      <xdr:colOff>1290088</xdr:colOff>
      <xdr:row>78</xdr:row>
      <xdr:rowOff>1410</xdr:rowOff>
    </xdr:to>
    <xdr:sp macro="" textlink="">
      <xdr:nvSpPr>
        <xdr:cNvPr id="328" name="Multiplication Sign 327">
          <a:extLst>
            <a:ext uri="{FF2B5EF4-FFF2-40B4-BE49-F238E27FC236}">
              <a16:creationId xmlns:a16="http://schemas.microsoft.com/office/drawing/2014/main" id="{1EA75FA3-31FC-4620-BD1C-B5A785BFB343}"/>
            </a:ext>
          </a:extLst>
        </xdr:cNvPr>
        <xdr:cNvSpPr/>
      </xdr:nvSpPr>
      <xdr:spPr>
        <a:xfrm>
          <a:off x="8460441" y="15934763"/>
          <a:ext cx="360000" cy="360000"/>
        </a:xfrm>
        <a:prstGeom prst="mathMultiply">
          <a:avLst>
            <a:gd name="adj1" fmla="val 1209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728382</xdr:colOff>
      <xdr:row>76</xdr:row>
      <xdr:rowOff>123265</xdr:rowOff>
    </xdr:from>
    <xdr:to>
      <xdr:col>4</xdr:col>
      <xdr:colOff>1088382</xdr:colOff>
      <xdr:row>77</xdr:row>
      <xdr:rowOff>76765</xdr:rowOff>
    </xdr:to>
    <xdr:sp macro="" textlink="">
      <xdr:nvSpPr>
        <xdr:cNvPr id="329" name="Minus Sign 328">
          <a:extLst>
            <a:ext uri="{FF2B5EF4-FFF2-40B4-BE49-F238E27FC236}">
              <a16:creationId xmlns:a16="http://schemas.microsoft.com/office/drawing/2014/main" id="{27344D81-3B2C-49BD-83E6-73908FD2F21F}"/>
            </a:ext>
          </a:extLst>
        </xdr:cNvPr>
        <xdr:cNvSpPr/>
      </xdr:nvSpPr>
      <xdr:spPr>
        <a:xfrm>
          <a:off x="6544235" y="16035618"/>
          <a:ext cx="360000" cy="144000"/>
        </a:xfrm>
        <a:prstGeom prst="mathMinus">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11206</xdr:colOff>
      <xdr:row>75</xdr:row>
      <xdr:rowOff>123262</xdr:rowOff>
    </xdr:from>
    <xdr:to>
      <xdr:col>9</xdr:col>
      <xdr:colOff>335206</xdr:colOff>
      <xdr:row>77</xdr:row>
      <xdr:rowOff>102262</xdr:rowOff>
    </xdr:to>
    <xdr:sp macro="" textlink="">
      <xdr:nvSpPr>
        <xdr:cNvPr id="330" name="Multiplication Sign 329">
          <a:extLst>
            <a:ext uri="{FF2B5EF4-FFF2-40B4-BE49-F238E27FC236}">
              <a16:creationId xmlns:a16="http://schemas.microsoft.com/office/drawing/2014/main" id="{778AFF1D-23F7-4ABD-B445-A954DF652578}"/>
            </a:ext>
          </a:extLst>
        </xdr:cNvPr>
        <xdr:cNvSpPr/>
      </xdr:nvSpPr>
      <xdr:spPr>
        <a:xfrm>
          <a:off x="14399559" y="15845115"/>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1456765</xdr:colOff>
      <xdr:row>75</xdr:row>
      <xdr:rowOff>123262</xdr:rowOff>
    </xdr:from>
    <xdr:to>
      <xdr:col>8</xdr:col>
      <xdr:colOff>66265</xdr:colOff>
      <xdr:row>77</xdr:row>
      <xdr:rowOff>102262</xdr:rowOff>
    </xdr:to>
    <xdr:sp macro="" textlink="">
      <xdr:nvSpPr>
        <xdr:cNvPr id="331" name="Multiplication Sign 330">
          <a:extLst>
            <a:ext uri="{FF2B5EF4-FFF2-40B4-BE49-F238E27FC236}">
              <a16:creationId xmlns:a16="http://schemas.microsoft.com/office/drawing/2014/main" id="{D17A4420-0A7F-4015-A5D5-690D5B39D37F}"/>
            </a:ext>
          </a:extLst>
        </xdr:cNvPr>
        <xdr:cNvSpPr/>
      </xdr:nvSpPr>
      <xdr:spPr>
        <a:xfrm>
          <a:off x="12416118" y="15845115"/>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1488113</xdr:colOff>
      <xdr:row>73</xdr:row>
      <xdr:rowOff>33619</xdr:rowOff>
    </xdr:from>
    <xdr:to>
      <xdr:col>7</xdr:col>
      <xdr:colOff>1304703</xdr:colOff>
      <xdr:row>79</xdr:row>
      <xdr:rowOff>153081</xdr:rowOff>
    </xdr:to>
    <xdr:sp macro="" textlink="">
      <xdr:nvSpPr>
        <xdr:cNvPr id="333" name="Rectangle 332">
          <a:extLst>
            <a:ext uri="{FF2B5EF4-FFF2-40B4-BE49-F238E27FC236}">
              <a16:creationId xmlns:a16="http://schemas.microsoft.com/office/drawing/2014/main" id="{15A0D768-84A2-4AB3-84EF-63A7BDF208BD}"/>
            </a:ext>
          </a:extLst>
        </xdr:cNvPr>
        <xdr:cNvSpPr/>
      </xdr:nvSpPr>
      <xdr:spPr>
        <a:xfrm>
          <a:off x="10732966" y="14634884"/>
          <a:ext cx="1531090" cy="1262462"/>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Network loss factor (previous decision) excluding  for network true up costs </a:t>
          </a:r>
        </a:p>
      </xdr:txBody>
    </xdr:sp>
    <xdr:clientData/>
  </xdr:twoCellAnchor>
  <xdr:twoCellAnchor>
    <xdr:from>
      <xdr:col>6</xdr:col>
      <xdr:colOff>1131794</xdr:colOff>
      <xdr:row>75</xdr:row>
      <xdr:rowOff>145674</xdr:rowOff>
    </xdr:from>
    <xdr:to>
      <xdr:col>6</xdr:col>
      <xdr:colOff>1455794</xdr:colOff>
      <xdr:row>77</xdr:row>
      <xdr:rowOff>124674</xdr:rowOff>
    </xdr:to>
    <xdr:sp macro="" textlink="">
      <xdr:nvSpPr>
        <xdr:cNvPr id="334" name="Multiplication Sign 333">
          <a:extLst>
            <a:ext uri="{FF2B5EF4-FFF2-40B4-BE49-F238E27FC236}">
              <a16:creationId xmlns:a16="http://schemas.microsoft.com/office/drawing/2014/main" id="{55E610D7-52AC-415E-A3C2-05225874195B}"/>
            </a:ext>
          </a:extLst>
        </xdr:cNvPr>
        <xdr:cNvSpPr/>
      </xdr:nvSpPr>
      <xdr:spPr>
        <a:xfrm>
          <a:off x="10376647" y="15867527"/>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1796798</xdr:colOff>
      <xdr:row>104</xdr:row>
      <xdr:rowOff>120739</xdr:rowOff>
    </xdr:from>
    <xdr:to>
      <xdr:col>2</xdr:col>
      <xdr:colOff>2069478</xdr:colOff>
      <xdr:row>104</xdr:row>
      <xdr:rowOff>120739</xdr:rowOff>
    </xdr:to>
    <xdr:cxnSp macro="">
      <xdr:nvCxnSpPr>
        <xdr:cNvPr id="339" name="Straight Arrow Connector 338">
          <a:extLst>
            <a:ext uri="{FF2B5EF4-FFF2-40B4-BE49-F238E27FC236}">
              <a16:creationId xmlns:a16="http://schemas.microsoft.com/office/drawing/2014/main" id="{42EBF84B-F7CD-4EAA-8F43-9D669C8130C7}"/>
            </a:ext>
          </a:extLst>
        </xdr:cNvPr>
        <xdr:cNvCxnSpPr/>
      </xdr:nvCxnSpPr>
      <xdr:spPr>
        <a:xfrm>
          <a:off x="2513974" y="22129092"/>
          <a:ext cx="27268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67235</xdr:colOff>
      <xdr:row>101</xdr:row>
      <xdr:rowOff>11205</xdr:rowOff>
    </xdr:from>
    <xdr:to>
      <xdr:col>2</xdr:col>
      <xdr:colOff>1588119</xdr:colOff>
      <xdr:row>107</xdr:row>
      <xdr:rowOff>110742</xdr:rowOff>
    </xdr:to>
    <xdr:sp macro="" textlink="">
      <xdr:nvSpPr>
        <xdr:cNvPr id="340" name="Rectangle 339">
          <a:extLst>
            <a:ext uri="{FF2B5EF4-FFF2-40B4-BE49-F238E27FC236}">
              <a16:creationId xmlns:a16="http://schemas.microsoft.com/office/drawing/2014/main" id="{61C19F47-ABCF-4B81-9BBE-1875EAFDC2FC}"/>
            </a:ext>
          </a:extLst>
        </xdr:cNvPr>
        <xdr:cNvSpPr/>
      </xdr:nvSpPr>
      <xdr:spPr>
        <a:xfrm>
          <a:off x="784411" y="19767176"/>
          <a:ext cx="1520884" cy="1242537"/>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Annual bill ($/year)</a:t>
          </a:r>
        </a:p>
      </xdr:txBody>
    </xdr:sp>
    <xdr:clientData/>
  </xdr:twoCellAnchor>
  <xdr:twoCellAnchor>
    <xdr:from>
      <xdr:col>3</xdr:col>
      <xdr:colOff>666390</xdr:colOff>
      <xdr:row>104</xdr:row>
      <xdr:rowOff>5884</xdr:rowOff>
    </xdr:from>
    <xdr:to>
      <xdr:col>3</xdr:col>
      <xdr:colOff>1026390</xdr:colOff>
      <xdr:row>105</xdr:row>
      <xdr:rowOff>173972</xdr:rowOff>
    </xdr:to>
    <xdr:sp macro="" textlink="">
      <xdr:nvSpPr>
        <xdr:cNvPr id="342" name="Plus Sign 341">
          <a:extLst>
            <a:ext uri="{FF2B5EF4-FFF2-40B4-BE49-F238E27FC236}">
              <a16:creationId xmlns:a16="http://schemas.microsoft.com/office/drawing/2014/main" id="{E8AD6C28-C4D1-4706-A285-5A68CF21D22B}"/>
            </a:ext>
          </a:extLst>
        </xdr:cNvPr>
        <xdr:cNvSpPr/>
      </xdr:nvSpPr>
      <xdr:spPr>
        <a:xfrm>
          <a:off x="4767743" y="20333355"/>
          <a:ext cx="360000" cy="358588"/>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530629</xdr:colOff>
      <xdr:row>103</xdr:row>
      <xdr:rowOff>5552</xdr:rowOff>
    </xdr:from>
    <xdr:to>
      <xdr:col>8</xdr:col>
      <xdr:colOff>337013</xdr:colOff>
      <xdr:row>106</xdr:row>
      <xdr:rowOff>148135</xdr:rowOff>
    </xdr:to>
    <xdr:sp macro="" textlink="">
      <xdr:nvSpPr>
        <xdr:cNvPr id="350" name="Rectangle 349">
          <a:extLst>
            <a:ext uri="{FF2B5EF4-FFF2-40B4-BE49-F238E27FC236}">
              <a16:creationId xmlns:a16="http://schemas.microsoft.com/office/drawing/2014/main" id="{BA757D6B-BFEF-43A6-B459-38D08FF93059}"/>
            </a:ext>
          </a:extLst>
        </xdr:cNvPr>
        <xdr:cNvSpPr/>
      </xdr:nvSpPr>
      <xdr:spPr>
        <a:xfrm>
          <a:off x="11489982" y="20142523"/>
          <a:ext cx="1520884" cy="714083"/>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Variable Charge ($/kWh)</a:t>
          </a:r>
        </a:p>
      </xdr:txBody>
    </xdr:sp>
    <xdr:clientData/>
  </xdr:twoCellAnchor>
  <xdr:twoCellAnchor>
    <xdr:from>
      <xdr:col>8</xdr:col>
      <xdr:colOff>776338</xdr:colOff>
      <xdr:row>103</xdr:row>
      <xdr:rowOff>19244</xdr:rowOff>
    </xdr:from>
    <xdr:to>
      <xdr:col>9</xdr:col>
      <xdr:colOff>582721</xdr:colOff>
      <xdr:row>106</xdr:row>
      <xdr:rowOff>161827</xdr:rowOff>
    </xdr:to>
    <xdr:sp macro="" textlink="">
      <xdr:nvSpPr>
        <xdr:cNvPr id="351" name="Rectangle 350">
          <a:extLst>
            <a:ext uri="{FF2B5EF4-FFF2-40B4-BE49-F238E27FC236}">
              <a16:creationId xmlns:a16="http://schemas.microsoft.com/office/drawing/2014/main" id="{E92FC365-1B30-4065-A80B-9CDF521397BF}"/>
            </a:ext>
          </a:extLst>
        </xdr:cNvPr>
        <xdr:cNvSpPr/>
      </xdr:nvSpPr>
      <xdr:spPr>
        <a:xfrm>
          <a:off x="13450191" y="20156215"/>
          <a:ext cx="1520883" cy="714083"/>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Electricity Consumption (kWh/year)</a:t>
          </a:r>
        </a:p>
      </xdr:txBody>
    </xdr:sp>
    <xdr:clientData/>
  </xdr:twoCellAnchor>
  <xdr:twoCellAnchor>
    <xdr:from>
      <xdr:col>8</xdr:col>
      <xdr:colOff>397448</xdr:colOff>
      <xdr:row>103</xdr:row>
      <xdr:rowOff>162763</xdr:rowOff>
    </xdr:from>
    <xdr:to>
      <xdr:col>8</xdr:col>
      <xdr:colOff>757448</xdr:colOff>
      <xdr:row>105</xdr:row>
      <xdr:rowOff>141763</xdr:rowOff>
    </xdr:to>
    <xdr:sp macro="" textlink="">
      <xdr:nvSpPr>
        <xdr:cNvPr id="352" name="Multiplication Sign 351">
          <a:extLst>
            <a:ext uri="{FF2B5EF4-FFF2-40B4-BE49-F238E27FC236}">
              <a16:creationId xmlns:a16="http://schemas.microsoft.com/office/drawing/2014/main" id="{4472E3C1-46DE-4F68-B86E-F93CEBFD1182}"/>
            </a:ext>
          </a:extLst>
        </xdr:cNvPr>
        <xdr:cNvSpPr/>
      </xdr:nvSpPr>
      <xdr:spPr>
        <a:xfrm>
          <a:off x="13071301" y="20299734"/>
          <a:ext cx="360000" cy="360000"/>
        </a:xfrm>
        <a:prstGeom prst="mathMultiply">
          <a:avLst>
            <a:gd name="adj1" fmla="val 1209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10</xdr:col>
      <xdr:colOff>85984</xdr:colOff>
      <xdr:row>48</xdr:row>
      <xdr:rowOff>76726</xdr:rowOff>
    </xdr:from>
    <xdr:to>
      <xdr:col>10</xdr:col>
      <xdr:colOff>1606868</xdr:colOff>
      <xdr:row>54</xdr:row>
      <xdr:rowOff>84125</xdr:rowOff>
    </xdr:to>
    <xdr:sp macro="" textlink="">
      <xdr:nvSpPr>
        <xdr:cNvPr id="354" name="Rectangle 353">
          <a:extLst>
            <a:ext uri="{FF2B5EF4-FFF2-40B4-BE49-F238E27FC236}">
              <a16:creationId xmlns:a16="http://schemas.microsoft.com/office/drawing/2014/main" id="{C416DD5E-C7B5-46FB-8C33-EAD81808BC98}"/>
            </a:ext>
          </a:extLst>
        </xdr:cNvPr>
        <xdr:cNvSpPr/>
      </xdr:nvSpPr>
      <xdr:spPr>
        <a:xfrm>
          <a:off x="16188837" y="9904285"/>
          <a:ext cx="1520884" cy="1150399"/>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No of days in</a:t>
          </a:r>
          <a:r>
            <a:rPr lang="en-AU" sz="900" b="1" baseline="0">
              <a:solidFill>
                <a:schemeClr val="bg1"/>
              </a:solidFill>
              <a:latin typeface="+mj-lt"/>
              <a:ea typeface="+mn-ea"/>
              <a:cs typeface="Arial" panose="020B0604020202020204" pitchFamily="34" charset="0"/>
            </a:rPr>
            <a:t> decision period</a:t>
          </a:r>
          <a:endParaRPr lang="en-AU" sz="900" b="1">
            <a:solidFill>
              <a:schemeClr val="bg1"/>
            </a:solidFill>
            <a:latin typeface="+mj-lt"/>
            <a:ea typeface="+mn-ea"/>
            <a:cs typeface="Arial" panose="020B0604020202020204" pitchFamily="34" charset="0"/>
          </a:endParaRPr>
        </a:p>
      </xdr:txBody>
    </xdr:sp>
    <xdr:clientData/>
  </xdr:twoCellAnchor>
  <xdr:twoCellAnchor>
    <xdr:from>
      <xdr:col>9</xdr:col>
      <xdr:colOff>1423146</xdr:colOff>
      <xdr:row>50</xdr:row>
      <xdr:rowOff>56026</xdr:rowOff>
    </xdr:from>
    <xdr:to>
      <xdr:col>10</xdr:col>
      <xdr:colOff>22411</xdr:colOff>
      <xdr:row>53</xdr:row>
      <xdr:rowOff>44819</xdr:rowOff>
    </xdr:to>
    <xdr:sp macro="" textlink="">
      <xdr:nvSpPr>
        <xdr:cNvPr id="356" name="Division Sign 355">
          <a:extLst>
            <a:ext uri="{FF2B5EF4-FFF2-40B4-BE49-F238E27FC236}">
              <a16:creationId xmlns:a16="http://schemas.microsoft.com/office/drawing/2014/main" id="{77997CB6-18A5-4B2A-B909-150F1D3DCB7F}"/>
            </a:ext>
          </a:extLst>
        </xdr:cNvPr>
        <xdr:cNvSpPr/>
      </xdr:nvSpPr>
      <xdr:spPr>
        <a:xfrm>
          <a:off x="15811499" y="10264585"/>
          <a:ext cx="313765" cy="560293"/>
        </a:xfrm>
        <a:prstGeom prst="mathDivide">
          <a:avLst>
            <a:gd name="adj1" fmla="val 5502"/>
            <a:gd name="adj2" fmla="val 7682"/>
            <a:gd name="adj3" fmla="val 582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2525279</xdr:colOff>
      <xdr:row>103</xdr:row>
      <xdr:rowOff>5552</xdr:rowOff>
    </xdr:from>
    <xdr:to>
      <xdr:col>3</xdr:col>
      <xdr:colOff>661986</xdr:colOff>
      <xdr:row>106</xdr:row>
      <xdr:rowOff>148135</xdr:rowOff>
    </xdr:to>
    <xdr:sp macro="" textlink="">
      <xdr:nvSpPr>
        <xdr:cNvPr id="364" name="Rectangle 363">
          <a:extLst>
            <a:ext uri="{FF2B5EF4-FFF2-40B4-BE49-F238E27FC236}">
              <a16:creationId xmlns:a16="http://schemas.microsoft.com/office/drawing/2014/main" id="{ABAE0765-9D58-4D91-B609-09EC0F85A1F4}"/>
            </a:ext>
          </a:extLst>
        </xdr:cNvPr>
        <xdr:cNvSpPr/>
      </xdr:nvSpPr>
      <xdr:spPr>
        <a:xfrm>
          <a:off x="3242455" y="20142523"/>
          <a:ext cx="1520884" cy="714083"/>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Supply Charge ($/day)</a:t>
          </a:r>
        </a:p>
      </xdr:txBody>
    </xdr:sp>
    <xdr:clientData/>
  </xdr:twoCellAnchor>
  <xdr:twoCellAnchor>
    <xdr:from>
      <xdr:col>6</xdr:col>
      <xdr:colOff>328923</xdr:colOff>
      <xdr:row>103</xdr:row>
      <xdr:rowOff>5552</xdr:rowOff>
    </xdr:from>
    <xdr:to>
      <xdr:col>7</xdr:col>
      <xdr:colOff>135307</xdr:colOff>
      <xdr:row>106</xdr:row>
      <xdr:rowOff>148135</xdr:rowOff>
    </xdr:to>
    <xdr:sp macro="" textlink="">
      <xdr:nvSpPr>
        <xdr:cNvPr id="367" name="Rectangle 366">
          <a:extLst>
            <a:ext uri="{FF2B5EF4-FFF2-40B4-BE49-F238E27FC236}">
              <a16:creationId xmlns:a16="http://schemas.microsoft.com/office/drawing/2014/main" id="{629DA65D-668C-4222-A214-C1E35F7FF5D8}"/>
            </a:ext>
          </a:extLst>
        </xdr:cNvPr>
        <xdr:cNvSpPr/>
      </xdr:nvSpPr>
      <xdr:spPr>
        <a:xfrm>
          <a:off x="9573776" y="20142523"/>
          <a:ext cx="1520884" cy="714083"/>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Variable Charge ($/day)</a:t>
          </a:r>
        </a:p>
      </xdr:txBody>
    </xdr:sp>
    <xdr:clientData/>
  </xdr:twoCellAnchor>
  <xdr:twoCellAnchor>
    <xdr:from>
      <xdr:col>3</xdr:col>
      <xdr:colOff>1057308</xdr:colOff>
      <xdr:row>103</xdr:row>
      <xdr:rowOff>5552</xdr:rowOff>
    </xdr:from>
    <xdr:to>
      <xdr:col>4</xdr:col>
      <xdr:colOff>863692</xdr:colOff>
      <xdr:row>106</xdr:row>
      <xdr:rowOff>148135</xdr:rowOff>
    </xdr:to>
    <xdr:sp macro="" textlink="">
      <xdr:nvSpPr>
        <xdr:cNvPr id="370" name="Rectangle 369">
          <a:extLst>
            <a:ext uri="{FF2B5EF4-FFF2-40B4-BE49-F238E27FC236}">
              <a16:creationId xmlns:a16="http://schemas.microsoft.com/office/drawing/2014/main" id="{D66FB4B1-21D5-4228-AD4A-D16B253E9D3F}"/>
            </a:ext>
          </a:extLst>
        </xdr:cNvPr>
        <xdr:cNvSpPr/>
      </xdr:nvSpPr>
      <xdr:spPr>
        <a:xfrm>
          <a:off x="5158661" y="20142523"/>
          <a:ext cx="1520884" cy="714083"/>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True up Supply Charge ($/day)</a:t>
          </a:r>
        </a:p>
      </xdr:txBody>
    </xdr:sp>
    <xdr:clientData/>
  </xdr:twoCellAnchor>
  <xdr:twoCellAnchor>
    <xdr:from>
      <xdr:col>4</xdr:col>
      <xdr:colOff>1325429</xdr:colOff>
      <xdr:row>103</xdr:row>
      <xdr:rowOff>19244</xdr:rowOff>
    </xdr:from>
    <xdr:to>
      <xdr:col>5</xdr:col>
      <xdr:colOff>1131812</xdr:colOff>
      <xdr:row>106</xdr:row>
      <xdr:rowOff>161827</xdr:rowOff>
    </xdr:to>
    <xdr:sp macro="" textlink="">
      <xdr:nvSpPr>
        <xdr:cNvPr id="371" name="Rectangle 370">
          <a:extLst>
            <a:ext uri="{FF2B5EF4-FFF2-40B4-BE49-F238E27FC236}">
              <a16:creationId xmlns:a16="http://schemas.microsoft.com/office/drawing/2014/main" id="{760A07A7-CBB2-4C1D-9A7D-2CCA155F9119}"/>
            </a:ext>
          </a:extLst>
        </xdr:cNvPr>
        <xdr:cNvSpPr/>
      </xdr:nvSpPr>
      <xdr:spPr>
        <a:xfrm>
          <a:off x="7141282" y="20156215"/>
          <a:ext cx="1520883" cy="714083"/>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No. of days in decision period</a:t>
          </a:r>
        </a:p>
      </xdr:txBody>
    </xdr:sp>
    <xdr:clientData/>
  </xdr:twoCellAnchor>
  <xdr:twoCellAnchor>
    <xdr:from>
      <xdr:col>4</xdr:col>
      <xdr:colOff>946540</xdr:colOff>
      <xdr:row>103</xdr:row>
      <xdr:rowOff>162763</xdr:rowOff>
    </xdr:from>
    <xdr:to>
      <xdr:col>4</xdr:col>
      <xdr:colOff>1306540</xdr:colOff>
      <xdr:row>105</xdr:row>
      <xdr:rowOff>141763</xdr:rowOff>
    </xdr:to>
    <xdr:sp macro="" textlink="">
      <xdr:nvSpPr>
        <xdr:cNvPr id="372" name="Multiplication Sign 371">
          <a:extLst>
            <a:ext uri="{FF2B5EF4-FFF2-40B4-BE49-F238E27FC236}">
              <a16:creationId xmlns:a16="http://schemas.microsoft.com/office/drawing/2014/main" id="{81691C69-885B-4970-81E0-D1A92355878E}"/>
            </a:ext>
          </a:extLst>
        </xdr:cNvPr>
        <xdr:cNvSpPr/>
      </xdr:nvSpPr>
      <xdr:spPr>
        <a:xfrm>
          <a:off x="6762393" y="20299734"/>
          <a:ext cx="360000" cy="360000"/>
        </a:xfrm>
        <a:prstGeom prst="mathMultiply">
          <a:avLst>
            <a:gd name="adj1" fmla="val 1209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1338743</xdr:colOff>
      <xdr:row>103</xdr:row>
      <xdr:rowOff>162767</xdr:rowOff>
    </xdr:from>
    <xdr:to>
      <xdr:col>5</xdr:col>
      <xdr:colOff>1698743</xdr:colOff>
      <xdr:row>105</xdr:row>
      <xdr:rowOff>140355</xdr:rowOff>
    </xdr:to>
    <xdr:sp macro="" textlink="">
      <xdr:nvSpPr>
        <xdr:cNvPr id="373" name="Plus Sign 372">
          <a:extLst>
            <a:ext uri="{FF2B5EF4-FFF2-40B4-BE49-F238E27FC236}">
              <a16:creationId xmlns:a16="http://schemas.microsoft.com/office/drawing/2014/main" id="{FB16B03C-08EC-47A8-B710-6BA0DB9795FC}"/>
            </a:ext>
          </a:extLst>
        </xdr:cNvPr>
        <xdr:cNvSpPr/>
      </xdr:nvSpPr>
      <xdr:spPr>
        <a:xfrm>
          <a:off x="8869096" y="20299738"/>
          <a:ext cx="360000" cy="358588"/>
        </a:xfrm>
        <a:prstGeom prst="mathPlus">
          <a:avLst>
            <a:gd name="adj1" fmla="val 1399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139712</xdr:colOff>
      <xdr:row>104</xdr:row>
      <xdr:rowOff>5884</xdr:rowOff>
    </xdr:from>
    <xdr:to>
      <xdr:col>7</xdr:col>
      <xdr:colOff>499712</xdr:colOff>
      <xdr:row>105</xdr:row>
      <xdr:rowOff>173972</xdr:rowOff>
    </xdr:to>
    <xdr:sp macro="" textlink="">
      <xdr:nvSpPr>
        <xdr:cNvPr id="374" name="Plus Sign 373">
          <a:extLst>
            <a:ext uri="{FF2B5EF4-FFF2-40B4-BE49-F238E27FC236}">
              <a16:creationId xmlns:a16="http://schemas.microsoft.com/office/drawing/2014/main" id="{C84484D9-A829-4589-8B06-7978E8EC4943}"/>
            </a:ext>
          </a:extLst>
        </xdr:cNvPr>
        <xdr:cNvSpPr/>
      </xdr:nvSpPr>
      <xdr:spPr>
        <a:xfrm>
          <a:off x="11099065" y="20333355"/>
          <a:ext cx="360000" cy="358588"/>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963705</xdr:colOff>
      <xdr:row>6</xdr:row>
      <xdr:rowOff>2988</xdr:rowOff>
    </xdr:from>
    <xdr:to>
      <xdr:col>9</xdr:col>
      <xdr:colOff>239058</xdr:colOff>
      <xdr:row>30</xdr:row>
      <xdr:rowOff>141942</xdr:rowOff>
    </xdr:to>
    <xdr:graphicFrame macro="">
      <xdr:nvGraphicFramePr>
        <xdr:cNvPr id="2" name="Chart 2">
          <a:extLst>
            <a:ext uri="{FF2B5EF4-FFF2-40B4-BE49-F238E27FC236}">
              <a16:creationId xmlns:a16="http://schemas.microsoft.com/office/drawing/2014/main" id="{123A56CC-33A1-40A0-8702-223FA79C98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963705</xdr:colOff>
      <xdr:row>6</xdr:row>
      <xdr:rowOff>2988</xdr:rowOff>
    </xdr:from>
    <xdr:to>
      <xdr:col>9</xdr:col>
      <xdr:colOff>239058</xdr:colOff>
      <xdr:row>30</xdr:row>
      <xdr:rowOff>141942</xdr:rowOff>
    </xdr:to>
    <xdr:graphicFrame macro="">
      <xdr:nvGraphicFramePr>
        <xdr:cNvPr id="3" name="Chart 2">
          <a:extLst>
            <a:ext uri="{FF2B5EF4-FFF2-40B4-BE49-F238E27FC236}">
              <a16:creationId xmlns:a16="http://schemas.microsoft.com/office/drawing/2014/main" id="{2999F432-0003-4EEF-B7D1-1CBC13CDF5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104320</xdr:colOff>
      <xdr:row>5</xdr:row>
      <xdr:rowOff>70757</xdr:rowOff>
    </xdr:from>
    <xdr:to>
      <xdr:col>14</xdr:col>
      <xdr:colOff>22463</xdr:colOff>
      <xdr:row>45</xdr:row>
      <xdr:rowOff>13614</xdr:rowOff>
    </xdr:to>
    <xdr:graphicFrame macro="">
      <xdr:nvGraphicFramePr>
        <xdr:cNvPr id="6" name="Chart 2">
          <a:extLst>
            <a:ext uri="{FF2B5EF4-FFF2-40B4-BE49-F238E27FC236}">
              <a16:creationId xmlns:a16="http://schemas.microsoft.com/office/drawing/2014/main" id="{36181057-C480-4A8B-B881-B2553151CA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Mayank Grover (ESC)" id="{3AEE3FAC-29A2-409D-95CD-AB665041374E}" userId="S::Mayank.Grover@esc.vic.gov.au::f0d1a1dd-9029-4f71-a176-94d3cb32b45e" providerId="AD"/>
  <person displayName="Murry Greasley (ESC)" id="{AB2E8050-172C-4EE8-9306-86F4DF9A3502}" userId="S::Murry.Greasley@esc.vic.gov.au::1735ff1f-cfa3-4a71-ada4-ac8be07a3abf"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7AC8A96D-5314-4AAF-BE7C-9A6F933F5E1C}" autoFormatId="16" applyNumberFormats="0" applyBorderFormats="0" applyFontFormats="0" applyPatternFormats="0" applyAlignmentFormats="0" applyWidthHeightFormats="0">
  <queryTableRefresh nextId="3">
    <queryTableFields count="2">
      <queryTableField id="1" name="VDO decision" tableColumnId="1"/>
      <queryTableField id="2" name="Index" tableColumnId="2"/>
    </queryTableFields>
  </queryTableRefresh>
</queryTable>
</file>

<file path=xl/tables/_rels/table9.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0CA320-6B21-4206-97D5-A5D7F802DD0F}" name="Input_ForRateCalc" displayName="Input_ForRateCalc" ref="C10:Q127" totalsRowShown="0" tableBorderDxfId="728" totalsRowBorderDxfId="727" headerRowCellStyle="Table col heading" dataCellStyle="Table cell">
  <autoFilter ref="C10:Q127" xr:uid="{6DA969A6-2AF5-49DC-9813-51EAC98D2C62}"/>
  <tableColumns count="15">
    <tableColumn id="1" xr3:uid="{6FF7576B-C0F4-4642-91C7-CDE91D19F3FC}" name="Cost element" dataCellStyle="Table cell"/>
    <tableColumn id="2" xr3:uid="{3E9E5691-2790-4800-A001-FB9B30AEDE59}" name="Cost item" dataCellStyle="Table cell"/>
    <tableColumn id="3" xr3:uid="{54D809A2-64C6-4A88-80A0-2E0B0AA01C18}" name="Fixed/Variable" dataCellStyle="Table cell"/>
    <tableColumn id="4" xr3:uid="{FB95BD42-C055-4EA9-8F55-291F37426B18}" name="Unit" dataDxfId="726" dataCellStyle="Table cell"/>
    <tableColumn id="12" xr3:uid="{5E2B3B73-6771-45B4-82B8-0AA35BD8F705}" name="Customer type" dataDxfId="725" dataCellStyle="Table cell"/>
    <tableColumn id="6" xr3:uid="{DF24FCA2-F0DF-4144-8F1B-F3129138F4F5}" name="F-CurrentVDO_InputDate" dataDxfId="724" dataCellStyle="Hard-coded"/>
    <tableColumn id="7" xr3:uid="{FEEE9B98-F1B9-4BCE-9D75-0B157C256B9D}" name="F-CurrentVDO_Input" dataDxfId="723" dataCellStyle="Hard-coded"/>
    <tableColumn id="15" xr3:uid="{6D1A57CC-2A5F-4FB3-AF79-9C864D73D509}" name="VD-CurrentVDO_InputDate" dataDxfId="722" dataCellStyle="Hard-coded"/>
    <tableColumn id="5" xr3:uid="{6D90D13D-7691-408E-920D-28F33BBC643F}" name="VD-CurrentVDO_Input" dataDxfId="721" dataCellStyle="Hard-coded"/>
    <tableColumn id="8" xr3:uid="{BB001EDA-14C6-46F4-A3C8-E04970BC08B1}" name="VF-CurrentVDO_InputDate" dataDxfId="720" dataCellStyle="Input"/>
    <tableColumn id="9" xr3:uid="{302B1A04-0D91-4254-A1B4-2AB36404D5F0}" name="VF-CurrentVDO_Input" dataDxfId="719" dataCellStyle="Input"/>
    <tableColumn id="10" xr3:uid="{2436021E-5060-4C27-B7E4-385ED60FB6EE}" name="D-NextVDO_InputDate" dataDxfId="718" dataCellStyle="Input"/>
    <tableColumn id="11" xr3:uid="{43EE2DE0-3DFA-4DE9-ADDA-BFF46482A280}" name="D-NextVDO_Input" dataDxfId="717" dataCellStyle="Input"/>
    <tableColumn id="13" xr3:uid="{B112B93D-14AA-4188-8F83-F4632E3F87B4}" name="F-NextVDO_InputDate" dataDxfId="716" dataCellStyle="Input"/>
    <tableColumn id="14" xr3:uid="{A72BF82C-154B-4AC9-94D3-5ABCF1780432}" name="F-NextVDO_Input" dataDxfId="715" dataCellStyle="Input"/>
  </tableColumns>
  <tableStyleInfo name="Default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BE96751-A1E6-4DEE-B2B9-0F040E8F63EF}" name="Input_Usage" displayName="Input_Usage" ref="C135:M172" totalsRowShown="0" headerRowDxfId="714" headerRowBorderDxfId="713" tableBorderDxfId="712" headerRowCellStyle="Table col heading">
  <autoFilter ref="C135:M172" xr:uid="{A8CBA6DB-0725-4AA8-918D-36864191E63C}"/>
  <tableColumns count="11">
    <tableColumn id="1" xr3:uid="{59724C2C-A166-49CF-BDB5-A76DD8676FC3}" name="Profile name" dataCellStyle="Table cell"/>
    <tableColumn id="2" xr3:uid="{62ED141C-4F5B-422D-B430-A67E0474CA3D}" name="Usage type" dataCellStyle="Table cell"/>
    <tableColumn id="3" xr3:uid="{07131193-CC4C-4576-890F-C94EB38C9100}" name="Ref" dataCellStyle="Table cell">
      <calculatedColumnFormula>Input_Usage[[#This Row],[Profile name]]&amp;" - "&amp;Input_Usage[[#This Row],[Usage type]]</calculatedColumnFormula>
    </tableColumn>
    <tableColumn id="4" xr3:uid="{C06CE59A-0662-40A9-B5E0-D7BDCA3E9812}" name="Unit" dataCellStyle="Table cell"/>
    <tableColumn id="8" xr3:uid="{16817664-CDEB-415C-99EE-275702065598}" name="Customer type" dataDxfId="711" dataCellStyle="Table cell"/>
    <tableColumn id="6" xr3:uid="{F4B24122-E533-4718-A2AE-9A2459EEEC0D}" name="Tariff type" dataDxfId="710" dataCellStyle="Table cell"/>
    <tableColumn id="9" xr3:uid="{6CDD316C-3B29-4CEC-9CCD-D147749461C1}" name="F-CurrentVDO_Input" dataDxfId="709" dataCellStyle="Hard-coded"/>
    <tableColumn id="5" xr3:uid="{C361A281-3CA0-4144-918C-AEA2C11D4EB2}" name="VD-CurrentVDO_Input" dataDxfId="708" dataCellStyle="Input"/>
    <tableColumn id="10" xr3:uid="{2410741E-5CE5-456C-A356-652B30948C54}" name="VF-CurrentVDO_Input" dataDxfId="707" dataCellStyle="Input"/>
    <tableColumn id="11" xr3:uid="{F7854B3F-CA63-497E-B7DD-24F6A26E4662}" name="D-NextVDO_Input" dataDxfId="706" dataCellStyle="Input"/>
    <tableColumn id="12" xr3:uid="{CA8A5057-1374-4829-9D1E-D3E16BD46339}" name="F-NextVDO_Input" dataDxfId="705" dataCellStyle="Input"/>
  </tableColumns>
  <tableStyleInfo name="Default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642B58B-E9F1-491B-8349-034E16DC1DC1}" name="Input_TUEnv_Actual" displayName="Input_TUEnv_Actual" ref="C179:M185" totalsRowShown="0" headerRowDxfId="704" headerRowBorderDxfId="703" tableBorderDxfId="702" headerRowCellStyle="Table col heading">
  <tableColumns count="11">
    <tableColumn id="2" xr3:uid="{C2979B50-E72C-4905-B762-B1FBD0FC7D84}" name="Cost element" dataCellStyle="Table cell"/>
    <tableColumn id="1" xr3:uid="{7606E00A-72BB-46DC-B82D-8B19AE194ECC}" name="Cost item" dataDxfId="701" dataCellStyle="Table cell"/>
    <tableColumn id="3" xr3:uid="{FB39537C-58C4-45FA-AE28-8587403EDED7}" name="Fixed/Variable" dataCellStyle="Table cell"/>
    <tableColumn id="4" xr3:uid="{37BADC74-6350-4579-AA1C-AA157FB39315}" name="Unit" dataCellStyle="Table cell"/>
    <tableColumn id="7" xr3:uid="{9AD583A2-1E35-44CE-8B8E-BFB97CF15160}" name="Customer type" dataDxfId="700" dataCellStyle="Table cell"/>
    <tableColumn id="11" xr3:uid="{390D42D7-0AA8-418B-B847-28B79F13CBB2}" name="[blank]" dataCellStyle="Table cell"/>
    <tableColumn id="10" xr3:uid="{91C3BF11-950D-4602-BB8A-7802100863A1}" name="F-CurrentVDO_Input" dataDxfId="699" dataCellStyle="Input"/>
    <tableColumn id="5" xr3:uid="{7C467E70-DBCE-4B3B-9E84-9672A5BB6AB5}" name="VD-CurrentVDO_Input" dataDxfId="698" dataCellStyle="Input"/>
    <tableColumn id="6" xr3:uid="{B4F80362-EB75-43DD-B60D-B5C1D9FC2436}" name="VF-CurrentVDO_Input" dataDxfId="697" dataCellStyle="Input"/>
    <tableColumn id="8" xr3:uid="{B9E9AE44-0D3C-445F-A128-E99F54F5ABB6}" name="D-NextVDO_Input" dataDxfId="696" dataCellStyle="Input"/>
    <tableColumn id="9" xr3:uid="{9E2ECB50-146D-4C5C-91ED-CC4439548BF4}" name="F-NextVDO_Input" dataDxfId="695" dataCellStyle="Input"/>
  </tableColumns>
  <tableStyleInfo name="Default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15BD5932-7FB5-4CCD-B50A-1852C0628C64}" name="Input_DecisionActual" displayName="Input_DecisionActual" ref="C248:E253" totalsRowShown="0" headerRowBorderDxfId="694" tableBorderDxfId="693" totalsRowBorderDxfId="692">
  <tableColumns count="3">
    <tableColumn id="1" xr3:uid="{5AFC207A-A190-4EF0-9F07-F0B6DD207690}" name="VDO period" dataDxfId="691" dataCellStyle="Hard-coded"/>
    <tableColumn id="2" xr3:uid="{BA40EB1C-8734-45B1-BEF3-B4AAB668727E}" name="Actual" dataDxfId="690" dataCellStyle="Hard-coded"/>
    <tableColumn id="3" xr3:uid="{EC536779-C89D-4795-9638-A578F8187C0C}" name="Decision" dataDxfId="689" dataCellStyle="Hard-coded"/>
  </tableColumns>
  <tableStyleInfo name="Default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CAB781AA-B11F-43C9-B5D5-6B4FEEF0DF29}" name="Input_TUNet_Actual" displayName="Input_TUNet_Actual" ref="C191:L202" totalsRowShown="0" headerRowDxfId="688" dataDxfId="686" headerRowBorderDxfId="687" tableBorderDxfId="685" headerRowCellStyle="Table col heading" dataCellStyle="Input">
  <tableColumns count="10">
    <tableColumn id="1" xr3:uid="{33C58E00-D758-45F8-8252-77B948C88246}" name="Cost element" dataDxfId="684" dataCellStyle="Table cell"/>
    <tableColumn id="2" xr3:uid="{BEEE8780-2525-4ED5-98B3-03A9B54F6A89}" name="Item" dataCellStyle="Table cell"/>
    <tableColumn id="3" xr3:uid="{EB73758C-CD68-455D-A4BA-DBEBCC9DD1A8}" name="Month" dataCellStyle="Table cell"/>
    <tableColumn id="5" xr3:uid="{09270975-0370-4D51-85B7-A9ABBDA9B17C}" name="Customer type" dataCellStyle="Table cell"/>
    <tableColumn id="6" xr3:uid="{BD3B0B91-C7EA-49CE-9DD7-D092B34BCD6C}" name="Unit" dataDxfId="683" dataCellStyle="Table cell"/>
    <tableColumn id="7" xr3:uid="{E3D8500B-E6BB-4D1F-AAE0-CA4E8FEAE016}" name="F-CurrentVDO_Input" dataDxfId="682" dataCellStyle="Input"/>
    <tableColumn id="8" xr3:uid="{5E9042CD-AECA-4100-AB25-51464991E9A9}" name="VD-CurrentVDO_Input" dataDxfId="681" dataCellStyle="Input"/>
    <tableColumn id="9" xr3:uid="{788F1A54-6BBA-478B-BEB6-968DEFF693D2}" name="VF-CurrentVDO_Input" dataDxfId="680" dataCellStyle="Input"/>
    <tableColumn id="10" xr3:uid="{64B65947-EB30-4CE6-957B-3229A0441A1D}" name="D-NextVDO_Input" dataDxfId="679" dataCellStyle="Input"/>
    <tableColumn id="11" xr3:uid="{B5BDA5F0-6298-4932-B548-24CF215531DF}" name="F-NextVDO_Input" dataDxfId="678" dataCellStyle="Input"/>
  </tableColumns>
  <tableStyleInfo name="Default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C8BAC026-C1B6-4BBE-84CC-0B1B6A6DB986}" name="Input_TUNet_Props" displayName="Input_TUNet_Props" ref="C208:J218" totalsRowShown="0" headerRowDxfId="677" headerRowBorderDxfId="676" tableBorderDxfId="675" headerRowCellStyle="Table col heading" dataCellStyle="Auto-populated">
  <tableColumns count="8">
    <tableColumn id="1" xr3:uid="{2DBA4652-0938-4C79-8D72-499B986F9883}" name="Usage type" dataCellStyle="Table cell"/>
    <tableColumn id="2" xr3:uid="{75B9397F-A913-4033-B85B-30AE1AB9B46E}" name="Customer type" dataCellStyle="Table cell"/>
    <tableColumn id="3" xr3:uid="{F2657174-5E8D-4ABF-9E60-E26277703A2F}" name="Unit" dataDxfId="674" dataCellStyle="Table cell"/>
    <tableColumn id="4" xr3:uid="{BCD7E7F5-7837-4A4A-BC75-7873E680C9D8}" name="F-CurrentVDO_Input" dataDxfId="673" dataCellStyle="Auto-populated">
      <calculatedColumnFormula array="1">IFERROR(INDEX(Input_Usage[[F-CurrentVDO_Input]:[F-NextVDO_Input]],MATCH(1,(Input_Usage[[Usage type]:[Usage type]]=$C209)*(Input_Usage[[Profile name]:[Profile name]]=$D209&amp;" - medium"),0),MATCH(F$208,Input_Usage[[#Headers],[F-CurrentVDO_Input]:[F-NextVDO_Input]],0))/
INDEX(Input_Usage[[F-CurrentVDO_Input]:[F-NextVDO_Input]],MATCH(1,(Input_Usage[[Usage type]:[Usage type]]="Annual")*(Input_Usage[[Profile name]:[Profile name]]=$D209&amp;" - medium"),0),MATCH(F$208,Input_Usage[[#Headers],[F-CurrentVDO_Input]:[F-NextVDO_Input]],0)),"-")</calculatedColumnFormula>
    </tableColumn>
    <tableColumn id="5" xr3:uid="{D2F3AB18-2C9E-45E8-8C9E-E420DEB79DF1}" name="VD-CurrentVDO_Input" dataDxfId="672" dataCellStyle="Auto-populated">
      <calculatedColumnFormula array="1">IFERROR(INDEX(Input_Usage[[F-CurrentVDO_Input]:[F-NextVDO_Input]],MATCH(1,(Input_Usage[[Usage type]:[Usage type]]=$C209)*(Input_Usage[[Profile name]:[Profile name]]=$D209&amp;" - medium"),0),MATCH(G$208,Input_Usage[[#Headers],[F-CurrentVDO_Input]:[F-NextVDO_Input]],0))/
INDEX(Input_Usage[[F-CurrentVDO_Input]:[F-NextVDO_Input]],MATCH(1,(Input_Usage[[Usage type]:[Usage type]]="Annual")*(Input_Usage[[Profile name]:[Profile name]]=$D209&amp;" - medium"),0),MATCH(G$208,Input_Usage[[#Headers],[F-CurrentVDO_Input]:[F-NextVDO_Input]],0)),"-")</calculatedColumnFormula>
    </tableColumn>
    <tableColumn id="6" xr3:uid="{348ADD9E-7A12-4018-B3D2-8BAB000CFE50}" name="VF-CurrentVDO_Input" dataDxfId="671" dataCellStyle="Auto-populated">
      <calculatedColumnFormula array="1">IFERROR(INDEX(Input_Usage[[F-CurrentVDO_Input]:[F-NextVDO_Input]],MATCH(1,(Input_Usage[[Usage type]:[Usage type]]=$C209)*(Input_Usage[[Profile name]:[Profile name]]=$D209&amp;" - medium"),0),MATCH(H$208,Input_Usage[[#Headers],[F-CurrentVDO_Input]:[F-NextVDO_Input]],0))/
INDEX(Input_Usage[[F-CurrentVDO_Input]:[F-NextVDO_Input]],MATCH(1,(Input_Usage[[Usage type]:[Usage type]]="Annual")*(Input_Usage[[Profile name]:[Profile name]]=$D209&amp;" - medium"),0),MATCH(H$208,Input_Usage[[#Headers],[F-CurrentVDO_Input]:[F-NextVDO_Input]],0)),"-")</calculatedColumnFormula>
    </tableColumn>
    <tableColumn id="7" xr3:uid="{A1DE9E87-5783-4807-81CF-43D6D8E49FDA}" name="D-NextVDO_Input" dataDxfId="670" dataCellStyle="Auto-populated">
      <calculatedColumnFormula array="1">IFERROR(INDEX(Input_Usage[[F-CurrentVDO_Input]:[F-NextVDO_Input]],MATCH(1,(Input_Usage[[Usage type]:[Usage type]]=$C209)*(Input_Usage[[Profile name]:[Profile name]]=$D209&amp;" - medium"),0),MATCH(I$208,Input_Usage[[#Headers],[F-CurrentVDO_Input]:[F-NextVDO_Input]],0))/
INDEX(Input_Usage[[F-CurrentVDO_Input]:[F-NextVDO_Input]],MATCH(1,(Input_Usage[[Usage type]:[Usage type]]="Annual")*(Input_Usage[[Profile name]:[Profile name]]=$D209&amp;" - medium"),0),MATCH(I$208,Input_Usage[[#Headers],[F-CurrentVDO_Input]:[F-NextVDO_Input]],0)),"-")</calculatedColumnFormula>
    </tableColumn>
    <tableColumn id="8" xr3:uid="{13F09CC0-B0F3-4AE8-AA2D-613A53A62DA8}" name="F-NextVDO_Input" dataDxfId="669" dataCellStyle="Auto-populated">
      <calculatedColumnFormula array="1">IFERROR(INDEX(Input_Usage[[F-CurrentVDO_Input]:[F-NextVDO_Input]],MATCH(1,(Input_Usage[[Usage type]:[Usage type]]=$C209)*(Input_Usage[[Profile name]:[Profile name]]=$D209&amp;" - medium"),0),MATCH(J$208,Input_Usage[[#Headers],[F-CurrentVDO_Input]:[F-NextVDO_Input]],0))/
INDEX(Input_Usage[[F-CurrentVDO_Input]:[F-NextVDO_Input]],MATCH(1,(Input_Usage[[Usage type]:[Usage type]]="Annual")*(Input_Usage[[Profile name]:[Profile name]]=$D209&amp;" - medium"),0),MATCH(J$208,Input_Usage[[#Headers],[F-CurrentVDO_Input]:[F-NextVDO_Input]],0)),"-")</calculatedColumnFormula>
    </tableColumn>
  </tableColumns>
  <tableStyleInfo name="Default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4D97AFB3-DCE9-45DD-B8EB-9D28A04F3586}" name="Input_TUNet_Dates" displayName="Input_TUNet_Dates" ref="C228:J232" totalsRowShown="0" headerRowDxfId="668" headerRowBorderDxfId="667" tableBorderDxfId="666" headerRowCellStyle="Table col heading">
  <tableColumns count="8">
    <tableColumn id="1" xr3:uid="{3400616B-DA51-43D8-86A8-28DA7C337CAA}" name="Cost element" dataCellStyle="Table cell"/>
    <tableColumn id="2" xr3:uid="{D74AC5A3-67A3-4F51-B31A-8E1961DE6A29}" name="Item" dataCellStyle="Table cell"/>
    <tableColumn id="3" xr3:uid="{795C8EA9-FFE7-4316-A129-A469C73F917B}" name="Unit" dataDxfId="665" dataCellStyle="Table cell"/>
    <tableColumn id="4" xr3:uid="{CB5B1ABC-2D02-43FF-A397-2D236BF350C4}" name="F-CurrentVDO_Input" dataDxfId="664" dataCellStyle="Input"/>
    <tableColumn id="5" xr3:uid="{05462B30-D747-4BDF-8097-7280A9CF6E22}" name="VD-CurrentVDO_Input" dataDxfId="663" dataCellStyle="Input"/>
    <tableColumn id="6" xr3:uid="{CE860765-E0ED-4B1D-85C5-C5F321E1B046}" name="VF-CurrentVDO_Input" dataDxfId="662" dataCellStyle="Input"/>
    <tableColumn id="7" xr3:uid="{6E09A357-E9FB-456C-94E0-03594AE0C2F8}" name="D-NextVDO_Input" dataDxfId="661" dataCellStyle="Input"/>
    <tableColumn id="8" xr3:uid="{6513D48C-CA96-442D-A076-772D8F992618}" name="F-NextVDO_Input" dataDxfId="660" dataCellStyle="Input"/>
  </tableColumns>
  <tableStyleInfo name="Default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AC5B26F8-6641-412E-849B-B69FADA0CDB5}" name="Input_TU_Periods" displayName="Input_TU_Periods" ref="D239:J240" totalsRowShown="0" headerRowDxfId="659" headerRowBorderDxfId="658" tableBorderDxfId="657" headerRowCellStyle="Table col heading" dataCellStyle="Input">
  <tableColumns count="7">
    <tableColumn id="1" xr3:uid="{8FCB2327-57E7-4735-A4C5-C5DE9A2465D7}" name="Item" dataDxfId="656" dataCellStyle="Table cell"/>
    <tableColumn id="2" xr3:uid="{B9AC8812-3C0A-4350-A58B-47B777CCB01C}" name="Unit" dataDxfId="655" dataCellStyle="Table cell"/>
    <tableColumn id="3" xr3:uid="{0345C767-3ED1-4D4E-A3EA-93A995889499}" name="F-CurrentVDO_Input" dataCellStyle="Input"/>
    <tableColumn id="4" xr3:uid="{46CC919D-E1F1-4AF2-AB8B-2719E145382B}" name="VD-CurrentVDO_Input" dataCellStyle="Input"/>
    <tableColumn id="5" xr3:uid="{EB10D9F4-15DC-43A5-9786-20AB218AB079}" name="VF-CurrentVDO_Input" dataCellStyle="Input"/>
    <tableColumn id="6" xr3:uid="{84360244-BED1-48A8-9B1E-452A67AB9B79}" name="D-NextVDO_Input" dataCellStyle="Input"/>
    <tableColumn id="7" xr3:uid="{254EE791-2BB6-4600-A16D-B6C42632EC43}" name="F-NextVDO_Input" dataDxfId="654" dataCellStyle="Input"/>
  </tableColumns>
  <tableStyleInfo name="Default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904957F-79CC-4A0B-9F3C-7ED44B133D9D}" name="VDOdecisions" displayName="VDOdecisions" ref="C22:D27" tableType="queryTable" totalsRowShown="0" dataDxfId="653" dataCellStyle="Auto-populated">
  <tableColumns count="2">
    <tableColumn id="1" xr3:uid="{E095E8C5-EFB3-403E-AA31-BE5930A54881}" uniqueName="1" name="VDO decision" queryTableFieldId="1" dataDxfId="652" dataCellStyle="Auto-populated"/>
    <tableColumn id="2" xr3:uid="{2FB823D1-94AB-43A2-9393-44A217C3B50C}" uniqueName="2" name="Index" queryTableFieldId="2" dataDxfId="651" dataCellStyle="Auto-populated"/>
  </tableColumns>
  <tableStyleInfo name="Default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FD37C0D-F81D-404D-9D4D-999445A3BF5F}" name="CPI" displayName="CPI" ref="C26:D65" totalsRowShown="0" headerRowBorderDxfId="650" tableBorderDxfId="649">
  <tableColumns count="2">
    <tableColumn id="1" xr3:uid="{9AA9E4FD-AEA6-406E-B536-E0A3240360A5}" name="Period" dataDxfId="648" dataCellStyle="Table cell"/>
    <tableColumn id="3" xr3:uid="{9BE9725C-E6DE-44E0-8817-4E84A297FEDC}" name="Indice" dataDxfId="647" dataCellStyle="Input"/>
  </tableColumns>
  <tableStyleInfo name="Default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D98B252-0493-456C-9FF8-D3A3C4E4B6C1}" name="Input_CPI" displayName="Input_CPI" ref="C7:E15" totalsRowShown="0" headerRowBorderDxfId="646" tableBorderDxfId="645">
  <tableColumns count="3">
    <tableColumn id="1" xr3:uid="{E8446AF5-A1A4-4342-A74F-83AC0A1E0759}" name="Decision paper" dataCellStyle="Table cell"/>
    <tableColumn id="2" xr3:uid="{59E16007-75E9-4AF1-B2EE-5F57503967A5}" name="Date" dataDxfId="644" dataCellStyle="Hard-coded"/>
    <tableColumn id="3" xr3:uid="{B00403BA-623F-461C-A57F-1A628BADCABC}" name="Indice" dataDxfId="643" dataCellStyle="Auto-populated">
      <calculatedColumnFormula>IFERROR(INDEX(CPI[Indice],MATCH(D8,CPI[Period],0),1),"-")</calculatedColumnFormula>
    </tableColumn>
  </tableColumns>
  <tableStyleInfo name="Default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89C9C582-8686-4E87-8AEB-A24AEF036B26}" name="Input_CostItemCPI" displayName="Input_CostItemCPI" ref="C71:H78" totalsRowShown="0">
  <tableColumns count="6">
    <tableColumn id="1" xr3:uid="{0D014813-4592-4A76-9F85-7E31C35F5F07}" name="Cost item"/>
    <tableColumn id="2" xr3:uid="{43EA9C8A-818D-4C08-B5BB-65B2A872736C}" name="VDO 2021 - Final" dataCellStyle="Input"/>
    <tableColumn id="3" xr3:uid="{D576BC92-5639-4C2B-89E7-C1A9D3C71B8B}" name="VDO 2021 - Variation draft" dataCellStyle="Input"/>
    <tableColumn id="4" xr3:uid="{CB4AA906-4EC4-4ECA-BEED-A4D88472738A}" name="VDO 2021 - Variation final" dataCellStyle="Input"/>
    <tableColumn id="5" xr3:uid="{9C198365-D838-4E7C-8732-383A5C0B4BC2}" name="VDO 2022 - Draft" dataCellStyle="Input"/>
    <tableColumn id="6" xr3:uid="{42D201D9-C45B-416B-9904-1345845CA9AA}" name="VDO 2022 - Final" dataCellStyle="Input"/>
  </tableColumns>
  <tableStyleInfo name="Default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CBD1385-BA07-4257-AD3D-3DA1CE15C89E}" name="Calc_CPI_1" displayName="Calc_CPI_1" ref="C147:I154" totalsRowShown="0" headerRowDxfId="642" headerRowBorderDxfId="641" tableBorderDxfId="640" headerRowCellStyle="Table col heading">
  <tableColumns count="7">
    <tableColumn id="1" xr3:uid="{8FC9CF68-E2DE-41D4-BB17-02577ACDFB50}" name="Cost item"/>
    <tableColumn id="3" xr3:uid="{FD52015C-7518-4114-9F0A-46942F5E409F}" name="Fixed/Variable" dataDxfId="639"/>
    <tableColumn id="10" xr3:uid="{237959CA-5760-4248-AC5A-20B45DB2CF50}" name="Unit" dataCellStyle="Table cell">
      <calculatedColumnFormula>INDEX(Input_ForRateCalc[Unit],MATCH(Calc_CPI_1[[#This Row],[Cost item]]&amp;" - base",Input_ForRateCalc[Cost item],0),1)</calculatedColumnFormula>
    </tableColumn>
    <tableColumn id="11" xr3:uid="{2F9D72AB-FD23-4CC4-8DF0-B118FF0D332F}" name="Customer type" dataCellStyle="Table cell"/>
    <tableColumn id="2" xr3:uid="{ABF6348D-5120-4300-B5BD-4B7E3A2B2B25}" name="Adjust?" dataCellStyle="Table cell">
      <calculatedColumnFormula>INDEX(Input_CostItemCPI[[VDO 2021 - Final]:[VDO 2022 - Final]],MATCH(Calc_CPI_1[[#This Row],[Cost item]],Input_CostItemCPI[Cost item],0),MATCH(Calc_Rates!$D$5,Input_CostItemCPI[[#Headers],[VDO 2021 - Final]:[VDO 2022 - Final]],0))</calculatedColumnFormula>
    </tableColumn>
    <tableColumn id="4" xr3:uid="{471ED95C-B937-4145-872E-8E97F45D2329}" name="CPI increase" dataDxfId="638" dataCellStyle="Calculation">
      <calculatedColumnFormula>IF(Calc_CPI_1[[#This Row],[Adjust?]]="No",0,
IFERROR(
($D$145-
INDEX(CPI[Indice],MATCH(
INDEX(Input_ForRateCalc[[F-CurrentVDO_InputDate]:[F-NextVDO_Input]],MATCH(Calc_Rates!$C148,Input_ForRateCalc[Cost item],0),MATCH(Calc_Rates!$D$5&amp;" - input date",Inputs!H$8:Q$8,0)),
CPI[Period],0),1))/
INDEX(CPI[Indice],MATCH(
INDEX(Input_ForRateCalc[[F-CurrentVDO_InputDate]:[F-NextVDO_Input]],MATCH(Calc_Rates!$C148,Input_ForRateCalc[Cost item],0),MATCH(Calc_Rates!$D$5&amp;" - input date",Inputs!H$8:Q$8,0)),
CPI[Period],0),1),"-"))</calculatedColumnFormula>
    </tableColumn>
    <tableColumn id="5" xr3:uid="{6CF381C8-E2E9-44F3-9929-828496EBF384}" name="CPI uplift factor" dataDxfId="637" dataCellStyle="Calculation"/>
  </tableColumns>
  <tableStyleInfo name="Default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04FAC06-3F6E-4512-BD9F-BAE6C54835E0}" name="Calc_Losses_1" displayName="Calc_Losses_1" ref="C157:K160" totalsRowShown="0" headerRowDxfId="636" headerRowBorderDxfId="635" tableBorderDxfId="634" headerRowCellStyle="Table col heading">
  <tableColumns count="9">
    <tableColumn id="1" xr3:uid="{10E55798-D969-4AA2-BE00-AAA77545944C}" name="Cost item"/>
    <tableColumn id="2" xr3:uid="{FEC04519-0B8D-4C04-8E79-9C2F2427947B}" name="Fixed/Variable"/>
    <tableColumn id="3" xr3:uid="{E3235E90-DD2F-4943-ADA4-D518E8138171}" name="Unit"/>
    <tableColumn id="9" xr3:uid="{66C6BD50-A578-4CF8-B8DB-BF3F050B98C7}" name="Customer type" dataDxfId="633" dataCellStyle="Table cell"/>
    <tableColumn id="4" xr3:uid="{A55B248B-2052-4BF2-80F1-7509C3DD67E6}" name="Ausnet" dataDxfId="632"/>
    <tableColumn id="5" xr3:uid="{1749CA31-EE62-4522-9DA3-1918155FD04F}" name="Citipower" dataDxfId="631"/>
    <tableColumn id="6" xr3:uid="{62DBB3BA-5557-45EF-B606-6DC96D6BCBBC}" name="Jemena" dataDxfId="630"/>
    <tableColumn id="7" xr3:uid="{83176F9D-4300-42DB-984A-9DB31B5A2B44}" name="Powercor" dataDxfId="629"/>
    <tableColumn id="8" xr3:uid="{AE5C4CA6-96AC-4429-B02F-825691E879EF}" name="United Energy" dataDxfId="628"/>
  </tableColumns>
  <tableStyleInfo name="Default tab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EC4D248-2A86-4C81-ACAF-1A81C2464FEF}" name="Calc_ROM_1" displayName="Calc_ROM_1" ref="C163:K164" totalsRowShown="0" headerRowDxfId="627" headerRowBorderDxfId="626" tableBorderDxfId="625" headerRowCellStyle="Table col heading" dataCellStyle="Table cell">
  <tableColumns count="9">
    <tableColumn id="1" xr3:uid="{E50EE705-B877-449E-A9E7-6E00096BAB36}" name="Cost item" dataCellStyle="Table cell"/>
    <tableColumn id="2" xr3:uid="{42FC858C-CF75-4833-8C3D-8346027CE60A}" name="Fixed/Variable" dataCellStyle="Table cell"/>
    <tableColumn id="3" xr3:uid="{76F3A43C-43A1-4562-B6AE-9B59FB2BA42A}" name="Unit" dataCellStyle="Table cell"/>
    <tableColumn id="9" xr3:uid="{891390CB-BDB7-4673-9B44-66FDD23D76FC}" name="Customer type" dataCellStyle="Table cell"/>
    <tableColumn id="4" xr3:uid="{1B8319C1-3354-4608-B1AD-CE352E76C44D}" name="Ausnet" dataDxfId="624" dataCellStyle="Calculation">
      <calculatedColumnFormula array="1">IFERROR(INDEX(Input_ForRateCalc[[F-CurrentVDO_InputDate]:[F-NextVDO_Input]],MATCH(Calc_ROM_1[[#This Row],[Cost item]:[Cost item]],Input_ForRateCalc[[Cost item]:[Cost item]],0),MATCH($D$5,Inputs!$H$8:$Q$8,0)),"-")</calculatedColumnFormula>
    </tableColumn>
    <tableColumn id="5" xr3:uid="{270B5FD7-0783-496C-8F8F-0ECCD0DCC481}" name="Citipower" dataDxfId="623" dataCellStyle="Internal link/lookup">
      <calculatedColumnFormula array="1">IFERROR(INDEX(Input_ForRateCalc[[F-CurrentVDO_InputDate]:[F-NextVDO_Input]],MATCH(Calc_ROM_1[[#This Row],[Cost item]:[Cost item]],Input_ForRateCalc[[Cost item]:[Cost item]],0),MATCH($D$5,Inputs!$H$8:$Q$8,0)),"-")</calculatedColumnFormula>
    </tableColumn>
    <tableColumn id="6" xr3:uid="{1D6B1230-694F-46EA-BB16-EBFCD5B62014}" name="Jemena" dataDxfId="622" dataCellStyle="Internal link/lookup">
      <calculatedColumnFormula array="1">IFERROR(INDEX(Input_ForRateCalc[[F-CurrentVDO_InputDate]:[F-NextVDO_Input]],MATCH(Calc_ROM_1[[#This Row],[Cost item]:[Cost item]],Input_ForRateCalc[[Cost item]:[Cost item]],0),MATCH($D$5,Inputs!$H$8:$Q$8,0)),"-")</calculatedColumnFormula>
    </tableColumn>
    <tableColumn id="7" xr3:uid="{242863D3-BF23-4634-9E5D-A7018A29171E}" name="Powercor" dataDxfId="621" dataCellStyle="Internal link/lookup">
      <calculatedColumnFormula array="1">IFERROR(INDEX(Input_ForRateCalc[[F-CurrentVDO_InputDate]:[F-NextVDO_Input]],MATCH(Calc_ROM_1[[#This Row],[Cost item]:[Cost item]],Input_ForRateCalc[[Cost item]:[Cost item]],0),MATCH($D$5,Inputs!$H$8:$Q$8,0)),"-")</calculatedColumnFormula>
    </tableColumn>
    <tableColumn id="8" xr3:uid="{5FC9542C-F72B-41E3-8A90-17BB18C5781A}" name="United Energy" dataDxfId="620" dataCellStyle="Internal link/lookup">
      <calculatedColumnFormula array="1">IFERROR(INDEX(Input_ForRateCalc[[F-CurrentVDO_InputDate]:[F-NextVDO_Input]],MATCH(Calc_ROM_1[[#This Row],[Cost item]:[Cost item]],Input_ForRateCalc[[Cost item]:[Cost item]],0),MATCH($D$5,Inputs!$H$8:$Q$8,0)),"-")</calculatedColumnFormula>
    </tableColumn>
  </tableColumns>
  <tableStyleInfo name="Default tab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B9C0011-C252-438F-92DD-5559D2884E9C}" name="Calc_Retail_1" displayName="Calc_Retail_1" ref="C169:K171" totalsRowShown="0" headerRowDxfId="619" headerRowBorderDxfId="618" tableBorderDxfId="617" totalsRowBorderDxfId="616" headerRowCellStyle="Table col heading">
  <tableColumns count="9">
    <tableColumn id="1" xr3:uid="{F445E8BE-064F-4AAC-958B-34C99F7ED789}" name="Cost item"/>
    <tableColumn id="2" xr3:uid="{70EA2FAC-2F47-4380-BB77-21E81E84D12C}" name="Fixed/Variable"/>
    <tableColumn id="3" xr3:uid="{8055E5B5-7D33-4D16-AEC4-1E6FDA6D4A33}" name="Unit" dataCellStyle="Table cell"/>
    <tableColumn id="9" xr3:uid="{771301F1-5078-41E2-A27C-91512A9EEC84}" name="Customer type" dataDxfId="615" dataCellStyle="Table cell"/>
    <tableColumn id="4" xr3:uid="{F96F63E4-C2DD-4B05-A841-31283247F646}" name="Ausnet" dataDxfId="614">
      <calculatedColumnFormula>IFERROR(
INDEX(Calc_CPI_1[CPI uplift factor],MATCH($C170,Calc_CPI_1[Cost item],0),1)+
INDEX(#REF!,MATCH(Calc_Rates!$C170,Input_ForRateCalc[Cost item],0),MATCH(Calc_Rates!$D$5,Inputs!$H$8:$Q$8,0)),"-")</calculatedColumnFormula>
    </tableColumn>
    <tableColumn id="5" xr3:uid="{10800705-822B-4A11-AEC0-B74310D50E53}" name="Citipower" dataDxfId="613" dataCellStyle="Calculation"/>
    <tableColumn id="6" xr3:uid="{F22E718A-40AB-4EDE-A90A-F8A05C1F401C}" name="Jemena" dataDxfId="612" dataCellStyle="Calculation"/>
    <tableColumn id="7" xr3:uid="{6892071D-DB57-4E65-AA1D-01B97E74119E}" name="Powercor" dataDxfId="611" dataCellStyle="Calculation"/>
    <tableColumn id="8" xr3:uid="{551F21FF-F88A-4814-8B08-9AF58152777E}" name="United Energy" dataDxfId="610" dataCellStyle="Calculation"/>
  </tableColumns>
  <tableStyleInfo name="Default tabl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12EE65A-C36C-4D34-B21A-CC272CBBA0DB}" name="Calc_OtherCosts_1" displayName="Calc_OtherCosts_1" ref="C175:K184" totalsRowShown="0" headerRowDxfId="609" headerRowBorderDxfId="608" tableBorderDxfId="607" totalsRowBorderDxfId="606" headerRowCellStyle="Table col heading" dataCellStyle="Table cell">
  <tableColumns count="9">
    <tableColumn id="1" xr3:uid="{0C253945-E70F-4B36-AB64-0CBC3AC67A67}" name="Cost item" dataCellStyle="Table cell"/>
    <tableColumn id="2" xr3:uid="{1CD1F87C-1E3E-4116-8C9E-ACEB4BB1DF68}" name="Fixed/Variable" dataCellStyle="Table cell"/>
    <tableColumn id="3" xr3:uid="{A2E603E4-1536-4BF2-9BA6-F8B4EF2FBC90}" name="Unit" dataCellStyle="Table cell"/>
    <tableColumn id="9" xr3:uid="{366828D4-BD8E-423C-9F45-7A4329249E04}" name="Customer type" dataDxfId="605" dataCellStyle="Table cell"/>
    <tableColumn id="4" xr3:uid="{3A43E5BC-9425-48FE-8CB0-4D55B7BD3E2C}" name="Ausnet" dataDxfId="604" dataCellStyle="Calculation">
      <calculatedColumnFormula array="1">IFERROR(
IF(Calc_OtherCosts_1[[#This Row],[Fixed/Variable]:[Fixed/Variable]]="Fixed",
(IFERROR(INDEX(Calc_CPI_1[[CPI uplift factor]:[CPI uplift factor]],MATCH($C176,Calc_CPI_1[[Cost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factor]],MATCH($C176,Calc_CPI_1[[Cost item]:[Cost item]],0),1),0)+
INDEX(Input_ForRateCalc[[F-CurrentVDO_InputDate]:[F-NextVDO_Input]],MATCH(Calc_OtherCosts_1[[#This Row],[Cost item]:[Cost item]],Input_ForRateCalc[[Cost item]:[Cost item]],0),MATCH($D$5,Inputs!$H$8:$Q$8,0)))/1000),"-")</calculatedColumnFormula>
    </tableColumn>
    <tableColumn id="5" xr3:uid="{A49331E6-A367-4F26-B05E-C557F54FF5E6}" name="Citipower" dataDxfId="603" dataCellStyle="Calculation">
      <calculatedColumnFormula array="1">IFERROR(
IF(Calc_OtherCosts_1[[#This Row],[Fixed/Variable]:[Fixed/Variable]]="Fixed",
(IFERROR(INDEX(Calc_CPI_1[[CPI uplift factor]:[CPI uplift factor]],MATCH($C176,Calc_CPI_1[[Cost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factor]],MATCH($C176,Calc_CPI_1[[Cost item]:[Cost item]],0),1),0)+
INDEX(Input_ForRateCalc[[F-CurrentVDO_InputDate]:[F-NextVDO_Input]],MATCH(Calc_OtherCosts_1[[#This Row],[Cost item]:[Cost item]],Input_ForRateCalc[[Cost item]:[Cost item]],0),MATCH($D$5,Inputs!$H$8:$Q$8,0)))/1000),"-")</calculatedColumnFormula>
    </tableColumn>
    <tableColumn id="6" xr3:uid="{353E77CF-0ADF-4988-B8FC-04EE5A40696A}" name="Jemena" dataDxfId="602" dataCellStyle="Calculation">
      <calculatedColumnFormula array="1">IFERROR(
IF(Calc_OtherCosts_1[[#This Row],[Fixed/Variable]:[Fixed/Variable]]="Fixed",
(IFERROR(INDEX(Calc_CPI_1[[CPI uplift factor]:[CPI uplift factor]],MATCH($C176,Calc_CPI_1[[Cost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factor]],MATCH($C176,Calc_CPI_1[[Cost item]:[Cost item]],0),1),0)+
INDEX(Input_ForRateCalc[[F-CurrentVDO_InputDate]:[F-NextVDO_Input]],MATCH(Calc_OtherCosts_1[[#This Row],[Cost item]:[Cost item]],Input_ForRateCalc[[Cost item]:[Cost item]],0),MATCH($D$5,Inputs!$H$8:$Q$8,0)))/1000),"-")</calculatedColumnFormula>
    </tableColumn>
    <tableColumn id="7" xr3:uid="{8CC9324E-F871-48A4-839B-9B611C6D71DE}" name="Powercor" dataDxfId="601" dataCellStyle="Calculation">
      <calculatedColumnFormula array="1">IFERROR(
IF(Calc_OtherCosts_1[[#This Row],[Fixed/Variable]:[Fixed/Variable]]="Fixed",
(IFERROR(INDEX(Calc_CPI_1[[CPI uplift factor]:[CPI uplift factor]],MATCH($C176,Calc_CPI_1[[Cost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factor]],MATCH($C176,Calc_CPI_1[[Cost item]:[Cost item]],0),1),0)+
INDEX(Input_ForRateCalc[[F-CurrentVDO_InputDate]:[F-NextVDO_Input]],MATCH(Calc_OtherCosts_1[[#This Row],[Cost item]:[Cost item]],Input_ForRateCalc[[Cost item]:[Cost item]],0),MATCH($D$5,Inputs!$H$8:$Q$8,0)))/1000),"-")</calculatedColumnFormula>
    </tableColumn>
    <tableColumn id="8" xr3:uid="{3D5A3885-41F2-4263-88AB-98D0F239E959}" name="United Energy" dataDxfId="600" dataCellStyle="Calculation">
      <calculatedColumnFormula array="1">IFERROR(
IF(Calc_OtherCosts_1[[#This Row],[Fixed/Variable]:[Fixed/Variable]]="Fixed",
(IFERROR(INDEX(Calc_CPI_1[[CPI uplift factor]:[CPI uplift factor]],MATCH($C176,Calc_CPI_1[[Cost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factor]],MATCH($C176,Calc_CPI_1[[Cost item]:[Cost item]],0),1),0)+
INDEX(Input_ForRateCalc[[F-CurrentVDO_InputDate]:[F-NextVDO_Input]],MATCH(Calc_OtherCosts_1[[#This Row],[Cost item]:[Cost item]],Input_ForRateCalc[[Cost item]:[Cost item]],0),MATCH($D$5,Inputs!$H$8:$Q$8,0)))/1000),"-")</calculatedColumnFormula>
    </tableColumn>
  </tableColumns>
  <tableStyleInfo name="Default tabl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A46CB06-9CE2-408A-8625-DD8BCCB6C58B}" name="Calc_NetworkF_1" displayName="Calc_NetworkF_1" ref="C189:K194" totalsRowShown="0" headerRowDxfId="599" headerRowBorderDxfId="598" tableBorderDxfId="597" totalsRowBorderDxfId="596" headerRowCellStyle="Table col heading">
  <tableColumns count="9">
    <tableColumn id="1" xr3:uid="{56073E6A-0A5A-4389-8095-CA6108D44EDE}" name="Cost item"/>
    <tableColumn id="2" xr3:uid="{9D1C14EC-8477-491A-A18B-2461900656B4}" name="Fixed/Variable"/>
    <tableColumn id="3" xr3:uid="{04FAE60D-417C-4194-995E-E316BF4B7879}" name="Unit" dataCellStyle="Table cell"/>
    <tableColumn id="9" xr3:uid="{7C0BD534-B842-49E1-AB3D-9239656FE01E}" name="Customer type" dataDxfId="595" dataCellStyle="Table cell"/>
    <tableColumn id="4" xr3:uid="{2C923C50-9004-4F23-A843-61F46462C741}" name="Ausnet" dataDxfId="594">
      <calculatedColumnFormula array="1">IFERROR(
IFERROR(INDEX(Calc_CPI_1[[CPI uplift factor]:[CPI uplift factor]],MATCH($C190,Calc_CPI_1[[Cost item]:[Cost item]],0),1),0)+
INDEX(Input_ForRateCalc[[F-CurrentVDO_InputDate]:[F-NextVDO_Input]],MATCH(
IF(Calc_NetworkF_1[[#This Row],[Cost item]:[Cost item]]="Metering",
Calc_NetworkF_1[[#This Row],[Cost item]:[Cost item]]&amp;" - "&amp;Calc_NetworkF_1[[#Headers],[Ausnet]],
Calc_NetworkF_1[[#This Row],[Cost item]:[Cost item]]&amp;" charge - "&amp;IF(Calc_NetworkF_1[[#This Row],[Customer type]:[Customer type]]="Residential","RES - ","SME - ")&amp;Calc_NetworkF_1[[#Headers],[Ausnet]]),Input_ForRateCalc[[Cost item]:[Cost item]],0),MATCH($D$5,Inputs!$H$8:$Q$8,0)),"-")</calculatedColumnFormula>
    </tableColumn>
    <tableColumn id="5" xr3:uid="{44B5F431-564E-450E-BA21-D3F841DCC24C}" name="Citipower" dataDxfId="593">
      <calculatedColumnFormula array="1">IFERROR(
IFERROR(INDEX(Calc_CPI_1[[CPI uplift factor]:[CPI uplift factor]],MATCH($C190,Calc_CPI_1[[Cost item]:[Cost item]],0),1),0)+
INDEX(Input_ForRateCalc[[F-CurrentVDO_InputDate]:[F-NextVDO_Input]],MATCH(
IF(Calc_NetworkF_1[[#This Row],[Cost item]:[Cost item]]="Metering",
Calc_NetworkF_1[[#This Row],[Cost item]:[Cost item]]&amp;" - "&amp;Calc_NetworkF_1[[#Headers],[Citipower]],
Calc_NetworkF_1[[#This Row],[Cost item]:[Cost item]]&amp;" charge - "&amp;IF(Calc_NetworkF_1[[#This Row],[Customer type]:[Customer type]]="Residential","RES - ","SME - ")&amp;Calc_NetworkF_1[[#Headers],[Citipower]]),Input_ForRateCalc[[Cost item]:[Cost item]],0),MATCH($D$5,Inputs!$H$8:$Q$8,0)),"-")</calculatedColumnFormula>
    </tableColumn>
    <tableColumn id="6" xr3:uid="{8B1A16F8-7E2C-4F24-91A7-E65029079EAB}" name="Jemena" dataDxfId="592">
      <calculatedColumnFormula array="1">IFERROR(
IFERROR(INDEX(Calc_CPI_1[[CPI uplift factor]:[CPI uplift factor]],MATCH($C190,Calc_CPI_1[[Cost item]:[Cost item]],0),1),0)+
INDEX(Input_ForRateCalc[[F-CurrentVDO_InputDate]:[F-NextVDO_Input]],MATCH(
IF(Calc_NetworkF_1[[#This Row],[Cost item]:[Cost item]]="Metering",
Calc_NetworkF_1[[#This Row],[Cost item]:[Cost item]]&amp;" - "&amp;Calc_NetworkF_1[[#Headers],[Jemena]],
Calc_NetworkF_1[[#This Row],[Cost item]:[Cost item]]&amp;" charge - "&amp;IF(Calc_NetworkF_1[[#This Row],[Customer type]:[Customer type]]="Residential","RES - ","SME - ")&amp;Calc_NetworkF_1[[#Headers],[Jemena]]),Input_ForRateCalc[[Cost item]:[Cost item]],0),MATCH($D$5,Inputs!$H$8:$Q$8,0)),"-")</calculatedColumnFormula>
    </tableColumn>
    <tableColumn id="7" xr3:uid="{0BD42606-1294-49B4-B9B0-6637A6094781}" name="Powercor" dataDxfId="591">
      <calculatedColumnFormula array="1">IFERROR(
IFERROR(INDEX(Calc_CPI_1[[CPI uplift factor]:[CPI uplift factor]],MATCH($C190,Calc_CPI_1[[Cost item]:[Cost item]],0),1),0)+
INDEX(Input_ForRateCalc[[F-CurrentVDO_InputDate]:[F-NextVDO_Input]],MATCH(
IF(Calc_NetworkF_1[[#This Row],[Cost item]:[Cost item]]="Metering",
Calc_NetworkF_1[[#This Row],[Cost item]:[Cost item]]&amp;" - "&amp;Calc_NetworkF_1[[#Headers],[Powercor]],
Calc_NetworkF_1[[#This Row],[Cost item]:[Cost item]]&amp;" charge - "&amp;IF(Calc_NetworkF_1[[#This Row],[Customer type]:[Customer type]]="Residential","RES - ","SME - ")&amp;Calc_NetworkF_1[[#Headers],[Powercor]]),Input_ForRateCalc[[Cost item]:[Cost item]],0),MATCH($D$5,Inputs!$H$8:$Q$8,0)),"-")</calculatedColumnFormula>
    </tableColumn>
    <tableColumn id="8" xr3:uid="{439ED9DE-5613-4EC5-A634-F87DAB4A0EDD}" name="United Energy" dataDxfId="590">
      <calculatedColumnFormula array="1">IFERROR(
IFERROR(INDEX(Calc_CPI_1[[CPI uplift factor]:[CPI uplift factor]],MATCH($C190,Calc_CPI_1[[Cost item]:[Cost item]],0),1),0)+
INDEX(Input_ForRateCalc[[F-CurrentVDO_InputDate]:[F-NextVDO_Input]],MATCH(
IF(Calc_NetworkF_1[[#This Row],[Cost item]:[Cost item]]="Metering",
Calc_NetworkF_1[[#This Row],[Cost item]:[Cost item]]&amp;" - "&amp;Calc_NetworkF_1[[#Headers],[United Energy]],
Calc_NetworkF_1[[#This Row],[Cost item]:[Cost item]]&amp;" charge - "&amp;IF(Calc_NetworkF_1[[#This Row],[Customer type]:[Customer type]]="Residential","RES - ","SME - ")&amp;Calc_NetworkF_1[[#Headers],[United Energy]]),Input_ForRateCalc[[Cost item]:[Cost item]],0),MATCH($D$5,Inputs!$H$8:$Q$8,0)),"-")</calculatedColumnFormula>
    </tableColumn>
  </tableColumns>
  <tableStyleInfo name="Default tabl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9FD2BC5-019D-46C3-AFCA-304FF5306314}" name="Calc_NetworkV_1" displayName="Calc_NetworkV_1" ref="C197:K208" totalsRowShown="0" headerRowDxfId="589" dataDxfId="587" headerRowBorderDxfId="588" tableBorderDxfId="586" totalsRowBorderDxfId="585" headerRowCellStyle="Table col heading" dataCellStyle="Calculation">
  <tableColumns count="9">
    <tableColumn id="1" xr3:uid="{CB3706A5-D760-4216-A110-71D17D892BD9}" name="Cost item" dataCellStyle="Table cell"/>
    <tableColumn id="2" xr3:uid="{D1B03855-A0F0-4571-8777-57F1B8EFE353}" name="Fixed/Variable" dataCellStyle="Table cell"/>
    <tableColumn id="3" xr3:uid="{B8007A7D-00F8-40E4-A172-46152BC4D855}" name="Unit" dataCellStyle="Table cell"/>
    <tableColumn id="9" xr3:uid="{3B1062B7-38BA-41B7-A6D9-56E48484C881}" name="Customer type" dataDxfId="584" dataCellStyle="Table cell"/>
    <tableColumn id="4" xr3:uid="{D0986C2A-52E3-43DD-B77B-F20491BF5E18}" name="Ausnet" dataDxfId="583" dataCellStyle="Calculation">
      <calculatedColumnFormula array="1">IFERROR(
(IFERROR(INDEX(Calc_CPI_1[[CPI uplift factor]:[CPI uplift factor]],MATCH($C198,Calc_CPI_1[[Cost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MATCH($D$5,Inputs!$H$8:$Q$8,0)))/100,"-")</calculatedColumnFormula>
    </tableColumn>
    <tableColumn id="5" xr3:uid="{FAD220BF-91B8-40CF-BEED-9FF89C64043D}" name="Citipower" dataDxfId="582" dataCellStyle="Calculation">
      <calculatedColumnFormula array="1">IFERROR(
(IFERROR(INDEX(Calc_CPI_1[[CPI uplift factor]:[CPI uplift factor]],MATCH($C198,Calc_CPI_1[[Cost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MATCH($D$5,Inputs!$H$8:$Q$8,0)))/100,"-")</calculatedColumnFormula>
    </tableColumn>
    <tableColumn id="6" xr3:uid="{173506C0-F051-4700-B94B-6E65F6DA88D9}" name="Jemena" dataDxfId="581" dataCellStyle="Calculation">
      <calculatedColumnFormula array="1">IFERROR(
(IFERROR(INDEX(Calc_CPI_1[[CPI uplift factor]:[CPI uplift factor]],MATCH($C198,Calc_CPI_1[[Cost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MATCH($D$5,Inputs!$H$8:$Q$8,0)))/100,"-")</calculatedColumnFormula>
    </tableColumn>
    <tableColumn id="7" xr3:uid="{EFD5A70F-CD3B-42A9-8883-15FA6ED5A35F}" name="Powercor" dataDxfId="580" dataCellStyle="Calculation">
      <calculatedColumnFormula array="1">IFERROR(
(IFERROR(INDEX(Calc_CPI_1[[CPI uplift factor]:[CPI uplift factor]],MATCH($C198,Calc_CPI_1[[Cost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MATCH($D$5,Inputs!$H$8:$Q$8,0)))/100,"-")</calculatedColumnFormula>
    </tableColumn>
    <tableColumn id="8" xr3:uid="{377FA89E-EB31-4B31-9E9A-342277E4DF21}" name="United Energy" dataDxfId="579" dataCellStyle="Calculation">
      <calculatedColumnFormula array="1">IFERROR(
(IFERROR(INDEX(Calc_CPI_1[[CPI uplift factor]:[CPI uplift factor]],MATCH($C198,Calc_CPI_1[[Cost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MATCH($D$5,Inputs!$H$8:$Q$8,0)))/100,"-")</calculatedColumnFormula>
    </tableColumn>
  </tableColumns>
  <tableStyleInfo name="Default tabl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21C63D0-94B6-46DC-A492-0C052BBB88BB}" name="Calc_WholesaleRES_1" displayName="Calc_WholesaleRES_1" ref="C213:K216" totalsRowShown="0" headerRowDxfId="578" headerRowBorderDxfId="577" tableBorderDxfId="576" headerRowCellStyle="Table col heading">
  <tableColumns count="9">
    <tableColumn id="1" xr3:uid="{AD482BF5-2182-4A45-A6AB-28D6205185A5}" name="Cost item"/>
    <tableColumn id="2" xr3:uid="{6780DE84-17EF-42BE-A3D5-2F3E29FC3533}" name="Fixed/Variable"/>
    <tableColumn id="3" xr3:uid="{95A5239A-5566-4E5B-97EF-FB526385E720}" name="Unit"/>
    <tableColumn id="9" xr3:uid="{64D007E5-3C6C-44AD-ACBD-2443661BBA3B}" name="Customer type" dataCellStyle="Table cell"/>
    <tableColumn id="4" xr3:uid="{B3163460-5BD7-4AFE-BFF4-84ED5CB4E785}" name="Ausnet"/>
    <tableColumn id="5" xr3:uid="{CFCFA8FE-9C7A-42C2-ABCE-4A186A2ABE01}" name="Citipower"/>
    <tableColumn id="6" xr3:uid="{9CB017A1-D755-4DB7-99ED-BBD09DBA551F}" name="Jemena"/>
    <tableColumn id="7" xr3:uid="{4AC22AD2-E8DB-4CFE-A499-B1B31DA8F4B5}" name="Powercor"/>
    <tableColumn id="8" xr3:uid="{2C48CFB6-7323-4BF6-8C64-7E27C40FBBC0}" name="United Energy"/>
  </tableColumns>
  <tableStyleInfo name="Default tabl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F015ED8-C01F-493F-BC60-E70CACCEB2FD}" name="Calc_WholesaleSME_1" displayName="Calc_WholesaleSME_1" ref="C219:K222" totalsRowShown="0" headerRowDxfId="575" headerRowBorderDxfId="574" tableBorderDxfId="573" headerRowCellStyle="Table col heading">
  <tableColumns count="9">
    <tableColumn id="1" xr3:uid="{3685C95C-E94C-4E99-B630-F4FAE40BD6CA}" name="Cost item"/>
    <tableColumn id="2" xr3:uid="{B38073C0-122B-4A64-BFF7-4C59D4463DE5}" name="Fixed/Variable"/>
    <tableColumn id="3" xr3:uid="{AAEAD9CF-B74C-41AB-9559-180BCE3F3F3C}" name="Unit"/>
    <tableColumn id="9" xr3:uid="{BC42E5F3-6EAE-4C9C-8DE3-CCAD1E10CA66}" name="Customer type" dataCellStyle="Table cell"/>
    <tableColumn id="4" xr3:uid="{308996B6-C131-470D-BCF8-3278A29B0E46}" name="Ausnet"/>
    <tableColumn id="5" xr3:uid="{19939240-F265-46F0-81AA-EB185929723F}" name="Citipower"/>
    <tableColumn id="6" xr3:uid="{472F31F9-0445-4F60-ADA7-DA1781E4D1CE}" name="Jemena"/>
    <tableColumn id="7" xr3:uid="{0F209F68-2467-41B7-A6F3-3F182FEEFF31}" name="Powercor"/>
    <tableColumn id="8" xr3:uid="{EA8080F3-12EA-415C-8B0F-A9C3C7BE47C3}" name="United Energy"/>
  </tableColumns>
  <tableStyleInfo name="Default tabl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91A3B44-F9C0-4A8B-8450-9F07D09A1A86}" name="Calc_EnviroVEU_1" displayName="Calc_EnviroVEU_1" ref="C227:K230" totalsRowShown="0" headerRowDxfId="572" headerRowBorderDxfId="571" tableBorderDxfId="570" headerRowCellStyle="Table col heading" dataCellStyle="Internal link/lookup">
  <tableColumns count="9">
    <tableColumn id="1" xr3:uid="{30D74465-1D99-43AF-8CAB-6E507855A3A4}" name="Cost item" dataCellStyle="Table cell"/>
    <tableColumn id="2" xr3:uid="{1600AA2F-0D95-42AF-83F2-66CBF45F3CA0}" name="Fixed/Variable" dataCellStyle="Table cell"/>
    <tableColumn id="3" xr3:uid="{164F3467-F6B3-4C63-8156-D333898A95EE}" name="Unit" dataCellStyle="Table cell"/>
    <tableColumn id="9" xr3:uid="{EF95EF79-FCA8-4A29-950C-B3FEC82FE49F}" name="Customer type" dataCellStyle="Table cell"/>
    <tableColumn id="4" xr3:uid="{FA5A43A2-D327-41C8-A5A5-BF22A9D1276E}" name="Ausnet" dataDxfId="569" dataCellStyle="Internal link/lookup"/>
    <tableColumn id="5" xr3:uid="{CB1D098F-76FA-4645-A017-A40B1C8931A0}" name="Citipower" dataDxfId="568" dataCellStyle="Internal link/lookup"/>
    <tableColumn id="6" xr3:uid="{6CB26880-0A29-48CB-8D27-40F6229EC6E1}" name="Jemena" dataDxfId="567" dataCellStyle="Internal link/lookup"/>
    <tableColumn id="7" xr3:uid="{37DC741F-B7B0-4F6D-8986-B2FED10372C0}" name="Powercor" dataDxfId="566" dataCellStyle="Internal link/lookup"/>
    <tableColumn id="8" xr3:uid="{146C5954-395B-4AF0-934E-F6F1F53FD175}" name="United Energy" dataDxfId="565" dataCellStyle="Internal link/lookup"/>
  </tableColumns>
  <tableStyleInfo name="Default tabl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D7F4255-2560-4C7D-87B7-90E01C8879BD}" name="Calc_EnviroLRET_1" displayName="Calc_EnviroLRET_1" ref="C233:K236" totalsRowShown="0" headerRowDxfId="564" headerRowBorderDxfId="563" tableBorderDxfId="562" headerRowCellStyle="Table col heading" dataCellStyle="Internal link/lookup">
  <tableColumns count="9">
    <tableColumn id="1" xr3:uid="{A6BACB87-44CA-4E82-A714-C5FE69256FAF}" name="Cost item" dataCellStyle="Table cell"/>
    <tableColumn id="2" xr3:uid="{075EE753-82B6-4FA7-AC6F-FE6940B01335}" name="Fixed/Variable" dataCellStyle="Table cell"/>
    <tableColumn id="3" xr3:uid="{87C5857A-1190-4CD1-A7CA-F67806FBE4CE}" name="Unit" dataCellStyle="Table cell"/>
    <tableColumn id="9" xr3:uid="{0808E3E2-EE13-4D5D-BCCF-B993FB523556}" name="Customer type" dataCellStyle="Table cell"/>
    <tableColumn id="4" xr3:uid="{25BA2561-A041-4FBF-A998-FD3797782130}" name="Ausnet" dataDxfId="561" dataCellStyle="Internal link/lookup"/>
    <tableColumn id="5" xr3:uid="{E3001C65-68EA-4A0B-A9EC-0AEF2E84FBD6}" name="Citipower" dataDxfId="560" dataCellStyle="Internal link/lookup"/>
    <tableColumn id="6" xr3:uid="{B118E905-DC3D-47F2-80F3-239BFB2E12CB}" name="Jemena" dataDxfId="559" dataCellStyle="Internal link/lookup"/>
    <tableColumn id="7" xr3:uid="{4C60D58B-60A7-46F1-93E5-005D19EAAD81}" name="Powercor" dataDxfId="558" dataCellStyle="Internal link/lookup"/>
    <tableColumn id="8" xr3:uid="{67A92AE4-113B-4F60-9A08-53B7D7BBE29B}" name="United Energy" dataDxfId="557" dataCellStyle="Internal link/lookup"/>
  </tableColumns>
  <tableStyleInfo name="Default tabl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E3EDBDF-1B04-4828-8F23-C85FCC2AFC8A}" name="Calc_EnviroSRES_1" displayName="Calc_EnviroSRES_1" ref="C239:K242" totalsRowShown="0" headerRowDxfId="556" headerRowBorderDxfId="555" tableBorderDxfId="554" headerRowCellStyle="Table col heading" dataCellStyle="Internal link/lookup">
  <tableColumns count="9">
    <tableColumn id="1" xr3:uid="{FBB72E81-32BC-476E-80F3-64EE236D4AA2}" name="Cost item" dataCellStyle="Table cell"/>
    <tableColumn id="2" xr3:uid="{5E322F16-D299-4FD0-8E26-3FB9272D73E5}" name="Fixed/Variable" dataCellStyle="Table cell"/>
    <tableColumn id="3" xr3:uid="{2F112381-7D54-4734-820D-C48BB8198AAB}" name="Unit" dataCellStyle="Table cell"/>
    <tableColumn id="9" xr3:uid="{6E851880-403E-4A11-A43C-42B46F7B71E5}" name="Customer type" dataCellStyle="Table cell"/>
    <tableColumn id="4" xr3:uid="{43477D4E-955D-4477-92D8-B68B99E47C99}" name="Ausnet" dataDxfId="553" dataCellStyle="Internal link/lookup"/>
    <tableColumn id="5" xr3:uid="{46DA8B4E-93BE-4D75-B964-43108072DBCA}" name="Citipower" dataDxfId="552" dataCellStyle="Internal link/lookup"/>
    <tableColumn id="6" xr3:uid="{B4FBE803-3A30-443C-AF14-4716F8DBA7B2}" name="Jemena" dataDxfId="551" dataCellStyle="Internal link/lookup"/>
    <tableColumn id="7" xr3:uid="{8791F4C9-6942-453C-8102-D4CBF1273CDC}" name="Powercor" dataDxfId="550" dataCellStyle="Internal link/lookup"/>
    <tableColumn id="8" xr3:uid="{103AD40C-04CA-4057-8483-C30B93760CD0}" name="United Energy" dataDxfId="549" dataCellStyle="Internal link/lookup"/>
  </tableColumns>
  <tableStyleInfo name="Default tabl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A338246-BA11-41D9-8C6E-8C38BB16348D}" name="Calc_FiT_1" displayName="Calc_FiT_1" ref="C245:K246" totalsRowShown="0" headerRowDxfId="548" headerRowBorderDxfId="547" tableBorderDxfId="546" totalsRowBorderDxfId="545" headerRowCellStyle="Table col heading" dataCellStyle="Table cell">
  <tableColumns count="9">
    <tableColumn id="1" xr3:uid="{AFD9488A-7C4B-4F8E-ACF9-A4E4B8E8B998}" name="Cost item" dataDxfId="544" dataCellStyle="Table cell"/>
    <tableColumn id="2" xr3:uid="{16DB71A9-711A-4502-B5BF-7F371CCC192E}" name="Fixed/Variable" dataDxfId="543" dataCellStyle="Table cell"/>
    <tableColumn id="3" xr3:uid="{A88541AF-CF21-4C19-AF86-DD65AAFDF70F}" name="Unit" dataDxfId="542" dataCellStyle="Table cell"/>
    <tableColumn id="9" xr3:uid="{CCD1209E-6309-4A32-8212-14B34B01109C}" name="Customer type" dataDxfId="541" dataCellStyle="Table cell"/>
    <tableColumn id="4" xr3:uid="{EFC77A58-5F76-488A-A85D-5ED51551F605}" name="Ausnet" dataDxfId="540" dataCellStyle="Calculation">
      <calculatedColumnFormula array="1">IFERROR(
(IFERROR(INDEX(Calc_CPI_1[[CPI uplift factor]:[CPI uplift factor]],MATCH($C246,Calc_CPI_1[[Cost item]:[Cost item]],0),1),0)+
INDEX(Input_ForRateCalc[[F-CurrentVDO_InputDate]:[F-NextVDO_Input]],MATCH(Calc_FiT_1[[#This Row],[Cost item]:[Cost item]],Input_ForRateCalc[[Cost item]:[Cost item]],0),MATCH($D$5,Inputs!$H$8:$Q$8,0))),"-")</calculatedColumnFormula>
    </tableColumn>
    <tableColumn id="5" xr3:uid="{1E393C59-41B6-47B9-8C7C-DF1243695081}" name="Citipower" dataDxfId="539" dataCellStyle="Calculation">
      <calculatedColumnFormula array="1">IFERROR(
(IFERROR(INDEX(Calc_CPI_1[[CPI uplift factor]:[CPI uplift factor]],MATCH($C246,Calc_CPI_1[[Cost item]:[Cost item]],0),1),0)+
INDEX(Input_ForRateCalc[[F-CurrentVDO_InputDate]:[F-NextVDO_Input]],MATCH(Calc_FiT_1[[#This Row],[Cost item]:[Cost item]],Input_ForRateCalc[[Cost item]:[Cost item]],0),MATCH($D$5,Inputs!$H$8:$Q$8,0))),"-")</calculatedColumnFormula>
    </tableColumn>
    <tableColumn id="6" xr3:uid="{435400A7-321A-40E3-A6FB-8DA29E3C56CF}" name="Jemena" dataDxfId="538" dataCellStyle="Calculation">
      <calculatedColumnFormula array="1">IFERROR(
(IFERROR(INDEX(Calc_CPI_1[[CPI uplift factor]:[CPI uplift factor]],MATCH($C246,Calc_CPI_1[[Cost item]:[Cost item]],0),1),0)+
INDEX(Input_ForRateCalc[[F-CurrentVDO_InputDate]:[F-NextVDO_Input]],MATCH(Calc_FiT_1[[#This Row],[Cost item]:[Cost item]],Input_ForRateCalc[[Cost item]:[Cost item]],0),MATCH($D$5,Inputs!$H$8:$Q$8,0))),"-")</calculatedColumnFormula>
    </tableColumn>
    <tableColumn id="7" xr3:uid="{E838E498-62F7-48EC-9A33-8E46B6F2846E}" name="Powercor" dataDxfId="537" dataCellStyle="Calculation">
      <calculatedColumnFormula array="1">IFERROR(
(IFERROR(INDEX(Calc_CPI_1[[CPI uplift factor]:[CPI uplift factor]],MATCH($C246,Calc_CPI_1[[Cost item]:[Cost item]],0),1),0)+
INDEX(Input_ForRateCalc[[F-CurrentVDO_InputDate]:[F-NextVDO_Input]],MATCH(Calc_FiT_1[[#This Row],[Cost item]:[Cost item]],Input_ForRateCalc[[Cost item]:[Cost item]],0),MATCH($D$5,Inputs!$H$8:$Q$8,0))),"-")</calculatedColumnFormula>
    </tableColumn>
    <tableColumn id="8" xr3:uid="{E4EAE11B-C0B1-474A-AFE2-08D9725A3A2F}" name="United Energy" dataDxfId="536" dataCellStyle="Calculation">
      <calculatedColumnFormula array="1">IFERROR(
(IFERROR(INDEX(Calc_CPI_1[[CPI uplift factor]:[CPI uplift factor]],MATCH($C246,Calc_CPI_1[[Cost item]:[Cost item]],0),1),0)+
INDEX(Input_ForRateCalc[[F-CurrentVDO_InputDate]:[F-NextVDO_Input]],MATCH(Calc_FiT_1[[#This Row],[Cost item]:[Cost item]],Input_ForRateCalc[[Cost item]:[Cost item]],0),MATCH($D$5,Inputs!$H$8:$Q$8,0))),"-")</calculatedColumnFormula>
    </tableColumn>
  </tableColumns>
  <tableStyleInfo name="Default tabl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1DD51261-8483-4F72-A15D-EE34A34E1BAB}" name="Calc_Fixed_1" displayName="Calc_Fixed_1" ref="C9:K13" totalsRowShown="0" headerRowDxfId="535" dataDxfId="533" headerRowBorderDxfId="534" tableBorderDxfId="532" totalsRowBorderDxfId="531" headerRowCellStyle="Table col heading" dataCellStyle="Calculation">
  <tableColumns count="9">
    <tableColumn id="1" xr3:uid="{0DE4619C-AFE2-4FBE-9761-BAA79DB830F4}" name="Fixed costs" dataCellStyle="Table cell"/>
    <tableColumn id="2" xr3:uid="{E509A651-4C2C-44F0-B768-083D02C0617D}" name="Fixed/Variable" dataCellStyle="Table cell"/>
    <tableColumn id="3" xr3:uid="{EA8D5DA8-FE69-4B34-9288-63D99D8B64E2}" name="Unit" dataCellStyle="Table cell"/>
    <tableColumn id="4" xr3:uid="{7B42286D-64E9-4E5F-91BD-04A0111536FE}" name="Customer type" dataCellStyle="Table cell"/>
    <tableColumn id="5" xr3:uid="{11BA551C-7A3B-4DBA-8886-22B914901BA5}" name="Ausnet" dataDxfId="530" dataCellStyle="Calculation"/>
    <tableColumn id="6" xr3:uid="{C7D51D1D-F5A3-45D2-97BF-2D2C3522663C}" name="Citipower" dataDxfId="529" dataCellStyle="Calculation"/>
    <tableColumn id="7" xr3:uid="{98520615-2498-4B69-9E0F-1D3D02C38A91}" name="Jemena" dataDxfId="528" dataCellStyle="Calculation"/>
    <tableColumn id="8" xr3:uid="{9D038724-BFD4-4AE0-9E93-A285F400301A}" name="Powercor" dataDxfId="527" dataCellStyle="Calculation"/>
    <tableColumn id="9" xr3:uid="{7A6F7E36-B9EF-452A-B7C5-DCD9FEE784F5}" name="United Energy" dataDxfId="526" dataCellStyle="Calculation"/>
  </tableColumns>
  <tableStyleInfo name="Default tabl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3FF5E63F-6A48-4B35-938E-45458A34EE25}" name="Calc_Variable_1" displayName="Calc_Variable_1" ref="C50:K56" totalsRowShown="0" headerRowDxfId="525" dataDxfId="523" headerRowBorderDxfId="524" tableBorderDxfId="522" totalsRowBorderDxfId="521" headerRowCellStyle="Table col heading" dataCellStyle="Calculation">
  <tableColumns count="9">
    <tableColumn id="1" xr3:uid="{D01C5694-3942-4B70-B388-582619A4A730}" name="Variable costs" dataCellStyle="Table cell"/>
    <tableColumn id="2" xr3:uid="{7B18B367-5A4F-4675-BF52-307E9D2DFE67}" name="Fixed/Variable" dataCellStyle="Table cell"/>
    <tableColumn id="3" xr3:uid="{258FC869-F26D-469D-99EB-25477677C6D6}" name="Unit" dataCellStyle="Table cell"/>
    <tableColumn id="4" xr3:uid="{6772D669-4BEB-4A7B-8347-807634EAD556}" name="Customer type" dataCellStyle="Table cell"/>
    <tableColumn id="5" xr3:uid="{016FCE41-EF2A-4E35-9A7B-F1E430D7D105}" name="Ausnet" dataDxfId="520" dataCellStyle="Calculation">
      <calculatedColumnFormula>SUMIFS(Calc_NetworkV_1[Ausnet],Calc_NetworkV_1[[Cost item]:[Cost item]],$C51,Calc_NetworkV_1[[Customer type]:[Customer type]],$F51)</calculatedColumnFormula>
    </tableColumn>
    <tableColumn id="6" xr3:uid="{E2C0AA12-7131-46DC-85F6-23D2DC886FB0}" name="Citipower" dataDxfId="519" dataCellStyle="Calculation">
      <calculatedColumnFormula>SUMIFS(Calc_NetworkV_1[Citipower],Calc_NetworkV_1[[Cost item]:[Cost item]],$C51,Calc_NetworkV_1[[Customer type]:[Customer type]],$F51)</calculatedColumnFormula>
    </tableColumn>
    <tableColumn id="7" xr3:uid="{EF4DD9F0-6C3E-41F9-B55E-8140D1AD8185}" name="Jemena" dataDxfId="518" dataCellStyle="Calculation">
      <calculatedColumnFormula>SUMIFS(Calc_NetworkV_1[Jemena],Calc_NetworkV_1[[Cost item]:[Cost item]],$C51,Calc_NetworkV_1[[Customer type]:[Customer type]],$F51)</calculatedColumnFormula>
    </tableColumn>
    <tableColumn id="8" xr3:uid="{947CFCA4-E7A4-4A08-847F-78F175CA3E8A}" name="Powercor" dataDxfId="517" dataCellStyle="Calculation">
      <calculatedColumnFormula>SUMIFS(Calc_NetworkV_1[Powercor],Calc_NetworkV_1[[Cost item]:[Cost item]],$C51,Calc_NetworkV_1[[Customer type]:[Customer type]],$F51)</calculatedColumnFormula>
    </tableColumn>
    <tableColumn id="9" xr3:uid="{B3FA65E5-67A9-4C54-BE06-6A8BC367B8D2}" name="United Energy" dataDxfId="516" dataCellStyle="Calculation">
      <calculatedColumnFormula>SUMIFS(Calc_NetworkV_1[United Energy],Calc_NetworkV_1[[Cost item]:[Cost item]],$C51,Calc_NetworkV_1[[Customer type]:[Customer type]],$F51)</calculatedColumnFormula>
    </tableColumn>
  </tableColumns>
  <tableStyleInfo name="Default tabl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42E7283-7EC9-4B31-8751-F22F33197074}" name="Calc_CPI_2" displayName="Calc_CPI_2" ref="C393:I400" totalsRowShown="0" headerRowDxfId="515" headerRowBorderDxfId="514" tableBorderDxfId="513" headerRowCellStyle="Table col heading">
  <tableColumns count="7">
    <tableColumn id="1" xr3:uid="{0392B365-335D-4A78-9B18-7271922DE1F6}" name="Cost item"/>
    <tableColumn id="3" xr3:uid="{048F43A9-A58B-455C-8B4D-B6DA137AECA7}" name="Fixed/Variable" dataDxfId="512"/>
    <tableColumn id="10" xr3:uid="{C0FE0C8C-F5D0-4BAB-8D99-F40D7F692479}" name="Unit" dataCellStyle="Table cell"/>
    <tableColumn id="11" xr3:uid="{73F71E33-E6A7-4E95-8250-4F73CE5393B0}" name="Customer type" dataCellStyle="Table cell"/>
    <tableColumn id="2" xr3:uid="{EE0FDEAC-B5CB-423C-9DFF-2946D2F95BAB}" name="Adjust?" dataCellStyle="Table cell">
      <calculatedColumnFormula>INDEX(Input_CostItemCPI[[VDO 2021 - Final]:[VDO 2022 - Final]],MATCH(Calc_CPI_2[[#This Row],[Cost item]],Input_CostItemCPI[Cost item],0),MATCH(Calc_Rates!$D$251,Input_CostItemCPI[[#Headers],[VDO 2021 - Final]:[VDO 2022 - Final]],0))</calculatedColumnFormula>
    </tableColumn>
    <tableColumn id="4" xr3:uid="{A927AA6D-A956-473D-9CBB-E2BEE704389A}" name="CPI increase" dataDxfId="511" dataCellStyle="Calculation">
      <calculatedColumnFormula>IF(Calc_CPI_2[[#This Row],[Adjust?]]="No",0,
IFERROR(
($D$391-
INDEX(CPI[Indice],MATCH(
INDEX(Input_ForRateCalc[[F-CurrentVDO_InputDate]:[F-NextVDO_Input]],MATCH(Calc_Rates!$C394,Input_ForRateCalc[Cost item],0),MATCH(Calc_Rates!$D$251&amp;" - input date",Inputs!H$8:Q$8,0)),
CPI[Period],0),1))/
INDEX(CPI[Indice],MATCH(
INDEX(Input_ForRateCalc[[F-CurrentVDO_InputDate]:[F-NextVDO_Input]],MATCH(Calc_Rates!$C394,Input_ForRateCalc[Cost item],0),MATCH(Calc_Rates!$D$251&amp;" - input date",Inputs!H$8:Q$8,0)),
CPI[Period],0),1),"-"))</calculatedColumnFormula>
    </tableColumn>
    <tableColumn id="5" xr3:uid="{0AF73545-2A78-4EA1-9B7D-36FA6144550A}" name="CPI uplift factor" dataDxfId="510" dataCellStyle="Calculation"/>
  </tableColumns>
  <tableStyleInfo name="Default tabl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CEC6A44B-92E9-41E6-A5BE-92DF20C28082}" name="Calc_Losses_2" displayName="Calc_Losses_2" ref="C403:K406" totalsRowShown="0" headerRowDxfId="509" headerRowBorderDxfId="508" tableBorderDxfId="507" headerRowCellStyle="Table col heading">
  <tableColumns count="9">
    <tableColumn id="1" xr3:uid="{FF25D25B-B907-49F1-9788-25D8E0FAB9AB}" name="Cost item"/>
    <tableColumn id="2" xr3:uid="{C154E22A-4B96-4CA0-AE66-AA8979623137}" name="Fixed/Variable"/>
    <tableColumn id="3" xr3:uid="{7225B388-345E-4195-AF66-C05D1F0E3B4C}" name="Unit"/>
    <tableColumn id="9" xr3:uid="{875CEA24-D2EE-402A-AE5F-BA8557242C89}" name="Customer type" dataCellStyle="Table cell"/>
    <tableColumn id="4" xr3:uid="{CB25BE8A-48BA-4885-8E65-317DB9BF37BB}" name="Ausnet" dataDxfId="506"/>
    <tableColumn id="5" xr3:uid="{0B2237C4-7DBE-4B58-8B34-036750CE9DF3}" name="Citipower" dataDxfId="505"/>
    <tableColumn id="6" xr3:uid="{E1C9F9AE-0936-4E2E-A598-882FD11E197E}" name="Jemena" dataDxfId="504"/>
    <tableColumn id="7" xr3:uid="{50A41108-5F62-4C52-92E2-598288A777B6}" name="Powercor" dataDxfId="503"/>
    <tableColumn id="8" xr3:uid="{5D722926-44FE-4315-8992-A62E3FA3705F}" name="United Energy" dataDxfId="502"/>
  </tableColumns>
  <tableStyleInfo name="Default tabl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8CE7EFF8-8CC4-49A5-A4B0-B1F772307F26}" name="Calc_ROM_2" displayName="Calc_ROM_2" ref="C409:K410" totalsRowShown="0" headerRowDxfId="501" headerRowBorderDxfId="500" tableBorderDxfId="499" headerRowCellStyle="Table col heading" dataCellStyle="Table cell">
  <tableColumns count="9">
    <tableColumn id="1" xr3:uid="{955F46BD-E98D-4FF8-89E3-604BDBAD5C15}" name="Cost item" dataCellStyle="Table cell"/>
    <tableColumn id="2" xr3:uid="{6E181835-1B30-4227-88B8-00DC0A938429}" name="Fixed/Variable" dataCellStyle="Table cell"/>
    <tableColumn id="3" xr3:uid="{B4F569B5-76F1-4840-94CD-ED51F23ABBB5}" name="Unit" dataCellStyle="Table cell"/>
    <tableColumn id="9" xr3:uid="{7D750D5E-3C29-452B-BA22-9541DF61C38D}" name="Customer type" dataCellStyle="Table cell"/>
    <tableColumn id="4" xr3:uid="{E687E301-7097-4D98-AEE6-E06378C143BE}" name="Ausnet" dataDxfId="498" dataCellStyle="Calculation">
      <calculatedColumnFormula array="1">IFERROR(INDEX(Input_ForRateCalc[[F-CurrentVDO_InputDate]:[F-NextVDO_Input]],MATCH(Calc_ROM_2[[#This Row],[Cost item]:[Cost item]],Input_ForRateCalc[[Cost item]:[Cost item]],0),MATCH($D$251,Inputs!$H$8:$Q$8,0)),"-")</calculatedColumnFormula>
    </tableColumn>
    <tableColumn id="5" xr3:uid="{1A564FEB-91D3-41D0-938B-AF81CFA2D721}" name="Citipower" dataDxfId="497" dataCellStyle="Internal link/lookup">
      <calculatedColumnFormula array="1">IFERROR(INDEX(Input_ForRateCalc[[F-CurrentVDO_InputDate]:[F-NextVDO_Input]],MATCH(Calc_ROM_2[[#This Row],[Cost item]:[Cost item]],Input_ForRateCalc[[Cost item]:[Cost item]],0),MATCH($D$251,Inputs!$H$8:$Q$8,0)),"-")</calculatedColumnFormula>
    </tableColumn>
    <tableColumn id="6" xr3:uid="{A4210194-9161-4D9A-B76B-92DB41A3D078}" name="Jemena" dataDxfId="496" dataCellStyle="Internal link/lookup">
      <calculatedColumnFormula array="1">IFERROR(INDEX(Input_ForRateCalc[[F-CurrentVDO_InputDate]:[F-NextVDO_Input]],MATCH(Calc_ROM_2[[#This Row],[Cost item]:[Cost item]],Input_ForRateCalc[[Cost item]:[Cost item]],0),MATCH($D$251,Inputs!$H$8:$Q$8,0)),"-")</calculatedColumnFormula>
    </tableColumn>
    <tableColumn id="7" xr3:uid="{C0C4DC3C-E147-4E1D-AC30-72D37EB7845B}" name="Powercor" dataDxfId="495" dataCellStyle="Internal link/lookup">
      <calculatedColumnFormula array="1">IFERROR(INDEX(Input_ForRateCalc[[F-CurrentVDO_InputDate]:[F-NextVDO_Input]],MATCH(Calc_ROM_2[[#This Row],[Cost item]:[Cost item]],Input_ForRateCalc[[Cost item]:[Cost item]],0),MATCH($D$251,Inputs!$H$8:$Q$8,0)),"-")</calculatedColumnFormula>
    </tableColumn>
    <tableColumn id="8" xr3:uid="{E4E7EB2A-0FA6-46E9-B531-356F9F153E84}" name="United Energy" dataDxfId="494" dataCellStyle="Internal link/lookup">
      <calculatedColumnFormula array="1">IFERROR(INDEX(Input_ForRateCalc[[F-CurrentVDO_InputDate]:[F-NextVDO_Input]],MATCH(Calc_ROM_2[[#This Row],[Cost item]:[Cost item]],Input_ForRateCalc[[Cost item]:[Cost item]],0),MATCH($D$251,Inputs!$H$8:$Q$8,0)),"-")</calculatedColumnFormula>
    </tableColumn>
  </tableColumns>
  <tableStyleInfo name="Default tabl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27F880C2-B122-4BD6-AFB2-F6FEA0892944}" name="Calc_Retail_2" displayName="Calc_Retail_2" ref="C415:K417" totalsRowShown="0" headerRowDxfId="493" headerRowBorderDxfId="492" tableBorderDxfId="491" totalsRowBorderDxfId="490" headerRowCellStyle="Table col heading">
  <tableColumns count="9">
    <tableColumn id="1" xr3:uid="{5DBFD0B1-2F68-4D8D-9DD6-1CB8E0378AF5}" name="Cost item"/>
    <tableColumn id="2" xr3:uid="{DEEB39E3-E100-46E3-8373-164B77EDA971}" name="Fixed/Variable"/>
    <tableColumn id="3" xr3:uid="{E9B6E294-9507-43FE-8432-2DC6149A44BD}" name="Unit" dataCellStyle="Table cell"/>
    <tableColumn id="9" xr3:uid="{8E50245A-0ED0-4F17-87CE-4E85E60E4872}" name="Customer type" dataDxfId="489" dataCellStyle="Table cell"/>
    <tableColumn id="4" xr3:uid="{2CD61C95-A6E5-4E0F-9C24-3AEBDA5C897D}" name="Ausnet" dataDxfId="488" dataCellStyle="Calculation"/>
    <tableColumn id="5" xr3:uid="{4E050103-6C8B-4305-BD73-C70DDFA3DBF5}" name="Citipower" dataDxfId="487" dataCellStyle="Calculation"/>
    <tableColumn id="6" xr3:uid="{99907E92-AD35-4E5A-9AF4-6ADEACB6628B}" name="Jemena" dataDxfId="486" dataCellStyle="Calculation"/>
    <tableColumn id="7" xr3:uid="{85CED015-2903-4856-80DE-2EF0DF32CF22}" name="Powercor" dataDxfId="485" dataCellStyle="Calculation"/>
    <tableColumn id="8" xr3:uid="{E2C17A32-6146-4155-9533-31AA75FDB328}" name="United Energy" dataDxfId="484" dataCellStyle="Calculation"/>
  </tableColumns>
  <tableStyleInfo name="Default tabl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901D12CF-C7E1-4924-9282-4EC84379844B}" name="Calc_OtherCosts_2" displayName="Calc_OtherCosts_2" ref="C421:K430" totalsRowShown="0" headerRowDxfId="483" headerRowBorderDxfId="482" tableBorderDxfId="481" totalsRowBorderDxfId="480" headerRowCellStyle="Table col heading" dataCellStyle="Table cell">
  <tableColumns count="9">
    <tableColumn id="1" xr3:uid="{A1B8058A-1AB1-41BC-8A43-72B5EA27A603}" name="Cost item" dataCellStyle="Table cell"/>
    <tableColumn id="2" xr3:uid="{D5EEF1DB-85C1-49E6-99B0-CF0394951EE2}" name="Fixed/Variable" dataCellStyle="Table cell"/>
    <tableColumn id="3" xr3:uid="{E4A2F631-BD69-4A5A-85B5-508D2E2B4A0C}" name="Unit" dataCellStyle="Table cell"/>
    <tableColumn id="9" xr3:uid="{0B803444-77B6-4D2D-BB75-CD29E2D46331}" name="Customer type" dataDxfId="479" dataCellStyle="Table cell"/>
    <tableColumn id="4" xr3:uid="{085016C6-CD9B-499F-9379-4BAE408451BD}" name="Ausnet" dataDxfId="478" dataCellStyle="Calculation">
      <calculatedColumnFormula array="1">IFERROR(
IF(Calc_OtherCosts_2[[#This Row],[Fixed/Variable]:[Fixed/Variable]]="Fixed",
(IFERROR(INDEX(Calc_CPI_2[[CPI uplift factor]:[CPI uplift factor]],MATCH($C422,Calc_CPI_2[[Cost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factor]],MATCH($C422,Calc_CPI_2[[Cost item]:[Cost item]],0),1),0)+
INDEX(Input_ForRateCalc[[F-CurrentVDO_InputDate]:[F-NextVDO_Input]],MATCH(Calc_OtherCosts_2[[#This Row],[Cost item]:[Cost item]],Input_ForRateCalc[[Cost item]:[Cost item]],0),MATCH($D$251,Inputs!$H$8:$Q$8,0)))/1000),"-")</calculatedColumnFormula>
    </tableColumn>
    <tableColumn id="5" xr3:uid="{D67C074D-746D-4063-961D-3BEBB731C5BF}" name="Citipower" dataDxfId="477" dataCellStyle="Calculation">
      <calculatedColumnFormula array="1">IFERROR(
IF(Calc_OtherCosts_2[[#This Row],[Fixed/Variable]:[Fixed/Variable]]="Fixed",
(IFERROR(INDEX(Calc_CPI_2[[CPI uplift factor]:[CPI uplift factor]],MATCH($C422,Calc_CPI_2[[Cost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factor]],MATCH($C422,Calc_CPI_2[[Cost item]:[Cost item]],0),1),0)+
INDEX(Input_ForRateCalc[[F-CurrentVDO_InputDate]:[F-NextVDO_Input]],MATCH(Calc_OtherCosts_2[[#This Row],[Cost item]:[Cost item]],Input_ForRateCalc[[Cost item]:[Cost item]],0),MATCH($D$251,Inputs!$H$8:$Q$8,0)))/1000),"-")</calculatedColumnFormula>
    </tableColumn>
    <tableColumn id="6" xr3:uid="{E2A0A5AD-48B1-4C7D-B517-722AFA356FB6}" name="Jemena" dataDxfId="476" dataCellStyle="Calculation">
      <calculatedColumnFormula array="1">IFERROR(
IF(Calc_OtherCosts_2[[#This Row],[Fixed/Variable]:[Fixed/Variable]]="Fixed",
(IFERROR(INDEX(Calc_CPI_2[[CPI uplift factor]:[CPI uplift factor]],MATCH($C422,Calc_CPI_2[[Cost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factor]],MATCH($C422,Calc_CPI_2[[Cost item]:[Cost item]],0),1),0)+
INDEX(Input_ForRateCalc[[F-CurrentVDO_InputDate]:[F-NextVDO_Input]],MATCH(Calc_OtherCosts_2[[#This Row],[Cost item]:[Cost item]],Input_ForRateCalc[[Cost item]:[Cost item]],0),MATCH($D$251,Inputs!$H$8:$Q$8,0)))/1000),"-")</calculatedColumnFormula>
    </tableColumn>
    <tableColumn id="7" xr3:uid="{F78830B5-0220-404E-AF64-292E9739DDDA}" name="Powercor" dataDxfId="475" dataCellStyle="Calculation">
      <calculatedColumnFormula array="1">IFERROR(
IF(Calc_OtherCosts_2[[#This Row],[Fixed/Variable]:[Fixed/Variable]]="Fixed",
(IFERROR(INDEX(Calc_CPI_2[[CPI uplift factor]:[CPI uplift factor]],MATCH($C422,Calc_CPI_2[[Cost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factor]],MATCH($C422,Calc_CPI_2[[Cost item]:[Cost item]],0),1),0)+
INDEX(Input_ForRateCalc[[F-CurrentVDO_InputDate]:[F-NextVDO_Input]],MATCH(Calc_OtherCosts_2[[#This Row],[Cost item]:[Cost item]],Input_ForRateCalc[[Cost item]:[Cost item]],0),MATCH($D$251,Inputs!$H$8:$Q$8,0)))/1000),"-")</calculatedColumnFormula>
    </tableColumn>
    <tableColumn id="8" xr3:uid="{79D9B0F6-4D30-4C42-89E5-7F30342FAA5E}" name="United Energy" dataDxfId="474" dataCellStyle="Calculation">
      <calculatedColumnFormula array="1">IFERROR(
IF(Calc_OtherCosts_2[[#This Row],[Fixed/Variable]:[Fixed/Variable]]="Fixed",
(IFERROR(INDEX(Calc_CPI_2[[CPI uplift factor]:[CPI uplift factor]],MATCH($C422,Calc_CPI_2[[Cost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factor]],MATCH($C422,Calc_CPI_2[[Cost item]:[Cost item]],0),1),0)+
INDEX(Input_ForRateCalc[[F-CurrentVDO_InputDate]:[F-NextVDO_Input]],MATCH(Calc_OtherCosts_2[[#This Row],[Cost item]:[Cost item]],Input_ForRateCalc[[Cost item]:[Cost item]],0),MATCH($D$251,Inputs!$H$8:$Q$8,0)))/1000),"-")</calculatedColumnFormula>
    </tableColumn>
  </tableColumns>
  <tableStyleInfo name="Default tabl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4E0A9ED2-8D00-4F48-8D30-FD08A8C765E7}" name="Calc_NetworkF_2" displayName="Calc_NetworkF_2" ref="C435:K440" totalsRowShown="0" headerRowDxfId="473" headerRowBorderDxfId="472" tableBorderDxfId="471" totalsRowBorderDxfId="470" headerRowCellStyle="Table col heading">
  <tableColumns count="9">
    <tableColumn id="1" xr3:uid="{D38E552C-C6A6-40C2-9CA0-7FC7197AE66A}" name="Cost item"/>
    <tableColumn id="2" xr3:uid="{03758CD2-D50C-40CD-98A0-210010BE529C}" name="Fixed/Variable"/>
    <tableColumn id="3" xr3:uid="{A465FF89-A6AC-4B33-AB2F-144AD4966E2B}" name="Unit" dataCellStyle="Table cell"/>
    <tableColumn id="9" xr3:uid="{BE863A71-0407-4CC5-A963-E85A55602C43}" name="Customer type" dataDxfId="469" dataCellStyle="Table cell"/>
    <tableColumn id="4" xr3:uid="{E263191F-A889-48FA-AAEA-BCE459A10C20}" name="Ausnet" dataDxfId="468" dataCellStyle="Calculation">
      <calculatedColumnFormula array="1">IFERROR(
IFERROR(INDEX(Calc_CPI_2[[CPI uplift factor]:[CPI uplift factor]],MATCH($C436,Calc_CPI_2[[Cost item]:[Cost item]],0),1),0)+
INDEX(Input_ForRateCalc[[F-CurrentVDO_InputDate]:[F-NextVDO_Input]],MATCH(
IF(Calc_NetworkF_2[[#This Row],[Cost item]:[Cost item]]="Metering",
Calc_NetworkF_2[[#This Row],[Cost item]:[Cost item]]&amp;" - "&amp;Calc_NetworkF_2[[#Headers],[Ausnet]],
Calc_NetworkF_2[[#This Row],[Cost item]:[Cost item]]&amp;" charge - "&amp;IF(Calc_NetworkF_2[[#This Row],[Customer type]:[Customer type]]="Residential","RES - ","SME - ")&amp;Calc_NetworkF_2[[#Headers],[Ausnet]]),Input_ForRateCalc[[Cost item]:[Cost item]],0),MATCH($D$251,Inputs!$H$8:$Q$8,0)),"-")</calculatedColumnFormula>
    </tableColumn>
    <tableColumn id="5" xr3:uid="{E6E4BB6F-BD70-4891-95C8-F6841E10AE1F}" name="Citipower" dataDxfId="467">
      <calculatedColumnFormula array="1">IFERROR(
IFERROR(INDEX(Calc_CPI_2[[CPI uplift factor]:[CPI uplift factor]],MATCH($C436,Calc_CPI_2[[Cost item]:[Cost item]],0),1),0)+
INDEX(Input_ForRateCalc[[F-CurrentVDO_InputDate]:[F-NextVDO_Input]],MATCH(
IF(Calc_NetworkF_2[[#This Row],[Cost item]:[Cost item]]="Metering",
Calc_NetworkF_2[[#This Row],[Cost item]:[Cost item]]&amp;" - "&amp;Calc_NetworkF_2[[#Headers],[Citipower]],
Calc_NetworkF_2[[#This Row],[Cost item]:[Cost item]]&amp;" charge - "&amp;IF(Calc_NetworkF_2[[#This Row],[Customer type]:[Customer type]]="Residential","RES - ","SME - ")&amp;Calc_NetworkF_2[[#Headers],[Citipower]]),Input_ForRateCalc[[Cost item]:[Cost item]],0),MATCH($D$251,Inputs!$H$8:$Q$8,0)),"-")</calculatedColumnFormula>
    </tableColumn>
    <tableColumn id="6" xr3:uid="{74B2C5CE-E472-453B-BE1E-199DD74C52A8}" name="Jemena" dataDxfId="466">
      <calculatedColumnFormula array="1">IFERROR(
IFERROR(INDEX(Calc_CPI_2[[CPI uplift factor]:[CPI uplift factor]],MATCH($C436,Calc_CPI_2[[Cost item]:[Cost item]],0),1),0)+
INDEX(Input_ForRateCalc[[F-CurrentVDO_InputDate]:[F-NextVDO_Input]],MATCH(
IF(Calc_NetworkF_2[[#This Row],[Cost item]:[Cost item]]="Metering",
Calc_NetworkF_2[[#This Row],[Cost item]:[Cost item]]&amp;" - "&amp;Calc_NetworkF_2[[#Headers],[Jemena]],
Calc_NetworkF_2[[#This Row],[Cost item]:[Cost item]]&amp;" charge - "&amp;IF(Calc_NetworkF_2[[#This Row],[Customer type]:[Customer type]]="Residential","RES - ","SME - ")&amp;Calc_NetworkF_2[[#Headers],[Jemena]]),Input_ForRateCalc[[Cost item]:[Cost item]],0),MATCH($D$251,Inputs!$H$8:$Q$8,0)),"-")</calculatedColumnFormula>
    </tableColumn>
    <tableColumn id="7" xr3:uid="{BB022CED-F0B8-48AE-86ED-16EA04ED82D4}" name="Powercor" dataDxfId="465">
      <calculatedColumnFormula array="1">IFERROR(
IFERROR(INDEX(Calc_CPI_2[[CPI uplift factor]:[CPI uplift factor]],MATCH($C436,Calc_CPI_2[[Cost item]:[Cost item]],0),1),0)+
INDEX(Input_ForRateCalc[[F-CurrentVDO_InputDate]:[F-NextVDO_Input]],MATCH(
IF(Calc_NetworkF_2[[#This Row],[Cost item]:[Cost item]]="Metering",
Calc_NetworkF_2[[#This Row],[Cost item]:[Cost item]]&amp;" - "&amp;Calc_NetworkF_2[[#Headers],[Powercor]],
Calc_NetworkF_2[[#This Row],[Cost item]:[Cost item]]&amp;" charge - "&amp;IF(Calc_NetworkF_2[[#This Row],[Customer type]:[Customer type]]="Residential","RES - ","SME - ")&amp;Calc_NetworkF_2[[#Headers],[Powercor]]),Input_ForRateCalc[[Cost item]:[Cost item]],0),MATCH($D$251,Inputs!$H$8:$Q$8,0)),"-")</calculatedColumnFormula>
    </tableColumn>
    <tableColumn id="8" xr3:uid="{37BB4DBB-2AA0-4B3B-B81D-A3BEDA786117}" name="United Energy" dataDxfId="464">
      <calculatedColumnFormula array="1">IFERROR(
IFERROR(INDEX(Calc_CPI_2[[CPI uplift factor]:[CPI uplift factor]],MATCH($C436,Calc_CPI_2[[Cost item]:[Cost item]],0),1),0)+
INDEX(Input_ForRateCalc[[F-CurrentVDO_InputDate]:[F-NextVDO_Input]],MATCH(
IF(Calc_NetworkF_2[[#This Row],[Cost item]:[Cost item]]="Metering",
Calc_NetworkF_2[[#This Row],[Cost item]:[Cost item]]&amp;" - "&amp;Calc_NetworkF_2[[#Headers],[United Energy]],
Calc_NetworkF_2[[#This Row],[Cost item]:[Cost item]]&amp;" charge - "&amp;IF(Calc_NetworkF_2[[#This Row],[Customer type]:[Customer type]]="Residential","RES - ","SME - ")&amp;Calc_NetworkF_2[[#Headers],[United Energy]]),Input_ForRateCalc[[Cost item]:[Cost item]],0),MATCH($D$251,Inputs!$H$8:$Q$8,0)),"-")</calculatedColumnFormula>
    </tableColumn>
  </tableColumns>
  <tableStyleInfo name="Default tabl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272C9E2E-BCF3-4E06-AE4B-999827903A85}" name="Calc_NetworkV_2" displayName="Calc_NetworkV_2" ref="C443:K454" totalsRowShown="0" headerRowDxfId="463" dataDxfId="461" headerRowBorderDxfId="462" tableBorderDxfId="460" totalsRowBorderDxfId="459" headerRowCellStyle="Table col heading" dataCellStyle="Calculation">
  <tableColumns count="9">
    <tableColumn id="1" xr3:uid="{A42221E9-38CD-4719-9CB9-680E3FE0AB3B}" name="Cost item" dataCellStyle="Table cell"/>
    <tableColumn id="2" xr3:uid="{427969E6-F9FD-4A2F-AE33-CB0C35F67BA9}" name="Fixed/Variable" dataCellStyle="Table cell"/>
    <tableColumn id="3" xr3:uid="{2BA6E17D-E067-4AAC-B77F-219CB9F95259}" name="Unit" dataCellStyle="Table cell"/>
    <tableColumn id="9" xr3:uid="{D92AB887-DC72-4FF5-AC76-00519F97E33D}" name="Customer type" dataDxfId="458" dataCellStyle="Table cell"/>
    <tableColumn id="4" xr3:uid="{036757F4-CC3E-4CFE-BEE6-59E663C8DD43}" name="Ausnet" dataDxfId="457" dataCellStyle="Calculation">
      <calculatedColumnFormula array="1">IFERROR(
(IFERROR(INDEX(Calc_CPI_2[[CPI uplift factor]:[CPI uplift factor]],MATCH($C444,Calc_CPI_2[[Cost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MATCH($D$251,Inputs!$H$8:$Q$8,0)))/100,"-")</calculatedColumnFormula>
    </tableColumn>
    <tableColumn id="5" xr3:uid="{AE94E996-3010-41EE-98D2-09418CBEF705}" name="Citipower" dataDxfId="456" dataCellStyle="Calculation">
      <calculatedColumnFormula array="1">IFERROR(
(IFERROR(INDEX(Calc_CPI_2[[CPI uplift factor]:[CPI uplift factor]],MATCH($C444,Calc_CPI_2[[Cost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MATCH($D$251,Inputs!$H$8:$Q$8,0)))/100,"-")</calculatedColumnFormula>
    </tableColumn>
    <tableColumn id="6" xr3:uid="{C3B601D0-315D-46AC-86AD-25A56993C77D}" name="Jemena" dataDxfId="455" dataCellStyle="Calculation">
      <calculatedColumnFormula array="1">IFERROR(
(IFERROR(INDEX(Calc_CPI_2[[CPI uplift factor]:[CPI uplift factor]],MATCH($C444,Calc_CPI_2[[Cost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MATCH($D$251,Inputs!$H$8:$Q$8,0)))/100,"-")</calculatedColumnFormula>
    </tableColumn>
    <tableColumn id="7" xr3:uid="{75D9B400-5B56-4251-876D-D3B2AD0EDE08}" name="Powercor" dataDxfId="454" dataCellStyle="Calculation">
      <calculatedColumnFormula array="1">IFERROR(
(IFERROR(INDEX(Calc_CPI_2[[CPI uplift factor]:[CPI uplift factor]],MATCH($C444,Calc_CPI_2[[Cost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MATCH($D$251,Inputs!$H$8:$Q$8,0)))/100,"-")</calculatedColumnFormula>
    </tableColumn>
    <tableColumn id="8" xr3:uid="{72E976D5-6CF4-4BF4-8596-EF5DDC69965F}" name="United Energy" dataDxfId="453" dataCellStyle="Calculation">
      <calculatedColumnFormula array="1">IFERROR(
(IFERROR(INDEX(Calc_CPI_2[[CPI uplift factor]:[CPI uplift factor]],MATCH($C444,Calc_CPI_2[[Cost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MATCH($D$251,Inputs!$H$8:$Q$8,0)))/100,"-")</calculatedColumnFormula>
    </tableColumn>
  </tableColumns>
  <tableStyleInfo name="Default tabl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A43AECED-8885-4699-9018-976951DCEAEC}" name="Calc_WholesaleRES_2" displayName="Calc_WholesaleRES_2" ref="C459:K462" totalsRowShown="0" headerRowDxfId="452" headerRowBorderDxfId="451" tableBorderDxfId="450" headerRowCellStyle="Table col heading">
  <tableColumns count="9">
    <tableColumn id="1" xr3:uid="{55616D8A-0BC7-47DE-A9AD-A18C20CAD8E8}" name="Cost item"/>
    <tableColumn id="2" xr3:uid="{8849EA41-8407-4971-A187-A2595136364B}" name="Fixed/Variable"/>
    <tableColumn id="3" xr3:uid="{7467E916-F8C7-4E84-9658-A30010C5DDFB}" name="Unit"/>
    <tableColumn id="9" xr3:uid="{DD46CE72-BA1A-4017-990D-6941FE945045}" name="Customer type" dataDxfId="449" dataCellStyle="Table cell"/>
    <tableColumn id="4" xr3:uid="{809DE305-D85D-4DA6-9F81-6D2F651C2EC0}" name="Ausnet" dataDxfId="448"/>
    <tableColumn id="5" xr3:uid="{ED0D7F05-C22B-4EC1-8CDE-AF6D2FD6166E}" name="Citipower" dataDxfId="447"/>
    <tableColumn id="6" xr3:uid="{B4B973FC-6C95-4B31-B9D7-8BFBB8D04D0F}" name="Jemena" dataDxfId="446"/>
    <tableColumn id="7" xr3:uid="{52008CB4-E4CB-481A-A36B-0E4ECF3E2C84}" name="Powercor" dataDxfId="445"/>
    <tableColumn id="8" xr3:uid="{5F24B15A-3CAE-4F6C-B56E-177E8642134E}" name="United Energy" dataDxfId="444"/>
  </tableColumns>
  <tableStyleInfo name="Default table"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807C98C9-DEA2-499D-BCEC-1ADC2B76173B}" name="Calc_WholesaleSME_2" displayName="Calc_WholesaleSME_2" ref="C465:K468" totalsRowShown="0" headerRowDxfId="443" headerRowBorderDxfId="442" tableBorderDxfId="441" headerRowCellStyle="Table col heading">
  <tableColumns count="9">
    <tableColumn id="1" xr3:uid="{2F0330C9-FA4B-4B76-809A-3FFC706FA169}" name="Cost item"/>
    <tableColumn id="2" xr3:uid="{78653F00-2B8C-4BEB-99B3-5D899DAF194B}" name="Fixed/Variable"/>
    <tableColumn id="3" xr3:uid="{EB7E3CD7-5F6B-4CB7-9B55-B1A551960A87}" name="Unit"/>
    <tableColumn id="9" xr3:uid="{565AFD53-96DA-4A2D-874C-56C80926C3E1}" name="Customer type" dataDxfId="440" dataCellStyle="Table cell"/>
    <tableColumn id="4" xr3:uid="{2D68E5B7-6558-44D7-A7DD-E465C5C7F977}" name="Ausnet" dataDxfId="439"/>
    <tableColumn id="5" xr3:uid="{E0249D4F-24CE-4366-AD41-D943CD45AF8A}" name="Citipower" dataDxfId="438"/>
    <tableColumn id="6" xr3:uid="{05111774-1FD7-46E5-904E-F77A51A63099}" name="Jemena" dataDxfId="437"/>
    <tableColumn id="7" xr3:uid="{60E0B7A4-662F-4DCA-B8BD-3A1A03F20EC4}" name="Powercor" dataDxfId="436"/>
    <tableColumn id="8" xr3:uid="{BC8EA099-7982-4976-92A9-37CF7F323A04}" name="United Energy" dataDxfId="435"/>
  </tableColumns>
  <tableStyleInfo name="Default table"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78FABF61-76BF-48EF-B505-776F278BB84F}" name="Calc_EnviroVEU_2" displayName="Calc_EnviroVEU_2" ref="C473:K476" totalsRowShown="0" headerRowDxfId="434" headerRowBorderDxfId="433" tableBorderDxfId="432" headerRowCellStyle="Table col heading" dataCellStyle="Internal link/lookup">
  <tableColumns count="9">
    <tableColumn id="1" xr3:uid="{5EDF66C7-C7F9-42E7-B17E-0A2D1BB3D8EA}" name="Cost item" dataCellStyle="Table cell"/>
    <tableColumn id="2" xr3:uid="{1DD3DB1A-FA8C-40B9-96A5-CCF273541652}" name="Fixed/Variable" dataCellStyle="Table cell"/>
    <tableColumn id="3" xr3:uid="{F4DF5AAD-28C1-430F-A85B-FE98F6BCA66F}" name="Unit" dataCellStyle="Table cell"/>
    <tableColumn id="9" xr3:uid="{39F18777-7928-4E45-A6E5-4949449D9B17}" name="Customer type" dataCellStyle="Table cell"/>
    <tableColumn id="4" xr3:uid="{72BCCABF-61A1-496B-A1F1-313913406971}" name="Ausnet" dataDxfId="431" dataCellStyle="Internal link/lookup"/>
    <tableColumn id="5" xr3:uid="{3632AAF8-9994-487F-B2AE-D91E6898616F}" name="Citipower" dataDxfId="430" dataCellStyle="Internal link/lookup"/>
    <tableColumn id="6" xr3:uid="{2D670DF7-A7E1-4815-8D99-FEBF3D8719A9}" name="Jemena" dataDxfId="429" dataCellStyle="Internal link/lookup"/>
    <tableColumn id="7" xr3:uid="{F31CC8AE-80E4-4035-B43D-29D83AB0E44B}" name="Powercor" dataDxfId="428" dataCellStyle="Internal link/lookup"/>
    <tableColumn id="8" xr3:uid="{ABB21325-49FB-44E1-9BEE-EF0B2D015359}" name="United Energy" dataDxfId="427" dataCellStyle="Internal link/lookup"/>
  </tableColumns>
  <tableStyleInfo name="Default table"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CBD7F563-8C27-44C8-A251-94ED92356BAB}" name="Calc_EnviroLRET_2" displayName="Calc_EnviroLRET_2" ref="C479:K482" totalsRowShown="0" headerRowDxfId="426" headerRowBorderDxfId="425" tableBorderDxfId="424" headerRowCellStyle="Table col heading" dataCellStyle="Internal link/lookup">
  <tableColumns count="9">
    <tableColumn id="1" xr3:uid="{2E796124-0F36-4D5C-9E02-8A0D3471F3AC}" name="Cost item" dataCellStyle="Table cell"/>
    <tableColumn id="2" xr3:uid="{C0EFC863-A147-4A4B-9CD5-3BEDACFA83D3}" name="Fixed/Variable" dataCellStyle="Table cell"/>
    <tableColumn id="3" xr3:uid="{3E3D2AF2-16D7-4872-891A-23E6EF08388C}" name="Unit" dataCellStyle="Table cell"/>
    <tableColumn id="9" xr3:uid="{6D9C9597-8B4B-456E-BE78-2619427622CB}" name="Customer type" dataCellStyle="Table cell"/>
    <tableColumn id="4" xr3:uid="{D42DF87B-2F3A-445A-A591-A957064999AE}" name="Ausnet" dataDxfId="423" dataCellStyle="Internal link/lookup"/>
    <tableColumn id="5" xr3:uid="{0D536E01-9C54-40A5-872F-7AEC6B5E5964}" name="Citipower" dataDxfId="422" dataCellStyle="Internal link/lookup"/>
    <tableColumn id="6" xr3:uid="{61156598-626D-4F85-A017-2C9888B3AD91}" name="Jemena" dataDxfId="421" dataCellStyle="Internal link/lookup"/>
    <tableColumn id="7" xr3:uid="{4EE5EB45-9330-4B64-B7A3-C08F48938D41}" name="Powercor" dataDxfId="420" dataCellStyle="Internal link/lookup"/>
    <tableColumn id="8" xr3:uid="{99C9DEB0-D84E-402A-BBDC-1CDA9A808BD7}" name="United Energy" dataDxfId="419" dataCellStyle="Internal link/lookup"/>
  </tableColumns>
  <tableStyleInfo name="Default table"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814BBD54-9845-4747-B0FC-4306CC6FFD10}" name="Calc_EnviroSRES_2" displayName="Calc_EnviroSRES_2" ref="C485:K488" totalsRowShown="0" headerRowDxfId="418" headerRowBorderDxfId="417" tableBorderDxfId="416" headerRowCellStyle="Table col heading" dataCellStyle="Internal link/lookup">
  <tableColumns count="9">
    <tableColumn id="1" xr3:uid="{791A5626-6473-40AB-9ACB-89DB21A7706B}" name="Cost item" dataCellStyle="Table cell"/>
    <tableColumn id="2" xr3:uid="{5511F733-1BC6-4C83-BDCA-2DACD06711C1}" name="Fixed/Variable" dataCellStyle="Table cell"/>
    <tableColumn id="3" xr3:uid="{4BB6E085-34C6-4694-AFAC-02FEBC452056}" name="Unit" dataCellStyle="Table cell"/>
    <tableColumn id="9" xr3:uid="{23533F4A-2712-4732-89B5-7AA0D1A80ABF}" name="Customer type" dataCellStyle="Table cell"/>
    <tableColumn id="4" xr3:uid="{5C3D7028-D35B-4243-9BD5-803DE0C1F090}" name="Ausnet" dataDxfId="415" dataCellStyle="Internal link/lookup"/>
    <tableColumn id="5" xr3:uid="{2A46EF8F-490F-41DC-BB79-D94A9890A10A}" name="Citipower" dataDxfId="414" dataCellStyle="Internal link/lookup"/>
    <tableColumn id="6" xr3:uid="{9CEE5387-7B05-4CC5-82B7-0186B5B65A5A}" name="Jemena" dataDxfId="413" dataCellStyle="Internal link/lookup"/>
    <tableColumn id="7" xr3:uid="{81F3FABF-D50E-455F-9DE6-D4EE60D73723}" name="Powercor" dataDxfId="412" dataCellStyle="Internal link/lookup"/>
    <tableColumn id="8" xr3:uid="{B347FCC2-B745-42AC-8178-54348C53A812}" name="United Energy" dataDxfId="411" dataCellStyle="Internal link/lookup"/>
  </tableColumns>
  <tableStyleInfo name="Default table"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D51D2367-9227-4BB4-96FF-F19EC747EAA3}" name="Calc_FiT_2" displayName="Calc_FiT_2" ref="C491:K492" totalsRowShown="0" headerRowDxfId="410" headerRowBorderDxfId="409" tableBorderDxfId="408" totalsRowBorderDxfId="407" headerRowCellStyle="Table col heading" dataCellStyle="Table cell">
  <tableColumns count="9">
    <tableColumn id="1" xr3:uid="{87D3B033-452C-4EAA-8C49-35E3405C2143}" name="Cost item" dataDxfId="406" dataCellStyle="Table cell"/>
    <tableColumn id="2" xr3:uid="{88359BC3-F007-4EE1-9B81-A4C460102BB2}" name="Fixed/Variable" dataDxfId="405" dataCellStyle="Table cell"/>
    <tableColumn id="3" xr3:uid="{6626E15A-F702-4BE7-A73A-E6EA86DA6540}" name="Unit" dataDxfId="404" dataCellStyle="Table cell"/>
    <tableColumn id="9" xr3:uid="{375ED3D3-A6C3-4331-B4C7-7DB2F31B8B1F}" name="Customer type" dataDxfId="403" dataCellStyle="Table cell"/>
    <tableColumn id="4" xr3:uid="{36245F65-6230-4EA2-BF7F-0CC113135C97}" name="Ausnet" dataDxfId="402" dataCellStyle="Calculation">
      <calculatedColumnFormula array="1">IFERROR(
(IFERROR(INDEX(Calc_CPI_2[[CPI uplift factor]:[CPI uplift factor]],MATCH($C492,Calc_CPI_2[[Cost item]:[Cost item]],0),1),0)+
INDEX(Input_ForRateCalc[[F-CurrentVDO_InputDate]:[F-NextVDO_Input]],MATCH(Calc_FiT_2[[#This Row],[Cost item]:[Cost item]],Input_ForRateCalc[[Cost item]:[Cost item]],0),MATCH($D$251,Inputs!$H$8:$Q$8,0))),"-")</calculatedColumnFormula>
    </tableColumn>
    <tableColumn id="5" xr3:uid="{CA2D09F7-DE00-4523-8ABA-06C29613DAF0}" name="Citipower" dataDxfId="401" dataCellStyle="Calculation">
      <calculatedColumnFormula array="1">IFERROR(
(IFERROR(INDEX(Calc_CPI_2[[CPI uplift factor]:[CPI uplift factor]],MATCH($C492,Calc_CPI_2[[Cost item]:[Cost item]],0),1),0)+
INDEX(Input_ForRateCalc[[F-CurrentVDO_InputDate]:[F-NextVDO_Input]],MATCH(Calc_FiT_2[[#This Row],[Cost item]:[Cost item]],Input_ForRateCalc[[Cost item]:[Cost item]],0),MATCH($D$251,Inputs!$H$8:$Q$8,0))),"-")</calculatedColumnFormula>
    </tableColumn>
    <tableColumn id="6" xr3:uid="{2815AC9D-D500-4E33-A24F-57B0B3A74BA5}" name="Jemena" dataDxfId="400" dataCellStyle="Calculation">
      <calculatedColumnFormula array="1">IFERROR(
(IFERROR(INDEX(Calc_CPI_2[[CPI uplift factor]:[CPI uplift factor]],MATCH($C492,Calc_CPI_2[[Cost item]:[Cost item]],0),1),0)+
INDEX(Input_ForRateCalc[[F-CurrentVDO_InputDate]:[F-NextVDO_Input]],MATCH(Calc_FiT_2[[#This Row],[Cost item]:[Cost item]],Input_ForRateCalc[[Cost item]:[Cost item]],0),MATCH($D$251,Inputs!$H$8:$Q$8,0))),"-")</calculatedColumnFormula>
    </tableColumn>
    <tableColumn id="7" xr3:uid="{F06523DB-0763-4ABE-944B-6D5B8C4BAA9D}" name="Powercor" dataDxfId="399" dataCellStyle="Calculation">
      <calculatedColumnFormula array="1">IFERROR(
(IFERROR(INDEX(Calc_CPI_2[[CPI uplift factor]:[CPI uplift factor]],MATCH($C492,Calc_CPI_2[[Cost item]:[Cost item]],0),1),0)+
INDEX(Input_ForRateCalc[[F-CurrentVDO_InputDate]:[F-NextVDO_Input]],MATCH(Calc_FiT_2[[#This Row],[Cost item]:[Cost item]],Input_ForRateCalc[[Cost item]:[Cost item]],0),MATCH($D$251,Inputs!$H$8:$Q$8,0))),"-")</calculatedColumnFormula>
    </tableColumn>
    <tableColumn id="8" xr3:uid="{FE932EEE-12EB-40EF-9237-94951095FD12}" name="United Energy" dataDxfId="398" dataCellStyle="Calculation">
      <calculatedColumnFormula array="1">IFERROR(
(IFERROR(INDEX(Calc_CPI_2[[CPI uplift factor]:[CPI uplift factor]],MATCH($C492,Calc_CPI_2[[Cost item]:[Cost item]],0),1),0)+
INDEX(Input_ForRateCalc[[F-CurrentVDO_InputDate]:[F-NextVDO_Input]],MATCH(Calc_FiT_2[[#This Row],[Cost item]:[Cost item]],Input_ForRateCalc[[Cost item]:[Cost item]],0),MATCH($D$251,Inputs!$H$8:$Q$8,0))),"-")</calculatedColumnFormula>
    </tableColumn>
  </tableColumns>
  <tableStyleInfo name="Default table"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9CD68F95-F088-46C9-93E7-6B5656B787E5}" name="Calc_Fixed_2" displayName="Calc_Fixed_2" ref="C255:K259" totalsRowShown="0" headerRowDxfId="397" dataDxfId="395" headerRowBorderDxfId="396" tableBorderDxfId="394" totalsRowBorderDxfId="393" headerRowCellStyle="Table col heading" dataCellStyle="Calculation">
  <tableColumns count="9">
    <tableColumn id="1" xr3:uid="{6D433DCD-FDD1-461C-BE51-5F64B0028857}" name="Fixed costs" dataCellStyle="Table cell"/>
    <tableColumn id="2" xr3:uid="{ADD02781-6CE5-4079-841C-11C03E2E9665}" name="Fixed/Variable" dataCellStyle="Table cell"/>
    <tableColumn id="3" xr3:uid="{1A92D67E-B492-4C85-8E9E-B5B091B406F6}" name="Unit" dataCellStyle="Table cell"/>
    <tableColumn id="4" xr3:uid="{472EC734-2FCF-49D5-9742-7BF822185EDF}" name="Customer type" dataCellStyle="Table cell"/>
    <tableColumn id="5" xr3:uid="{D7EEA12E-6348-4F58-8BC0-7924D6482FE3}" name="Ausnet" dataDxfId="392" dataCellStyle="Calculation"/>
    <tableColumn id="6" xr3:uid="{6CBEE716-3155-4B4C-AF50-A4352518DBD3}" name="Citipower" dataDxfId="391" dataCellStyle="Calculation"/>
    <tableColumn id="7" xr3:uid="{F520C065-E9F5-4EDB-8DA0-EBF051D23BA5}" name="Jemena" dataDxfId="390" dataCellStyle="Calculation"/>
    <tableColumn id="8" xr3:uid="{D9BCCDE5-85BC-4D9C-9B03-D4A1BA943D08}" name="Powercor" dataDxfId="389" dataCellStyle="Calculation"/>
    <tableColumn id="9" xr3:uid="{7F674C9A-9F59-4BC3-B55A-1EF91EB24F45}" name="United Energy" dataDxfId="388" dataCellStyle="Calculation"/>
  </tableColumns>
  <tableStyleInfo name="Default table"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7C4114-DAEF-40E2-A897-DCCBA31E9DF7}" name="Calc_Variable_2" displayName="Calc_Variable_2" ref="C296:K302" totalsRowShown="0" headerRowDxfId="387" dataDxfId="385" headerRowBorderDxfId="386" tableBorderDxfId="384" totalsRowBorderDxfId="383" headerRowCellStyle="Table col heading" dataCellStyle="Calculation">
  <tableColumns count="9">
    <tableColumn id="1" xr3:uid="{E9428663-265E-4639-87C7-9F3BDBC5CB8E}" name="Variable costs" dataCellStyle="Table cell"/>
    <tableColumn id="2" xr3:uid="{4887F817-6E0C-4AC4-8D7F-575231CC1492}" name="Fixed/Variable" dataCellStyle="Table cell"/>
    <tableColumn id="3" xr3:uid="{A9B72F22-10DA-429E-8D83-86BB113D7F7D}" name="Unit" dataCellStyle="Table cell"/>
    <tableColumn id="4" xr3:uid="{25484AC1-7C71-4B3F-B0B2-22999836C216}" name="Customer type" dataCellStyle="Table cell"/>
    <tableColumn id="5" xr3:uid="{A6B6DA7D-C141-458D-B657-090C44FFD74B}" name="Ausnet" dataDxfId="382" dataCellStyle="Calculation">
      <calculatedColumnFormula>SUMIFS(Calc_NetworkV_1[Ausnet],Calc_NetworkV_1[[Cost item]:[Cost item]],$C297,Calc_NetworkV_1[[Customer type]:[Customer type]],$F297)</calculatedColumnFormula>
    </tableColumn>
    <tableColumn id="6" xr3:uid="{847207F5-00A7-4B3E-AEB3-B65DA23D2D91}" name="Citipower" dataDxfId="381" dataCellStyle="Calculation">
      <calculatedColumnFormula>SUMIFS(Calc_NetworkV_1[Citipower],Calc_NetworkV_1[[Cost item]:[Cost item]],$C297,Calc_NetworkV_1[[Customer type]:[Customer type]],$F297)</calculatedColumnFormula>
    </tableColumn>
    <tableColumn id="7" xr3:uid="{0C1FD2BC-AE5F-4E00-AC3A-28398FA94E09}" name="Jemena" dataDxfId="380" dataCellStyle="Calculation">
      <calculatedColumnFormula>SUMIFS(Calc_NetworkV_1[Jemena],Calc_NetworkV_1[[Cost item]:[Cost item]],$C297,Calc_NetworkV_1[[Customer type]:[Customer type]],$F297)</calculatedColumnFormula>
    </tableColumn>
    <tableColumn id="8" xr3:uid="{E174452F-B3A9-4A57-BB2E-7C173F27A50E}" name="Powercor" dataDxfId="379" dataCellStyle="Calculation">
      <calculatedColumnFormula>SUMIFS(Calc_NetworkV_1[Powercor],Calc_NetworkV_1[[Cost item]:[Cost item]],$C297,Calc_NetworkV_1[[Customer type]:[Customer type]],$F297)</calculatedColumnFormula>
    </tableColumn>
    <tableColumn id="9" xr3:uid="{141CD577-64AA-4FBA-A116-0412EB02F72E}" name="United Energy" dataDxfId="378" dataCellStyle="Calculation">
      <calculatedColumnFormula>SUMIFS(Calc_NetworkV_1[United Energy],Calc_NetworkV_1[[Cost item]:[Cost item]],$C297,Calc_NetworkV_1[[Customer type]:[Customer type]],$F297)</calculatedColumnFormula>
    </tableColumn>
  </tableColumns>
  <tableStyleInfo name="Default table"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ED4BA07-FFEF-46D7-8C6B-485F53BD797C}" name="Calc_TUV_Env_1" displayName="Calc_TUV_Env_1" ref="C15:O57" totalsRowShown="0" headerRowDxfId="377" headerRowBorderDxfId="376" tableBorderDxfId="375" headerRowCellStyle="Table col heading" dataCellStyle="Table cell">
  <tableColumns count="13">
    <tableColumn id="1" xr3:uid="{9A3E1522-EF60-458C-A033-8259CC991250}" name="Cost item" dataCellStyle="Table cell"/>
    <tableColumn id="3" xr3:uid="{AA6A5485-9931-42FB-A21B-7887DFCCA014}" name="VDO decision" dataCellStyle="Table cell"/>
    <tableColumn id="11" xr3:uid="{63469E02-A8E6-4904-A4D1-AA605090A9A1}" name="Decision/Actual" dataCellStyle="Table cell"/>
    <tableColumn id="13" xr3:uid="{6A4C01CA-5362-400A-B621-C790E4ECD057}" name="Decision ref" dataCellStyle="Table cell"/>
    <tableColumn id="4" xr3:uid="{8ABEC6A4-07CC-490E-98FE-DD358CAF5DEF}" name="Pass through (Yes/No)" dataCellStyle="Table cell"/>
    <tableColumn id="12" xr3:uid="{9AA432CC-A2AE-4FBD-93D9-8298E3AA8C5C}" name="Fixed/Variable" dataCellStyle="Table cell"/>
    <tableColumn id="2" xr3:uid="{83818C8B-F883-42B7-993F-A248AF1DD74B}" name="Unit" dataCellStyle="Table cell"/>
    <tableColumn id="5" xr3:uid="{768912C1-1664-4D27-8D20-D52821CA2B28}" name="Customer type" dataCellStyle="Table cell"/>
    <tableColumn id="6" xr3:uid="{04DDD5E9-508C-40C4-947C-1D357D975B8B}" name="Ausnet" dataDxfId="374" dataCellStyle="Table cell"/>
    <tableColumn id="7" xr3:uid="{CD0C679D-D835-4294-85E9-654B7B6E8BE3}" name="Citipower" dataDxfId="373" dataCellStyle="Table cell"/>
    <tableColumn id="8" xr3:uid="{02ABE665-7668-45F8-AD39-37CF4EF95002}" name="Jemena" dataDxfId="372" dataCellStyle="Table cell"/>
    <tableColumn id="9" xr3:uid="{79A5E329-7BA6-4A9F-8AC8-3B57AFA0DAD3}" name="Powercor" dataDxfId="371" dataCellStyle="Table cell"/>
    <tableColumn id="10" xr3:uid="{1C09CFC8-36A6-407C-B07B-AAF64193F92A}" name="United Energy" dataDxfId="370" dataCellStyle="Table cell"/>
  </tableColumns>
  <tableStyleInfo name="Default table"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2BD8368D-D2AA-4ABB-80C1-FE62922A7BBF}" name="Calc_TUV_Env_2" displayName="Calc_TUV_Env_2" ref="C247:O289" totalsRowShown="0" headerRowDxfId="369" headerRowBorderDxfId="368" tableBorderDxfId="367" headerRowCellStyle="Table col heading" dataCellStyle="Table cell">
  <tableColumns count="13">
    <tableColumn id="1" xr3:uid="{DEAB59F0-3313-48E1-848D-A0C5FC8C4A7D}" name="Cost item" dataCellStyle="Table cell"/>
    <tableColumn id="11" xr3:uid="{07468E5A-1C05-4869-8028-31B5FD6FE643}" name="VDO decision" dataCellStyle="Table cell"/>
    <tableColumn id="12" xr3:uid="{E0CA252D-08A0-47E0-AE7D-A94CDBF23AEB}" name="Decision/Actual" dataCellStyle="Table cell"/>
    <tableColumn id="13" xr3:uid="{8E626171-48B0-4F76-8FBA-CD121EEF8146}" name="Decision ref" dataCellStyle="Table cell"/>
    <tableColumn id="4" xr3:uid="{90758148-81F3-46AE-977E-3B565EE1655E}" name="Pass through (Yes/No)" dataCellStyle="Table cell"/>
    <tableColumn id="3" xr3:uid="{F3E9F982-5696-4FC0-9018-6739485A8E32}" name="Fixed/Variable" dataCellStyle="Table cell"/>
    <tableColumn id="2" xr3:uid="{E2711737-C5E5-4DFE-B4D7-6C39AB9F3BBA}" name="Unit" dataCellStyle="Table cell"/>
    <tableColumn id="5" xr3:uid="{F1CEFF4A-CFB0-4FB8-B8F7-00ACC7559123}" name="Customer type" dataCellStyle="Table cell"/>
    <tableColumn id="6" xr3:uid="{19C836A4-81F0-4E02-8F62-124FF79FB078}" name="Ausnet" dataDxfId="366" dataCellStyle="Table cell"/>
    <tableColumn id="7" xr3:uid="{AEE24C25-A8BC-420E-B521-18899E5AA37E}" name="Citipower" dataDxfId="365" dataCellStyle="Table cell"/>
    <tableColumn id="8" xr3:uid="{AEB8CFC9-76A8-427E-A724-08B3A335C7AF}" name="Jemena" dataDxfId="364" dataCellStyle="Table cell"/>
    <tableColumn id="9" xr3:uid="{96BC78E1-488C-466C-AC22-9843F217394B}" name="Powercor" dataDxfId="363" dataCellStyle="Table cell"/>
    <tableColumn id="10" xr3:uid="{745E68ED-8623-427C-AE81-7FDF8DAA9F5A}" name="United Energy" dataDxfId="362" dataCellStyle="Table cell"/>
  </tableColumns>
  <tableStyleInfo name="Default table"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6B3887C2-F913-4ADF-BCE5-B4DB6FECDE42}" name="Calc_TUV_Net_1" displayName="Calc_TUV_Net_1" ref="C103:O230" totalsRowShown="0" headerRowDxfId="361" headerRowBorderDxfId="360" tableBorderDxfId="359" headerRowCellStyle="Table col heading" dataCellStyle="Table cell">
  <tableColumns count="13">
    <tableColumn id="1" xr3:uid="{C8BD7E1E-1DD8-46D7-A978-1371F62E5C22}" name="Cost item" dataCellStyle="Table cell"/>
    <tableColumn id="3" xr3:uid="{BB851345-3385-4E9C-BBF0-1BB75D6986E3}" name="VDO decision" dataCellStyle="Table cell"/>
    <tableColumn id="11" xr3:uid="{2B5E42B7-64E5-4CF9-903A-7E0F07472F89}" name="Decision/Actual" dataDxfId="358" dataCellStyle="Table cell"/>
    <tableColumn id="13" xr3:uid="{97AFA7C6-4729-480D-A539-A29F6733B180}" name="Decision ref" dataDxfId="357" dataCellStyle="Table cell"/>
    <tableColumn id="4" xr3:uid="{6C80B2D3-AB24-44F7-9DCD-E09360E88A84}" name="Pass through (Yes/No)" dataCellStyle="Table cell"/>
    <tableColumn id="12" xr3:uid="{FAF72939-7F43-4CA3-84B9-7001023E887A}" name="Fixed/Variable" dataCellStyle="Table cell"/>
    <tableColumn id="2" xr3:uid="{2B3E2C74-E92B-4B9B-BB93-24F7CEA69A4D}" name="Unit" dataCellStyle="Table cell"/>
    <tableColumn id="5" xr3:uid="{4C99CA6A-B8ED-4428-9001-5AF3B5520E55}" name="Customer type" dataCellStyle="Table cell"/>
    <tableColumn id="6" xr3:uid="{CF828979-524A-4DF9-B9B9-A6566CC50F44}" name="Ausnet" dataDxfId="356" dataCellStyle="Table cell">
      <calculatedColumnFormula>INDEX(Input_ForRateCalc[],MATCH($C104&amp;" - "&amp;K$103,Input_ForRateCalc[Cost item],0),MATCH(#REF!,Inputs!$C$8:$Q$8,0))</calculatedColumnFormula>
    </tableColumn>
    <tableColumn id="7" xr3:uid="{E72609C9-3164-4E3F-A82E-30ED89F2C915}" name="Citipower" dataDxfId="355" dataCellStyle="Table cell"/>
    <tableColumn id="8" xr3:uid="{ACFA6199-47C9-4850-BA0D-492483CB2DEB}" name="Jemena" dataDxfId="354" dataCellStyle="Table cell"/>
    <tableColumn id="9" xr3:uid="{0CCEDAC3-4F03-43F7-BBA9-1A2EBDE5BE72}" name="Powercor" dataDxfId="353" dataCellStyle="Table cell"/>
    <tableColumn id="10" xr3:uid="{AAB1F354-BEAF-414F-BA5C-28182E45CA95}" name="United Energy" dataDxfId="352" dataCellStyle="Table cell"/>
  </tableColumns>
  <tableStyleInfo name="Default table"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F98EC66F-AA68-4EDB-80C0-49E40603808F}" name="Calc_TUV_Net_2" displayName="Calc_TUV_Net_2" ref="C336:O463" totalsRowShown="0" headerRowDxfId="351" headerRowBorderDxfId="350" tableBorderDxfId="349" headerRowCellStyle="Table col heading" dataCellStyle="Table cell">
  <tableColumns count="13">
    <tableColumn id="1" xr3:uid="{802AF59F-8604-4B66-B903-49ADFE4E3CCF}" name="Cost item" dataCellStyle="Table cell"/>
    <tableColumn id="3" xr3:uid="{8EB27DDD-18AE-433F-A5B3-E76F9D20AD45}" name="VDO decision" dataCellStyle="Table cell"/>
    <tableColumn id="11" xr3:uid="{054988D7-4073-41D7-B3ED-090DF14BF35A}" name="Decision/Actual" dataDxfId="348" dataCellStyle="Table cell"/>
    <tableColumn id="13" xr3:uid="{BA0352E2-EB7C-493C-8993-65E9EE06C836}" name="Decision ref" dataDxfId="347" dataCellStyle="Table cell"/>
    <tableColumn id="4" xr3:uid="{B8CE70A9-6CC9-4624-8AEC-7C8BCC92192C}" name="Pass through (Yes/No)" dataCellStyle="Table cell"/>
    <tableColumn id="12" xr3:uid="{FEDE33B8-16DB-4276-A069-90785447428F}" name="Fixed/Variable" dataCellStyle="Table cell"/>
    <tableColumn id="2" xr3:uid="{ACF285C0-BF63-4F73-AB4F-234265ED90CC}" name="Unit" dataCellStyle="Table cell"/>
    <tableColumn id="5" xr3:uid="{ADAC2617-D3E7-4BB8-A4F4-61EC5A4F109C}" name="Customer type" dataCellStyle="Table cell"/>
    <tableColumn id="6" xr3:uid="{DA662F0E-03DC-4EB7-A888-9EACD0EA6005}" name="Ausnet" dataDxfId="346" dataCellStyle="Table cell">
      <calculatedColumnFormula>INDEX(Input_ForRateCalc[],MATCH($C337&amp;" - "&amp;K$103,Input_ForRateCalc[Cost item],0),MATCH(#REF!,Inputs!$C$8:$Q$8,0))</calculatedColumnFormula>
    </tableColumn>
    <tableColumn id="7" xr3:uid="{7DB7A116-3678-474F-83C5-D1168C6C71C3}" name="Citipower" dataDxfId="345" dataCellStyle="Table cell"/>
    <tableColumn id="8" xr3:uid="{B5696C6B-ABCE-4541-B404-66A016EC8947}" name="Jemena" dataDxfId="344" dataCellStyle="Table cell"/>
    <tableColumn id="9" xr3:uid="{D039B53D-61BC-47A9-9CFB-2D46DD3B9A03}" name="Powercor" dataDxfId="343" dataCellStyle="Table cell"/>
    <tableColumn id="10" xr3:uid="{EF8C0228-0A1F-40C9-B385-AB92F6CA0C3C}" name="United Energy" dataDxfId="342" dataCellStyle="Table cell"/>
  </tableColumns>
  <tableStyleInfo name="Default table"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2D055C5D-D1CA-45B7-8D3A-DEFFFED99BA7}" name="TUNet_Usage_Actual_2" displayName="TUNet_Usage_Actual_2" ref="C317:F324" totalsRowShown="0" headerRowDxfId="341" headerRowBorderDxfId="340" tableBorderDxfId="339" totalsRowBorderDxfId="338" headerRowCellStyle="Table col heading">
  <tableColumns count="4">
    <tableColumn id="1" xr3:uid="{28874C8A-C156-40BF-A055-DDB875FFA0D4}" name="Description"/>
    <tableColumn id="4" xr3:uid="{1B4BDA76-AE03-4FF7-9CFC-38F17C7DF6E4}" name="VDO decision"/>
    <tableColumn id="2" xr3:uid="{17A7A0D3-28A8-4CE6-936E-F72D83CD961B}" name="Customer type" dataDxfId="337" dataCellStyle="Table cell"/>
    <tableColumn id="3" xr3:uid="{7E3A8B2D-4674-4822-AF6C-48930867276F}" name="Value" dataDxfId="336" dataCellStyle="Table cell"/>
  </tableColumns>
  <tableStyleInfo name="Default table"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5D4EB641-0DAC-4188-BFB1-262EBF68F214}" name="TUNet_Usage_Actual_1" displayName="TUNet_Usage_Actual_1" ref="C84:F91" totalsRowShown="0" headerRowDxfId="335" headerRowBorderDxfId="334" tableBorderDxfId="333" totalsRowBorderDxfId="332" headerRowCellStyle="Table col heading">
  <tableColumns count="4">
    <tableColumn id="1" xr3:uid="{DF878388-1FA3-415B-AEDD-161C1919B838}" name="Description"/>
    <tableColumn id="4" xr3:uid="{84EADD7B-F51E-412C-8E94-AC0CBC19B57F}" name="VDO decision" dataDxfId="331" dataCellStyle="Auto-populated">
      <calculatedColumnFormula>INDEX(Inputs!$H$10:$Q$10,1,MATCH($D$5,Inputs!$H$8:$Q$8,0))</calculatedColumnFormula>
    </tableColumn>
    <tableColumn id="2" xr3:uid="{425C28FB-44A3-4B7F-9A78-0A22116B43DA}" name="Customer type" dataDxfId="330" dataCellStyle="Table cell"/>
    <tableColumn id="3" xr3:uid="{E37F2044-12A9-4467-A63A-24B0657C5167}" name="Value" dataDxfId="329" dataCellStyle="Table cell"/>
  </tableColumns>
  <tableStyleInfo name="Default table"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F45BCF77-CD47-4788-AE60-2582F6BED31B}" name="TUNet_Usage_PerRate_2" displayName="TUNet_Usage_PerRate_2" ref="C327:J333" totalsRowShown="0" headerRowDxfId="328" dataDxfId="326" headerRowBorderDxfId="327" tableBorderDxfId="325" headerRowCellStyle="Table col heading" dataCellStyle="Table cell">
  <tableColumns count="8">
    <tableColumn id="1" xr3:uid="{E8C7C3E9-1B26-46E0-A663-1DE39AE4D2C0}" name="Description" dataDxfId="324" dataCellStyle="Table cell"/>
    <tableColumn id="2" xr3:uid="{DF74788D-B1C9-4A01-B1A6-5EAF60A5F171}" name="VDO decision" dataDxfId="323" dataCellStyle="Auto-populated">
      <calculatedColumnFormula>INDEX(Inputs!$H$10:$Q$10,1,MATCH($D$235,Inputs!$H$8:$Q$8,0))</calculatedColumnFormula>
    </tableColumn>
    <tableColumn id="3" xr3:uid="{83EEC5EB-CF34-4F33-8180-0BEEF7880743}" name="Customer type" dataDxfId="322" dataCellStyle="Table cell"/>
    <tableColumn id="4" xr3:uid="{C1263D2C-8A88-4BC9-BAA1-B9848AFA365B}" name="Ausnet" dataDxfId="321" dataCellStyle="Table cell"/>
    <tableColumn id="5" xr3:uid="{3CF3B8DA-29D3-4ECD-9F95-B43381124E67}" name="Citipower" dataDxfId="320" dataCellStyle="Table cell"/>
    <tableColumn id="6" xr3:uid="{8443C700-E09C-4871-8A19-F1CF5F7F18C5}" name="Jemena" dataDxfId="319" dataCellStyle="Table cell"/>
    <tableColumn id="7" xr3:uid="{C0C7F693-766A-44F0-9355-01AF25816965}" name="Powercor" dataDxfId="318" dataCellStyle="Table cell"/>
    <tableColumn id="8" xr3:uid="{164E8A61-7E00-4646-A499-3A3CF12C6416}" name="United Energy" dataDxfId="317" dataCellStyle="Table cell"/>
  </tableColumns>
  <tableStyleInfo name="Default table"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290D667-A4D7-4671-9874-2284EC2678F4}" name="TUNet_Usage_PerRate_1" displayName="TUNet_Usage_PerRate_1" ref="C94:J100" totalsRowShown="0" headerRowDxfId="316" dataDxfId="314" headerRowBorderDxfId="315" tableBorderDxfId="313" headerRowCellStyle="Table col heading" dataCellStyle="Table cell">
  <tableColumns count="8">
    <tableColumn id="1" xr3:uid="{6A8EE9E9-FD7F-4BAE-9667-4BEE14FBF643}" name="Description" dataDxfId="312" dataCellStyle="Table cell"/>
    <tableColumn id="2" xr3:uid="{71F24345-BDE3-4B02-B60B-052DAE341DAA}" name="VDO decision" dataDxfId="311" dataCellStyle="Auto-populated">
      <calculatedColumnFormula>INDEX(Inputs!$H$10:$Q$10,1,MATCH($D$5,Inputs!$H$8:$Q$8,0))</calculatedColumnFormula>
    </tableColumn>
    <tableColumn id="3" xr3:uid="{2DE31F73-71D0-4149-8C55-8C6CB0899630}" name="Customer type" dataDxfId="310" dataCellStyle="Table cell"/>
    <tableColumn id="4" xr3:uid="{559B296F-1ED7-477A-9A22-F41F2956040E}" name="Ausnet" dataDxfId="309" dataCellStyle="Table cell"/>
    <tableColumn id="5" xr3:uid="{9E6DF55C-DF9C-470F-87BB-1DE64F2879D3}" name="Citipower" dataDxfId="308" dataCellStyle="Table cell"/>
    <tableColumn id="6" xr3:uid="{DEB90EB0-CBB8-48EC-ACA0-948C53D65573}" name="Jemena" dataDxfId="307" dataCellStyle="Table cell"/>
    <tableColumn id="7" xr3:uid="{BCB28824-5A3E-47B5-B8F4-1BDD7B8F06D3}" name="Powercor" dataDxfId="306" dataCellStyle="Table cell"/>
    <tableColumn id="8" xr3:uid="{08441778-95AA-43DA-B706-B90571C5C6CA}" name="United Energy" dataDxfId="305" dataCellStyle="Table cell"/>
  </tableColumns>
  <tableStyleInfo name="Default table"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4D2CFF59-1E5D-4A47-96A5-64C9EA3C528A}" name="Calc_TUV_NetGroup_1" displayName="Calc_TUV_NetGroup_1" ref="C10:L19" totalsRowShown="0" headerRowDxfId="304" headerRowBorderDxfId="303" tableBorderDxfId="302" totalsRowBorderDxfId="301" headerRowCellStyle="Table col heading" dataCellStyle="Table cell">
  <tableColumns count="10">
    <tableColumn id="1" xr3:uid="{8EF54E5A-D91D-4298-89FD-EFC67CFE0DD4}" name="Cost item" dataCellStyle="Table cell"/>
    <tableColumn id="2" xr3:uid="{84190791-6BFC-4A79-B93B-C4866579D043}" name="Fixed/Variable" dataCellStyle="Table cell"/>
    <tableColumn id="3" xr3:uid="{769CC324-A856-4800-B91F-1A2F23BCF882}" name="Unit" dataDxfId="300" dataCellStyle="Table cell"/>
    <tableColumn id="4" xr3:uid="{0869432B-AD12-48DC-AA94-60F2AF283928}" name="Customer type" dataCellStyle="Table cell"/>
    <tableColumn id="10" xr3:uid="{2D9A4D99-6B97-45E1-BFC0-B4B5F1A63637}" name="Cost element" dataCellStyle="Table cell"/>
    <tableColumn id="5" xr3:uid="{633ADCA7-E47D-4FBF-B95A-08C92B09A782}" name="Ausnet" dataCellStyle="Table cell">
      <calculatedColumnFormula array="1">IFERROR(SUMIFS(INDEX(Calc_TUV_Net_1[[Ausnet]:[United Energy]],0,MATCH(Calc_TUV_NetGroup_1[[#Headers],[Ausnet]],Calc_TUV_Net_1[[#Headers],[Ausnet]:[United Energy]],0)),
Calc_TUV_Net_1[Cost item],Calc_TUV_NetGroup_1[[#This Row],[Cost item]]&amp;" cost true up",
Calc_TUV_Net_1[Customer type],Calc_TUV_NetGroup_1[[#This Row],[Customer type]]),"-")</calculatedColumnFormula>
    </tableColumn>
    <tableColumn id="6" xr3:uid="{F041680C-4CA3-4784-93F1-6F2393CEA3D1}" name="Citipower" dataCellStyle="Table cell">
      <calculatedColumnFormula array="1">IFERROR(SUMIFS(INDEX(Calc_TUV_Net_1[[Ausnet]:[United Energy]],0,MATCH(Calc_TUV_NetGroup_1[[#Headers],[Citipower]],Calc_TUV_Net_1[[#Headers],[Ausnet]:[United Energy]],0)),
Calc_TUV_Net_1[Cost item],Calc_TUV_NetGroup_1[[#This Row],[Cost item]]&amp;" cost true up",
Calc_TUV_Net_1[Customer type],Calc_TUV_NetGroup_1[[#This Row],[Customer type]]),"-")</calculatedColumnFormula>
    </tableColumn>
    <tableColumn id="7" xr3:uid="{EAEA72E6-8228-47AC-A1B7-9E9AD032E3C2}" name="Jemena" dataCellStyle="Table cell">
      <calculatedColumnFormula array="1">IFERROR(SUMIFS(INDEX(Calc_TUV_Net_1[[Ausnet]:[United Energy]],0,MATCH(Calc_TUV_NetGroup_1[[#Headers],[Jemena]],Calc_TUV_Net_1[[#Headers],[Ausnet]:[United Energy]],0)),
Calc_TUV_Net_1[Cost item],Calc_TUV_NetGroup_1[[#This Row],[Cost item]]&amp;" cost true up",
Calc_TUV_Net_1[Customer type],Calc_TUV_NetGroup_1[[#This Row],[Customer type]]),"-")</calculatedColumnFormula>
    </tableColumn>
    <tableColumn id="8" xr3:uid="{4375E2F2-823F-43AA-9CF8-D2D45DCDED3C}" name="Powercor" dataCellStyle="Table cell">
      <calculatedColumnFormula array="1">IFERROR(SUMIFS(INDEX(Calc_TUV_Net_1[[Ausnet]:[United Energy]],0,MATCH(Calc_TUV_NetGroup_1[[#Headers],[Powercor]],Calc_TUV_Net_1[[#Headers],[Ausnet]:[United Energy]],0)),
Calc_TUV_Net_1[Cost item],Calc_TUV_NetGroup_1[[#This Row],[Cost item]]&amp;" cost true up",
Calc_TUV_Net_1[Customer type],Calc_TUV_NetGroup_1[[#This Row],[Customer type]]),"-")</calculatedColumnFormula>
    </tableColumn>
    <tableColumn id="9" xr3:uid="{CEE57B37-3775-45C1-98C7-DD7F7D8E2BA0}" name="United Energy" dataDxfId="299" dataCellStyle="Internal link/lookup">
      <calculatedColumnFormula array="1">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calculatedColumnFormula>
    </tableColumn>
  </tableColumns>
  <tableStyleInfo name="Default table"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A1D5CE5C-A7FD-4197-8202-4CC5CB5898FF}" name="Calc_TUR_Net_1" displayName="Calc_TUR_Net_1" ref="C27:L31" totalsRowShown="0" headerRowDxfId="298" headerRowBorderDxfId="297" tableBorderDxfId="296" totalsRowBorderDxfId="295" headerRowCellStyle="Table col heading" dataCellStyle="Table cell">
  <tableColumns count="10">
    <tableColumn id="1" xr3:uid="{96F69DDD-7037-4C9B-A249-9FA4BE31F052}" name="Rate type" dataCellStyle="Table cell"/>
    <tableColumn id="2" xr3:uid="{51C955C3-5452-4093-B916-4551E0C3E040}" name="Fixed/Variable" dataCellStyle="Table cell"/>
    <tableColumn id="3" xr3:uid="{E1277D1F-56B0-47A1-9F4F-B169635AF99E}" name="Unit" dataDxfId="294" dataCellStyle="Table cell"/>
    <tableColumn id="4" xr3:uid="{3E7740D7-E476-4509-87CD-7D23F9E3747F}" name="Customer type" dataCellStyle="Table cell"/>
    <tableColumn id="10" xr3:uid="{15876CB1-BDA5-40C1-AC3B-33A0F20AAC93}" name="Cost element" dataCellStyle="Table cell"/>
    <tableColumn id="5" xr3:uid="{7F803B0D-7C22-4C4A-9B48-AA4986ED7D5F}" name="Ausnet" dataDxfId="293" dataCellStyle="Table cell">
      <calculatedColumnFormula array="1">IFERROR(
(SUMIFS(Calc_TUV_NetGroup_1[Ausnet],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SUMIFS(Calc_TUV_NetGroup_1[Ausnet],
Calc_TUV_NetGroup_1[[Cost item]:[Cost item]],Calc_TUR_Net_1[[#This Row],[Rate type]:[Rate type]]&amp;" - usage",
Calc_TUV_NetGroup_1[[Customer type]:[Customer type]],Calc_TUR_Net_1[[#This Row],[Customer type]:[Customer type]],
Calc_TUV_NetGroup_1[[Cost element]:[Cost element]],Calc_TUR_Net_1[[#This Row],[Cost element]:[Cost element]]))
/$E$24,"-")</calculatedColumnFormula>
    </tableColumn>
    <tableColumn id="6" xr3:uid="{AA7550F8-9E8A-49A7-9D44-4F718B588574}" name="Citipower" dataCellStyle="Table cell">
      <calculatedColumnFormula array="1">IFERROR(
(SUMIFS(Calc_TUV_NetGroup_1[Citipower],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SUMIFS(Calc_TUV_NetGroup_1[Citipower],
Calc_TUV_NetGroup_1[[Cost item]:[Cost item]],Calc_TUR_Net_1[[#This Row],[Rate type]:[Rate type]]&amp;" - usage",
Calc_TUV_NetGroup_1[[Customer type]:[Customer type]],Calc_TUR_Net_1[[#This Row],[Customer type]:[Customer type]],
Calc_TUV_NetGroup_1[[Cost element]:[Cost element]],Calc_TUR_Net_1[[#This Row],[Cost element]:[Cost element]]))
/$E$24,"-")</calculatedColumnFormula>
    </tableColumn>
    <tableColumn id="7" xr3:uid="{39C8AE9E-CD64-486E-A690-2982460B8CBA}" name="Jemena" dataCellStyle="Table cell">
      <calculatedColumnFormula array="1">IFERROR(
(SUMIFS(Calc_TUV_NetGroup_1[Jemena],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SUMIFS(Calc_TUV_NetGroup_1[Jemena],
Calc_TUV_NetGroup_1[[Cost item]:[Cost item]],Calc_TUR_Net_1[[#This Row],[Rate type]:[Rate type]]&amp;" - usage",
Calc_TUV_NetGroup_1[[Customer type]:[Customer type]],Calc_TUR_Net_1[[#This Row],[Customer type]:[Customer type]],
Calc_TUV_NetGroup_1[[Cost element]:[Cost element]],Calc_TUR_Net_1[[#This Row],[Cost element]:[Cost element]]))
/$E$24,"-")</calculatedColumnFormula>
    </tableColumn>
    <tableColumn id="8" xr3:uid="{F9ECED3E-FBA7-4474-85E3-046AD064484D}" name="Powercor" dataCellStyle="Table cell">
      <calculatedColumnFormula array="1">IFERROR(
(SUMIFS(Calc_TUV_NetGroup_1[Powercor],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SUMIFS(Calc_TUV_NetGroup_1[Powercor],
Calc_TUV_NetGroup_1[[Cost item]:[Cost item]],Calc_TUR_Net_1[[#This Row],[Rate type]:[Rate type]]&amp;" - usage",
Calc_TUV_NetGroup_1[[Customer type]:[Customer type]],Calc_TUR_Net_1[[#This Row],[Customer type]:[Customer type]],
Calc_TUV_NetGroup_1[[Cost element]:[Cost element]],Calc_TUR_Net_1[[#This Row],[Cost element]:[Cost element]]))
/$E$24,"-")</calculatedColumnFormula>
    </tableColumn>
    <tableColumn id="9" xr3:uid="{3F3EEF4C-7BBA-4E7C-BF35-6557F7A4646C}" name="United Energy" dataCellStyle="Table cell">
      <calculatedColumnFormula array="1">IFERROR(
(SUMIFS(Calc_TUV_NetGroup_1[United Energy],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SUMIFS(Calc_TUV_NetGroup_1[United Energy],
Calc_TUV_NetGroup_1[[Cost item]:[Cost item]],Calc_TUR_Net_1[[#This Row],[Rate type]:[Rate type]]&amp;" - usage",
Calc_TUV_NetGroup_1[[Customer type]:[Customer type]],Calc_TUR_Net_1[[#This Row],[Customer type]:[Customer type]],
Calc_TUV_NetGroup_1[[Cost element]:[Cost element]],Calc_TUR_Net_1[[#This Row],[Cost element]:[Cost element]]))
/$E$24,"-")</calculatedColumnFormula>
    </tableColumn>
  </tableColumns>
  <tableStyleInfo name="Default table"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FF52C258-3781-49C1-93FF-ED4580772ABC}" name="Calc_TUV_NetGroup_2" displayName="Calc_TUV_NetGroup_2" ref="C140:L149" totalsRowShown="0" headerRowDxfId="292" headerRowBorderDxfId="291" tableBorderDxfId="290" totalsRowBorderDxfId="289" headerRowCellStyle="Table col heading" dataCellStyle="Table cell">
  <tableColumns count="10">
    <tableColumn id="1" xr3:uid="{96D57AE1-EAFB-4AE0-9A16-5641BF28AB88}" name="Cost item" dataCellStyle="Table cell"/>
    <tableColumn id="2" xr3:uid="{45E5DC47-42D8-4C19-A53B-34F01C430921}" name="Fixed/Variable" dataCellStyle="Table cell"/>
    <tableColumn id="3" xr3:uid="{8A839F41-6127-4498-BB74-2A33BD70C444}" name="Unit" dataDxfId="288" dataCellStyle="Table cell"/>
    <tableColumn id="4" xr3:uid="{4AA6621C-AD01-4FA5-A52D-3B9C375567E2}" name="Customer type" dataCellStyle="Table cell"/>
    <tableColumn id="10" xr3:uid="{895BEAC1-AD7F-4A6E-97EF-2E1519C868CA}" name="Cost element" dataCellStyle="Table cell"/>
    <tableColumn id="5" xr3:uid="{74F5D4C2-2436-4C64-B88E-48412B7FA8CF}" name="Ausnet" dataDxfId="287" dataCellStyle="Internal link/lookup">
      <calculatedColumnFormula array="1">IFERROR(SUMIFS(INDEX(Calc_TUV_Net_2[[Ausnet]:[United Energy]],0,MATCH(Calc_TUV_NetGroup_2[[#Headers],[Ausnet]],Calc_TUV_Net_2[[#Headers],[Ausnet]:[United Energy]],0)),
Calc_TUV_Net_2[Cost item],Calc_TUV_NetGroup_2[[#This Row],[Cost item]]&amp;" cost true up",
Calc_TUV_Net_2[Customer type],Calc_TUV_NetGroup_2[[#This Row],[Customer type]]),"-")</calculatedColumnFormula>
    </tableColumn>
    <tableColumn id="6" xr3:uid="{74FFEFDF-9C46-4F0B-8874-6F37BD69D5B7}" name="Citipower" dataCellStyle="Table cell">
      <calculatedColumnFormula array="1">IFERROR(SUMIFS(INDEX(Calc_TUV_Net_2[[Ausnet]:[United Energy]],0,MATCH(Calc_TUV_NetGroup_2[[#Headers],[Citipower]],Calc_TUV_Net_2[[#Headers],[Ausnet]:[United Energy]],0)),
Calc_TUV_Net_2[Cost item],Calc_TUV_NetGroup_2[[#This Row],[Cost item]]&amp;" cost true up",
Calc_TUV_Net_2[Customer type],Calc_TUV_NetGroup_2[[#This Row],[Customer type]]),"-")</calculatedColumnFormula>
    </tableColumn>
    <tableColumn id="7" xr3:uid="{0FDAD0C1-BE4E-41E2-BF53-BA901AB1B2F3}" name="Jemena" dataCellStyle="Table cell">
      <calculatedColumnFormula array="1">IFERROR(SUMIFS(INDEX(Calc_TUV_Net_2[[Ausnet]:[United Energy]],0,MATCH(Calc_TUV_NetGroup_2[[#Headers],[Jemena]],Calc_TUV_Net_2[[#Headers],[Ausnet]:[United Energy]],0)),
Calc_TUV_Net_2[Cost item],Calc_TUV_NetGroup_2[[#This Row],[Cost item]]&amp;" cost true up",
Calc_TUV_Net_2[Customer type],Calc_TUV_NetGroup_2[[#This Row],[Customer type]]),"-")</calculatedColumnFormula>
    </tableColumn>
    <tableColumn id="8" xr3:uid="{B1FD8009-9B3A-4206-977D-C65BF274EDE2}" name="Powercor" dataCellStyle="Table cell">
      <calculatedColumnFormula array="1">IFERROR(SUMIFS(INDEX(Calc_TUV_Net_2[[Ausnet]:[United Energy]],0,MATCH(Calc_TUV_NetGroup_2[[#Headers],[Powercor]],Calc_TUV_Net_2[[#Headers],[Ausnet]:[United Energy]],0)),
Calc_TUV_Net_2[Cost item],Calc_TUV_NetGroup_2[[#This Row],[Cost item]]&amp;" cost true up",
Calc_TUV_Net_2[Customer type],Calc_TUV_NetGroup_2[[#This Row],[Customer type]]),"-")</calculatedColumnFormula>
    </tableColumn>
    <tableColumn id="9" xr3:uid="{72761EAB-764C-4B07-AEDE-D8BF0E5F5B5C}" name="United Energy" dataCellStyle="Table cell">
      <calculatedColumnFormula array="1">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calculatedColumnFormula>
    </tableColumn>
  </tableColumns>
  <tableStyleInfo name="Default table"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4DC4A019-850F-494F-98C1-0BFBD305CF6C}" name="Calc_TUR_Net_2" displayName="Calc_TUR_Net_2" ref="C157:L161" totalsRowShown="0" headerRowDxfId="286" headerRowBorderDxfId="285" tableBorderDxfId="284" totalsRowBorderDxfId="283" headerRowCellStyle="Table col heading" dataCellStyle="Table cell">
  <tableColumns count="10">
    <tableColumn id="1" xr3:uid="{508F5893-0986-4EA2-B925-B2EFB5554C3F}" name="Rate type" dataCellStyle="Table cell"/>
    <tableColumn id="2" xr3:uid="{B7A36EFE-FB09-4217-904A-912BBEC39451}" name="Fixed/Variable" dataCellStyle="Table cell"/>
    <tableColumn id="3" xr3:uid="{AA5BEA6C-3068-493A-9312-D43ED42985A2}" name="Unit" dataDxfId="282" dataCellStyle="Table cell"/>
    <tableColumn id="4" xr3:uid="{6849D791-ED42-40F6-88F6-33FD3B78900C}" name="Customer type" dataCellStyle="Table cell"/>
    <tableColumn id="10" xr3:uid="{CAFC397D-BF7C-4BA6-BEFB-0F1D12042B14}" name="Cost element" dataCellStyle="Table cell"/>
    <tableColumn id="5" xr3:uid="{1A63BAF3-86BD-4481-AB28-EA4C2604DE32}" name="Ausnet" dataDxfId="281" dataCellStyle="Table cell">
      <calculatedColumnFormula array="1">IFERROR(
IF(OR(
AND(Calc_TUR_Net_2[[#Headers],[Ausnet]]="Ausnet",Calc_TUR_Net_2[[#This Row],[Rate type]]="Single rate"),
AND(Calc_TUR_Net_2[[#Headers],[Ausnet]]&lt;&gt;"Ausnet",OR(Calc_TUR_Net_2[[#This Row],[Rate type]]="Block 1",Calc_TUR_Net_2[[#This Row],[Rate type]]="Balance"))),"-",
IF(Calc_TUR_Net_2[[#This Row],[Fixed/Variable]]="Fixed",
SUMIFS(Calc_TUV_NetGroup_2[Ausnet],
Calc_TUV_NetGroup_2[Cost item],Calc_TUR_Net_2[[#This Row],[Rate type]],
Calc_TUV_NetGroup_2[Customer type],Calc_TUR_Net_2[[#This Row],[Customer type]],
Calc_TUV_NetGroup_2[Cost element],Calc_TUR_Net_2[[#This Row],[Cost element]])/_xlfn.DAYS(TUR_EndDate,TUR_StartDate),
(SUMIFS(Calc_TUV_NetGroup_2[Ausnet],
Calc_TUV_NetGroup_2[Cost item],IF(OR(Calc_TUR_Net_2[[#This Row],[Rate type]]="Single rate",Calc_TUR_Net_2[[#This Row],[Rate type]]="Block 1",Calc_TUR_Net_2[[#This Row],[Rate type]]="Balance"),"Anytime - usage","TOU - usage"),
Calc_TUV_NetGroup_2[Customer type],Calc_TUR_Net_2[[#This Row],[Customer type]],
Calc_TUV_NetGroup_2[Cost element],Calc_TUR_Net_2[[#This Row],[Cost element]])/
(INDEX(Input_Usage[[F-CurrentVDO_Input]:[F-NextVDO_Input]],MATCH(Calc_TUR_Net_2[[#This Row],[Customer type]]&amp;" - medium - "&amp;Calc_TUR_Net_2[[#This Row],[Rate type]],Input_Usage[Ref],0),MATCH(Calc_TU_rates!$D$135,Inputs!$I$133:$M$133,0))*
(TU_NET_RateMths/MiY)))*INDEX(#REF!,MATCH(Calc_TUR_Net_2[[#This Row],[Rate type]],#REF!,0),MATCH(Calc_TUR_Net_2[[#This Row],[Customer type]],#REF!,0)))),"-")</calculatedColumnFormula>
    </tableColumn>
    <tableColumn id="6" xr3:uid="{AD72CD18-01CA-4969-807E-1EF3C8B94066}" name="Citipower" dataCellStyle="Table cell">
      <calculatedColumnFormula array="1">IFERROR(
IF(OR(
AND(Calc_TUR_Net_2[[#Headers],[Citipower]]="Ausnet",Calc_TUR_Net_2[[#This Row],[Rate type]]="Single rate"),
AND(Calc_TUR_Net_2[[#Headers],[Citipower]]&lt;&gt;"Ausnet",OR(Calc_TUR_Net_2[[#This Row],[Rate type]]="Block 1",Calc_TUR_Net_2[[#This Row],[Rate type]]="Balance"))),"-",
IF(Calc_TUR_Net_2[[#This Row],[Fixed/Variable]]="Fixed",
SUMIFS(Calc_TUV_NetGroup_2[Citipower],
Calc_TUV_NetGroup_2[Cost item],Calc_TUR_Net_2[[#This Row],[Rate type]],
Calc_TUV_NetGroup_2[Customer type],Calc_TUR_Net_2[[#This Row],[Customer type]],
Calc_TUV_NetGroup_2[Cost element],Calc_TUR_Net_2[[#This Row],[Cost element]])/_xlfn.DAYS(TUR_EndDate,TUR_StartDate),
(SUMIFS(Calc_TUV_NetGroup_2[Citipower],
Calc_TUV_NetGroup_2[Cost item],IF(OR(Calc_TUR_Net_2[[#This Row],[Rate type]]="Single rate",Calc_TUR_Net_2[[#This Row],[Rate type]]="Block 1",Calc_TUR_Net_2[[#This Row],[Rate type]]="Balance"),"Anytime - usage","TOU - usage"),
Calc_TUV_NetGroup_2[Customer type],Calc_TUR_Net_2[[#This Row],[Customer type]],
Calc_TUV_NetGroup_2[Cost element],Calc_TUR_Net_2[[#This Row],[Cost element]])/
(INDEX(Input_Usage[[F-CurrentVDO_Input]:[F-NextVDO_Input]],MATCH(Calc_TUR_Net_2[[#This Row],[Customer type]]&amp;" - medium - "&amp;Calc_TUR_Net_2[[#This Row],[Rate type]],Input_Usage[Ref],0),MATCH(Calc_TU_rates!$D$135,Inputs!$I$133:$M$133,0))*
(TU_NET_RateMths/MiY)))*INDEX(#REF!,MATCH(Calc_TUR_Net_2[[#This Row],[Rate type]],#REF!,0),MATCH(Calc_TUR_Net_2[[#This Row],[Customer type]],#REF!,0)))),"-")</calculatedColumnFormula>
    </tableColumn>
    <tableColumn id="7" xr3:uid="{BDACC691-E68C-4508-B968-4DA4567D6FDC}" name="Jemena" dataCellStyle="Table cell">
      <calculatedColumnFormula array="1">IFERROR(
IF(OR(
AND(Calc_TUR_Net_2[[#Headers],[Jemena]]="Ausnet",Calc_TUR_Net_2[[#This Row],[Rate type]]="Single rate"),
AND(Calc_TUR_Net_2[[#Headers],[Jemena]]&lt;&gt;"Ausnet",OR(Calc_TUR_Net_2[[#This Row],[Rate type]]="Block 1",Calc_TUR_Net_2[[#This Row],[Rate type]]="Balance"))),"-",
IF(Calc_TUR_Net_2[[#This Row],[Fixed/Variable]]="Fixed",
SUMIFS(Calc_TUV_NetGroup_2[Jemena],
Calc_TUV_NetGroup_2[Cost item],Calc_TUR_Net_2[[#This Row],[Rate type]],
Calc_TUV_NetGroup_2[Customer type],Calc_TUR_Net_2[[#This Row],[Customer type]],
Calc_TUV_NetGroup_2[Cost element],Calc_TUR_Net_2[[#This Row],[Cost element]])/_xlfn.DAYS(TUR_EndDate,TUR_StartDate),
(SUMIFS(Calc_TUV_NetGroup_2[Jemena],
Calc_TUV_NetGroup_2[Cost item],IF(OR(Calc_TUR_Net_2[[#This Row],[Rate type]]="Single rate",Calc_TUR_Net_2[[#This Row],[Rate type]]="Block 1",Calc_TUR_Net_2[[#This Row],[Rate type]]="Balance"),"Anytime - usage","TOU - usage"),
Calc_TUV_NetGroup_2[Customer type],Calc_TUR_Net_2[[#This Row],[Customer type]],
Calc_TUV_NetGroup_2[Cost element],Calc_TUR_Net_2[[#This Row],[Cost element]])/
(INDEX(Input_Usage[[F-CurrentVDO_Input]:[F-NextVDO_Input]],MATCH(Calc_TUR_Net_2[[#This Row],[Customer type]]&amp;" - medium - "&amp;Calc_TUR_Net_2[[#This Row],[Rate type]],Input_Usage[Ref],0),MATCH(Calc_TU_rates!$D$135,Inputs!$I$133:$M$133,0))*
(TU_NET_RateMths/MiY)))*INDEX(#REF!,MATCH(Calc_TUR_Net_2[[#This Row],[Rate type]],#REF!,0),MATCH(Calc_TUR_Net_2[[#This Row],[Customer type]],#REF!,0)))),"-")</calculatedColumnFormula>
    </tableColumn>
    <tableColumn id="8" xr3:uid="{DFE8DC4B-790A-4026-BDAA-688FB431C951}" name="Powercor" dataCellStyle="Table cell">
      <calculatedColumnFormula array="1">IFERROR(
IF(OR(
AND(Calc_TUR_Net_2[[#Headers],[Powercor]]="Ausnet",Calc_TUR_Net_2[[#This Row],[Rate type]]="Single rate"),
AND(Calc_TUR_Net_2[[#Headers],[Powercor]]&lt;&gt;"Ausnet",OR(Calc_TUR_Net_2[[#This Row],[Rate type]]="Block 1",Calc_TUR_Net_2[[#This Row],[Rate type]]="Balance"))),"-",
IF(Calc_TUR_Net_2[[#This Row],[Fixed/Variable]]="Fixed",
SUMIFS(Calc_TUV_NetGroup_2[Powercor],
Calc_TUV_NetGroup_2[Cost item],Calc_TUR_Net_2[[#This Row],[Rate type]],
Calc_TUV_NetGroup_2[Customer type],Calc_TUR_Net_2[[#This Row],[Customer type]],
Calc_TUV_NetGroup_2[Cost element],Calc_TUR_Net_2[[#This Row],[Cost element]])/_xlfn.DAYS(TUR_EndDate,TUR_StartDate),
(SUMIFS(Calc_TUV_NetGroup_2[Powercor],
Calc_TUV_NetGroup_2[Cost item],IF(OR(Calc_TUR_Net_2[[#This Row],[Rate type]]="Single rate",Calc_TUR_Net_2[[#This Row],[Rate type]]="Block 1",Calc_TUR_Net_2[[#This Row],[Rate type]]="Balance"),"Anytime - usage","TOU - usage"),
Calc_TUV_NetGroup_2[Customer type],Calc_TUR_Net_2[[#This Row],[Customer type]],
Calc_TUV_NetGroup_2[Cost element],Calc_TUR_Net_2[[#This Row],[Cost element]])/
(INDEX(Input_Usage[[F-CurrentVDO_Input]:[F-NextVDO_Input]],MATCH(Calc_TUR_Net_2[[#This Row],[Customer type]]&amp;" - medium - "&amp;Calc_TUR_Net_2[[#This Row],[Rate type]],Input_Usage[Ref],0),MATCH(Calc_TU_rates!$D$135,Inputs!$I$133:$M$133,0))*
(TU_NET_RateMths/MiY)))*INDEX(#REF!,MATCH(Calc_TUR_Net_2[[#This Row],[Rate type]],#REF!,0),MATCH(Calc_TUR_Net_2[[#This Row],[Customer type]],#REF!,0)))),"-")</calculatedColumnFormula>
    </tableColumn>
    <tableColumn id="9" xr3:uid="{116286F6-B1EA-474F-919D-97933C9FFD8E}" name="United Energy" dataCellStyle="Table cell">
      <calculatedColumnFormula array="1">IFERROR(
IF(OR(
AND(Calc_TUR_Net_2[[#Headers],[United Energy]]="Ausnet",Calc_TUR_Net_2[[#This Row],[Rate type]]="Single rate"),
AND(Calc_TUR_Net_2[[#Headers],[United Energy]]&lt;&gt;"Ausnet",OR(Calc_TUR_Net_2[[#This Row],[Rate type]]="Block 1",Calc_TUR_Net_2[[#This Row],[Rate type]]="Balance"))),"-",
IF(Calc_TUR_Net_2[[#This Row],[Fixed/Variable]]="Fixed",
SUMIFS(Calc_TUV_NetGroup_2[United Energy],
Calc_TUV_NetGroup_2[Cost item],Calc_TUR_Net_2[[#This Row],[Rate type]],
Calc_TUV_NetGroup_2[Customer type],Calc_TUR_Net_2[[#This Row],[Customer type]],
Calc_TUV_NetGroup_2[Cost element],Calc_TUR_Net_2[[#This Row],[Cost element]])/_xlfn.DAYS(TUR_EndDate,TUR_StartDate),
(SUMIFS(Calc_TUV_NetGroup_2[United Energy],
Calc_TUV_NetGroup_2[Cost item],IF(OR(Calc_TUR_Net_2[[#This Row],[Rate type]]="Single rate",Calc_TUR_Net_2[[#This Row],[Rate type]]="Block 1",Calc_TUR_Net_2[[#This Row],[Rate type]]="Balance"),"Anytime - usage","TOU - usage"),
Calc_TUV_NetGroup_2[Customer type],Calc_TUR_Net_2[[#This Row],[Customer type]],
Calc_TUV_NetGroup_2[Cost element],Calc_TUR_Net_2[[#This Row],[Cost element]])/
(INDEX(Input_Usage[[F-CurrentVDO_Input]:[F-NextVDO_Input]],MATCH(Calc_TUR_Net_2[[#This Row],[Customer type]]&amp;" - medium - "&amp;Calc_TUR_Net_2[[#This Row],[Rate type]],Input_Usage[Ref],0),MATCH(Calc_TU_rates!$D$135,Inputs!$I$133:$M$133,0))*
(TU_NET_RateMths/MiY)))*INDEX(#REF!,MATCH(Calc_TUR_Net_2[[#This Row],[Rate type]],#REF!,0),MATCH(Calc_TUR_Net_2[[#This Row],[Customer type]],#REF!,0)))),"-")</calculatedColumnFormula>
    </tableColumn>
  </tableColumns>
  <tableStyleInfo name="Default table"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6098B90B-1344-4E60-B447-B890077F8628}" name="Calc_TUR_Env_1" displayName="Calc_TUR_Env_1" ref="C63:L96" totalsRowShown="0" headerRowDxfId="280" headerRowBorderDxfId="279" tableBorderDxfId="278" totalsRowBorderDxfId="277" headerRowCellStyle="Table col heading" dataCellStyle="Table cell">
  <tableColumns count="10">
    <tableColumn id="1" xr3:uid="{E332C2D4-CE8D-433A-9ADC-D8857F562942}" name="Rate type" dataCellStyle="Table cell"/>
    <tableColumn id="2" xr3:uid="{FD1AF85E-E765-4BB5-8EC8-A06734719E82}" name="True up" dataCellStyle="Table cell"/>
    <tableColumn id="3" xr3:uid="{66195402-7784-4DD6-BFD4-6D91BEEDF8B0}" name="Unit" dataDxfId="276" dataCellStyle="Table cell"/>
    <tableColumn id="4" xr3:uid="{EAE4A069-891C-411F-9742-DF18ADDA3EA8}" name="Customer type" dataCellStyle="Table cell"/>
    <tableColumn id="5" xr3:uid="{ACC8F195-ADA3-40DC-919D-25E00F5290C5}" name="Cost element" dataDxfId="275" dataCellStyle="Table cell"/>
    <tableColumn id="6" xr3:uid="{A72E99F3-93C6-4BF6-B455-BB551880D6F9}" name="Ausnet" dataDxfId="274" dataCellStyle="Table cell">
      <calculatedColumnFormula array="1">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calculatedColumnFormula>
    </tableColumn>
    <tableColumn id="7" xr3:uid="{5A3D3D9B-379A-4FAE-B0D3-6769ACEE354F}" name="Citipower" dataDxfId="273" dataCellStyle="Table cell">
      <calculatedColumnFormula array="1">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calculatedColumnFormula>
    </tableColumn>
    <tableColumn id="8" xr3:uid="{3AA2F046-55C7-4C97-8768-89AA876C4F26}" name="Jemena" dataDxfId="272" dataCellStyle="Table cell">
      <calculatedColumnFormula array="1">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calculatedColumnFormula>
    </tableColumn>
    <tableColumn id="9" xr3:uid="{892CB232-15D1-4FBB-B203-B4FB00635D8D}" name="Powercor" dataDxfId="271" dataCellStyle="Table cell">
      <calculatedColumnFormula array="1">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calculatedColumnFormula>
    </tableColumn>
    <tableColumn id="10" xr3:uid="{3A2D3832-2CE2-4857-A3A9-52809919DD21}" name="United Energy" dataDxfId="270" dataCellStyle="Table cell">
      <calculatedColumnFormula array="1">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calculatedColumnFormula>
    </tableColumn>
  </tableColumns>
  <tableStyleInfo name="Default table"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ABD8EC13-7FD6-4873-9A8A-AF27A1752654}" name="Calc_TUR_ENV_2" displayName="Calc_TUR_ENV_2" ref="C193:L226" totalsRowShown="0" headerRowDxfId="269" headerRowBorderDxfId="268" tableBorderDxfId="267" totalsRowBorderDxfId="266" headerRowCellStyle="Table col heading" dataCellStyle="Table cell">
  <tableColumns count="10">
    <tableColumn id="1" xr3:uid="{D7402472-7D51-45A2-9F7E-32054A9C2AD1}" name="Rate type" dataCellStyle="Table cell"/>
    <tableColumn id="2" xr3:uid="{F4F50483-5EB8-47B9-8D7E-627214C0558E}" name="True up" dataCellStyle="Table cell"/>
    <tableColumn id="3" xr3:uid="{07E06059-0FC6-4AB4-8825-B95E8D18E5B8}" name="Unit" dataDxfId="265" dataCellStyle="Table cell"/>
    <tableColumn id="4" xr3:uid="{EAD4F5E9-2E38-4436-A301-DED41D02DFE3}" name="Customer type" dataCellStyle="Table cell"/>
    <tableColumn id="5" xr3:uid="{0DC1F14F-359A-46F9-BCA5-E770B1F92F26}" name="Cost element" dataDxfId="264" dataCellStyle="Table cell"/>
    <tableColumn id="6" xr3:uid="{29A716A7-E637-4169-A549-5FF4D3815C70}" name="Ausnet" dataDxfId="263" dataCellStyle="Table cell">
      <calculatedColumnFormula array="1">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calculatedColumnFormula>
    </tableColumn>
    <tableColumn id="7" xr3:uid="{BB0FA067-EEAA-48E9-BA9B-E23C98706BA6}" name="Citipower" dataDxfId="262" dataCellStyle="Table cell">
      <calculatedColumnFormula array="1">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calculatedColumnFormula>
    </tableColumn>
    <tableColumn id="8" xr3:uid="{F79E3A5D-B4CB-4D5B-B931-80D771F44DFA}" name="Jemena" dataDxfId="261" dataCellStyle="Table cell">
      <calculatedColumnFormula array="1">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calculatedColumnFormula>
    </tableColumn>
    <tableColumn id="9" xr3:uid="{7C67EE55-D28A-4FC5-ADEA-A4209390FD33}" name="Powercor" dataDxfId="260" dataCellStyle="Table cell">
      <calculatedColumnFormula array="1">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calculatedColumnFormula>
    </tableColumn>
    <tableColumn id="10" xr3:uid="{B4D050EC-0A71-4081-81A2-AFA078DCC264}" name="United Energy" dataDxfId="259" dataCellStyle="Table cell">
      <calculatedColumnFormula array="1">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calculatedColumnFormula>
    </tableColumn>
  </tableColumns>
  <tableStyleInfo name="Default table"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48CEC897-179F-44BD-825C-BF0EE47BDAFA}" name="Calc_TUV_EnvGroup_1" displayName="Calc_TUV_EnvGroup_1" ref="C53:L56" totalsRowShown="0" headerRowDxfId="258" headerRowBorderDxfId="257" tableBorderDxfId="256" totalsRowBorderDxfId="255" headerRowCellStyle="Table col heading" dataCellStyle="Table cell">
  <tableColumns count="10">
    <tableColumn id="1" xr3:uid="{771BEA51-0FCE-4793-A637-2E8F5130E753}" name="Cost item" dataCellStyle="Table cell"/>
    <tableColumn id="2" xr3:uid="{3C34CCF2-954E-4687-8C99-E8D7D3C7ED75}" name="Fixed/Variable" dataCellStyle="Table cell"/>
    <tableColumn id="3" xr3:uid="{3C619B4E-BAC1-47C4-8ECC-6C46384996FD}" name="Unit" dataDxfId="254" dataCellStyle="Table cell"/>
    <tableColumn id="4" xr3:uid="{1503A5BC-F78F-4CF2-8C21-4A9FDC822142}" name="Customer type" dataCellStyle="Table cell"/>
    <tableColumn id="10" xr3:uid="{DE17B893-52B8-4859-B65F-88EF53883407}" name="Cost element" dataCellStyle="Table cell"/>
    <tableColumn id="5" xr3:uid="{629ABBA2-7FF9-4A02-9450-29C885B8A013}" name="Ausnet" dataCellStyle="Table cell"/>
    <tableColumn id="6" xr3:uid="{A7018C6B-64E8-46E4-8B26-2CC338AA6532}" name="Citipower" dataCellStyle="Table cell"/>
    <tableColumn id="7" xr3:uid="{94C35522-202F-48D0-8FA8-A1D7265F3B2F}" name="Jemena" dataCellStyle="Table cell"/>
    <tableColumn id="8" xr3:uid="{FEB8FEBC-4FE0-4AB3-97D0-522C200D0F26}" name="Powercor" dataCellStyle="Table cell"/>
    <tableColumn id="9" xr3:uid="{0B954CA1-2B1F-466E-85CC-83463172A299}" name="United Energy" dataDxfId="253" dataCellStyle="Internal link/lookup"/>
  </tableColumns>
  <tableStyleInfo name="Default table"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86494F6-C76D-4BC0-9178-C720B04554FE}" name="Calc_TUV_ENVGroup_2" displayName="Calc_TUV_ENVGroup_2" ref="C183:L186" totalsRowShown="0" headerRowDxfId="252" headerRowBorderDxfId="251" tableBorderDxfId="250" totalsRowBorderDxfId="249" headerRowCellStyle="Table col heading" dataCellStyle="Table cell">
  <tableColumns count="10">
    <tableColumn id="1" xr3:uid="{F0BC8329-99A3-492E-B008-C6618C682212}" name="Cost item" dataCellStyle="Table cell"/>
    <tableColumn id="2" xr3:uid="{261548EE-86CB-4D51-A270-6FBA44A0057A}" name="Fixed/Variable" dataCellStyle="Table cell"/>
    <tableColumn id="3" xr3:uid="{2124D95F-7020-4F59-A852-6176E8CC21B4}" name="Unit" dataDxfId="248" dataCellStyle="Table cell"/>
    <tableColumn id="4" xr3:uid="{71CD4922-C40D-4E7C-9EA0-A9982C2437A5}" name="Customer type" dataCellStyle="Table cell"/>
    <tableColumn id="10" xr3:uid="{435000DE-70B4-4E67-9743-C7CF9651578E}" name="Cost element" dataDxfId="247" dataCellStyle="Table cell"/>
    <tableColumn id="5" xr3:uid="{E6640A9F-DA07-42FE-9755-14B74DDFEF89}" name="Ausnet" dataDxfId="246" dataCellStyle="Table cell"/>
    <tableColumn id="6" xr3:uid="{A0AEEBC5-C581-4732-B8E1-39B16BDC01CD}" name="Citipower" dataDxfId="245" dataCellStyle="Table cell">
      <calculatedColumnFormula array="1">IFERROR(SUMIFS(INDEX(Calc_TUV_Net_2[[Ausnet]:[United Energy]],0,MATCH(Calc_TUV_ENVGroup_2[[#Headers],[Citipower]],Calc_TUV_Net_2[[#Headers],[Ausnet]:[United Energy]],0)),
Calc_TUV_Net_2[Cost item],Calc_TUV_ENVGroup_2[[#This Row],[Cost item]]&amp;" cost true up",
Calc_TUV_Net_2[Customer type],Calc_TUV_ENVGroup_2[[#This Row],[Customer type]]),"-")</calculatedColumnFormula>
    </tableColumn>
    <tableColumn id="7" xr3:uid="{6686C12D-E8CE-44B6-86AA-D3D4B4EEC21A}" name="Jemena" dataDxfId="244" dataCellStyle="Table cell">
      <calculatedColumnFormula array="1">IFERROR(SUMIFS(INDEX(Calc_TUV_Net_2[[Ausnet]:[United Energy]],0,MATCH(Calc_TUV_ENVGroup_2[[#Headers],[Jemena]],Calc_TUV_Net_2[[#Headers],[Ausnet]:[United Energy]],0)),
Calc_TUV_Net_2[Cost item],Calc_TUV_ENVGroup_2[[#This Row],[Cost item]]&amp;" cost true up",
Calc_TUV_Net_2[Customer type],Calc_TUV_ENVGroup_2[[#This Row],[Customer type]]),"-")</calculatedColumnFormula>
    </tableColumn>
    <tableColumn id="8" xr3:uid="{2B48CA0E-7C6A-447D-84BC-7C8DC5D8197A}" name="Powercor" dataDxfId="243" dataCellStyle="Table cell">
      <calculatedColumnFormula array="1">IFERROR(SUMIFS(INDEX(Calc_TUV_Net_2[[Ausnet]:[United Energy]],0,MATCH(Calc_TUV_ENVGroup_2[[#Headers],[Powercor]],Calc_TUV_Net_2[[#Headers],[Ausnet]:[United Energy]],0)),
Calc_TUV_Net_2[Cost item],Calc_TUV_ENVGroup_2[[#This Row],[Cost item]]&amp;" cost true up",
Calc_TUV_Net_2[Customer type],Calc_TUV_ENVGroup_2[[#This Row],[Customer type]]),"-")</calculatedColumnFormula>
    </tableColumn>
    <tableColumn id="9" xr3:uid="{D5759CE0-CE25-4D79-9B28-831164F69512}" name="United Energy" dataDxfId="242" dataCellStyle="Table cell">
      <calculatedColumnFormula array="1">IFERROR(SUMIFS(INDEX(Calc_TUV_Net_2[[Ausnet]:[United Energy]],0,MATCH(Calc_TUV_ENVGroup_2[[#Headers],[United Energy]],Calc_TUV_Net_2[[#Headers],[Ausnet]:[United Energy]],0)),
Calc_TUV_Net_2[Cost item],Calc_TUV_ENVGroup_2[[#This Row],[Cost item]]&amp;" cost true up",
Calc_TUV_Net_2[Customer type],Calc_TUV_ENVGroup_2[[#This Row],[Customer type]]),"-")</calculatedColumnFormula>
    </tableColumn>
  </tableColumns>
  <tableStyleInfo name="Default table"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22119432-BFD7-410E-AC02-B994D7186C74}" name="Calc_TUR_NetCL_2" displayName="Calc_TUR_NetCL_2" ref="C169:L170" totalsRowShown="0" headerRowDxfId="241" headerRowBorderDxfId="240" tableBorderDxfId="239" totalsRowBorderDxfId="238" headerRowCellStyle="Table col heading" dataCellStyle="Table cell">
  <tableColumns count="10">
    <tableColumn id="1" xr3:uid="{250CD9E3-6609-471C-9E86-99C77F0D99AD}" name="Rate type" dataCellStyle="Table cell"/>
    <tableColumn id="2" xr3:uid="{F56014D6-7A66-4938-9EA2-05BCBE838096}" name="Fixed/Variable" dataCellStyle="Table cell"/>
    <tableColumn id="3" xr3:uid="{27488AE4-DCA7-4E26-AC06-EA3AC43E6F02}" name="Unit" dataDxfId="237" dataCellStyle="Table cell"/>
    <tableColumn id="4" xr3:uid="{E6C5C828-5404-4056-A7FF-A47AAAE4C1FA}" name="Customer type" dataCellStyle="Table cell"/>
    <tableColumn id="10" xr3:uid="{352754BD-2E48-49B6-B8BC-35ECD0C11618}" name="Cost element" dataCellStyle="Table cell"/>
    <tableColumn id="5" xr3:uid="{C89509F0-7280-48A9-9C33-75CABE27E750}" name="Ausnet" dataDxfId="236" dataCellStyle="Table cell">
      <calculatedColumnFormula array="1">IFERROR(
(SUMIFS(Calc_TUV_NetGroup_2[Ausnet],
Calc_TUV_NetGroup_2[[Cost item]:[Cost item]],Calc_TUR_NetCL_2[[#This Row],[Rate type]:[Rate type]]&amp;" - supply",
Calc_TUV_NetGroup_2[[Customer type]:[Customer type]],Calc_TUR_NetCL_2[[#This Row],[Customer type]:[Customer type]],
Calc_TUV_NetGroup_2[[Cost element]:[Cost element]],Calc_TUR_NetCL_2[[#This Row],[Cost element]:[Cost element]])+
SUMIFS(Calc_TUV_NetGroup_2[Ausnet],
Calc_TUV_NetGroup_2[[Cost item]:[Cost item]],Calc_TUR_NetCL_2[[#This Row],[Rate type]:[Rate type]]&amp;" - usage",
Calc_TUV_NetGroup_2[[Customer type]:[Customer type]],Calc_TUR_NetCL_2[[#This Row],[Customer type]:[Customer type]],
Calc_TUV_NetGroup_2[[Cost element]:[Cost element]],Calc_TUR_NetCL_2[[#This Row],[Cost element]:[Cost element]]))
/$E$166,"-")</calculatedColumnFormula>
    </tableColumn>
    <tableColumn id="6" xr3:uid="{EF042FEE-7E15-4F68-AC3F-9FD7707A4D9B}" name="Citipower" dataCellStyle="Table cell"/>
    <tableColumn id="7" xr3:uid="{06249A30-F6F3-4247-93BB-2C86EEC6DEC5}" name="Jemena" dataCellStyle="Table cell"/>
    <tableColumn id="8" xr3:uid="{ADFB6444-F462-4C6B-9C8C-5540AFAAD687}" name="Powercor" dataCellStyle="Table cell"/>
    <tableColumn id="9" xr3:uid="{A7722DF8-138B-4745-8DD1-C510A66F4E73}" name="United Energy" dataCellStyle="Table cell"/>
  </tableColumns>
  <tableStyleInfo name="Default table"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6227F24C-42F8-4AE0-9A70-1BD0C12EA8EE}" name="Calc_TUR_NetCL_1" displayName="Calc_TUR_NetCL_1" ref="C39:L40" totalsRowShown="0" headerRowDxfId="235" headerRowBorderDxfId="234" tableBorderDxfId="233" totalsRowBorderDxfId="232" headerRowCellStyle="Table col heading" dataCellStyle="Table cell">
  <tableColumns count="10">
    <tableColumn id="1" xr3:uid="{DA6CC4AC-9652-47ED-82AB-B9B19FD9C7F5}" name="Rate type" dataCellStyle="Table cell"/>
    <tableColumn id="2" xr3:uid="{6D1E7D9E-190F-45ED-9632-337B0D472194}" name="Fixed/Variable" dataCellStyle="Table cell"/>
    <tableColumn id="3" xr3:uid="{ED7F7BCC-3930-4637-8921-40D1E00C361C}" name="Unit" dataDxfId="231" dataCellStyle="Table cell"/>
    <tableColumn id="4" xr3:uid="{7A785ECA-F808-441B-9B5D-1B9DEA6F34D7}" name="Customer type" dataCellStyle="Table cell"/>
    <tableColumn id="10" xr3:uid="{B9966583-1E1A-492D-9408-6C4009A57E6A}" name="Cost element" dataCellStyle="Table cell"/>
    <tableColumn id="5" xr3:uid="{EA04CD4D-68AC-48C2-B0BF-3ECC0EE5787D}" name="Ausnet" dataDxfId="230" dataCellStyle="Table cell">
      <calculatedColumnFormula array="1">IFERROR(
(SUMIFS(Calc_TUV_NetGroup_1[Ausnet],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SUMIFS(Calc_TUV_NetGroup_1[Ausnet],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calculatedColumnFormula>
    </tableColumn>
    <tableColumn id="6" xr3:uid="{46821881-310C-4951-A3CF-F7A6C66F0869}" name="Citipower" dataCellStyle="Table cell">
      <calculatedColumnFormula array="1">IFERROR(
(SUMIFS(Calc_TUV_NetGroup_1[Citipower],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SUMIFS(Calc_TUV_NetGroup_1[Citipower],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calculatedColumnFormula>
    </tableColumn>
    <tableColumn id="7" xr3:uid="{31D12BC3-067D-425E-BF1D-6123D7808287}" name="Jemena" dataCellStyle="Table cell">
      <calculatedColumnFormula array="1">IFERROR(
(SUMIFS(Calc_TUV_NetGroup_1[Jemena],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SUMIFS(Calc_TUV_NetGroup_1[Jemena],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calculatedColumnFormula>
    </tableColumn>
    <tableColumn id="8" xr3:uid="{64F8C960-1857-4A7B-8766-D9D6EF3483A6}" name="Powercor" dataCellStyle="Table cell">
      <calculatedColumnFormula array="1">IFERROR(
(SUMIFS(Calc_TUV_NetGroup_1[Powercor],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SUMIFS(Calc_TUV_NetGroup_1[Powercor],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calculatedColumnFormula>
    </tableColumn>
    <tableColumn id="9" xr3:uid="{C652B29B-6227-4922-92CB-9F9FA949DA57}" name="United Energy" dataCellStyle="Table cell">
      <calculatedColumnFormula array="1">IFERROR(
(SUMIFS(Calc_TUV_NetGroup_1[United Energy],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SUMIFS(Calc_TUV_NetGroup_1[United Energy],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calculatedColumnFormula>
    </tableColumn>
  </tableColumns>
  <tableStyleInfo name="Default table"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A99DC0A2-AC8F-4B3C-9546-BB458AD3C7A6}" name="OP_Rates_RES_1" displayName="OP_Rates_RES_1" ref="C19:K27" totalsRowShown="0" headerRowDxfId="229" headerRowBorderDxfId="228" tableBorderDxfId="227" headerRowCellStyle="Table col heading" dataCellStyle="Internal link/lookup">
  <tableColumns count="9">
    <tableColumn id="1" xr3:uid="{E78C1163-A3DD-48CF-86C4-4713E427B63D}" name="Rate name" dataCellStyle="Table cell"/>
    <tableColumn id="3" xr3:uid="{31ACDE4B-AAB5-4640-BE08-6E125BC844E4}" name="Unit" dataCellStyle="Table cell"/>
    <tableColumn id="4" xr3:uid="{B95AFB37-8599-48CB-B375-2E0E5F80DCD9}" name="Customer type" dataCellStyle="Table cell"/>
    <tableColumn id="2" xr3:uid="{F2682DF7-9005-4C15-A85A-9FA6E5E76CD8}" name="-" dataCellStyle="Table cell"/>
    <tableColumn id="5" xr3:uid="{9CB4A5E8-F8B3-45A6-9942-EC4FC685C94A}" name="Ausnet" dataDxfId="226" dataCellStyle="Internal link/lookup">
      <calculatedColumnFormula>IF(SUMIFS(Calc_Rates!G$63:G$139,Calc_Rates!$C$63:$C$139,OP_Rates!$C20,Calc_Rates!$F$63:$F$139,OP_Rates!$E20)=0,"-",SUMIFS(Calc_Rates!G$63:G$139,Calc_Rates!$C$63:$C$139,OP_Rates!$C20,Calc_Rates!$F$63:$F$139,OP_Rates!$E20))</calculatedColumnFormula>
    </tableColumn>
    <tableColumn id="6" xr3:uid="{669EA234-B896-4973-A45B-9E0DF7CF06BA}" name="Citipower" dataDxfId="225" dataCellStyle="Internal link/lookup">
      <calculatedColumnFormula>IF(SUMIFS(Calc_Rates!H$63:H$139,Calc_Rates!$C$63:$C$139,OP_Rates!$C20,Calc_Rates!$F$63:$F$139,OP_Rates!$E20)=0,"-",SUMIFS(Calc_Rates!H$63:H$139,Calc_Rates!$C$63:$C$139,OP_Rates!$C20,Calc_Rates!$F$63:$F$139,OP_Rates!$E20))</calculatedColumnFormula>
    </tableColumn>
    <tableColumn id="7" xr3:uid="{B77A7A81-62E1-4C8C-AE91-1162A78C6068}" name="Jemena" dataDxfId="224" dataCellStyle="Internal link/lookup">
      <calculatedColumnFormula>IF(SUMIFS(Calc_Rates!I$63:I$139,Calc_Rates!$C$63:$C$139,OP_Rates!$C20,Calc_Rates!$F$63:$F$139,OP_Rates!$E20)=0,"-",SUMIFS(Calc_Rates!I$63:I$139,Calc_Rates!$C$63:$C$139,OP_Rates!$C20,Calc_Rates!$F$63:$F$139,OP_Rates!$E20))</calculatedColumnFormula>
    </tableColumn>
    <tableColumn id="8" xr3:uid="{A1C2027B-3C88-4875-88CB-ACD29E96093E}" name="Powercor" dataDxfId="223" dataCellStyle="Internal link/lookup">
      <calculatedColumnFormula>IF(SUMIFS(Calc_Rates!J$63:J$139,Calc_Rates!$C$63:$C$139,OP_Rates!$C20,Calc_Rates!$F$63:$F$139,OP_Rates!$E20)=0,"-",SUMIFS(Calc_Rates!J$63:J$139,Calc_Rates!$C$63:$C$139,OP_Rates!$C20,Calc_Rates!$F$63:$F$139,OP_Rates!$E20))</calculatedColumnFormula>
    </tableColumn>
    <tableColumn id="9" xr3:uid="{FD9385BF-8187-449D-8F2C-5C88233245B6}" name="United Energy" dataDxfId="222" dataCellStyle="Internal link/lookup">
      <calculatedColumnFormula>IF(SUMIFS(Calc_Rates!K$63:K$139,Calc_Rates!$C$63:$C$139,OP_Rates!$C20,Calc_Rates!$F$63:$F$139,OP_Rates!$E20)=0,"-",SUMIFS(Calc_Rates!K$63:K$139,Calc_Rates!$C$63:$C$139,OP_Rates!$C20,Calc_Rates!$F$63:$F$139,OP_Rates!$E20))</calculatedColumnFormula>
    </tableColumn>
  </tableColumns>
  <tableStyleInfo name="Default table"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F4CE869-0C56-420A-9C47-EF4446BA5787}" name="OP_Rates_SME_1" displayName="OP_Rates_SME_1" ref="M19:U27" totalsRowShown="0" headerRowDxfId="221" headerRowBorderDxfId="220" tableBorderDxfId="219" headerRowCellStyle="Table col heading" dataCellStyle="Internal link/lookup">
  <tableColumns count="9">
    <tableColumn id="1" xr3:uid="{D27CB02D-C880-42BA-8A91-6A1E16B41704}" name="Rate name" dataCellStyle="Table cell"/>
    <tableColumn id="3" xr3:uid="{8D3D4CDE-7941-453F-A7D2-1DCF4C88CBE2}" name="Unit" dataCellStyle="Table cell"/>
    <tableColumn id="4" xr3:uid="{6B4BCB35-90DC-4E06-A680-4545F6EFC0EF}" name="Customer type" dataCellStyle="Table cell"/>
    <tableColumn id="2" xr3:uid="{E9424C30-CDA0-432E-B849-6901BA45511B}" name="-" dataCellStyle="Table cell"/>
    <tableColumn id="5" xr3:uid="{F1DF3EB2-65A6-4DE4-95FA-10252DB899BE}" name="Ausnet" dataDxfId="218" dataCellStyle="Internal link/lookup"/>
    <tableColumn id="6" xr3:uid="{D03672B6-E990-42AC-A5B0-852970523C84}" name="Citipower" dataDxfId="217" dataCellStyle="Internal link/lookup"/>
    <tableColumn id="7" xr3:uid="{0963EA57-64B0-42D0-8E54-91364C6BB07D}" name="Jemena" dataDxfId="216" dataCellStyle="Internal link/lookup"/>
    <tableColumn id="8" xr3:uid="{FA086775-EDB3-437E-98E2-743CF43E2CD6}" name="Powercor" dataDxfId="215" dataCellStyle="Internal link/lookup"/>
    <tableColumn id="9" xr3:uid="{BD89ACA8-91CC-445D-A6A8-D18D25F8F791}" name="United Energy" dataDxfId="214" dataCellStyle="Internal link/lookup"/>
  </tableColumns>
  <tableStyleInfo name="Default table"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562F88B8-AD2B-48D5-B9A0-A6F8233392FC}" name="OP_Rates_RES_2" displayName="OP_Rates_RES_2" ref="C94:K102" totalsRowShown="0" headerRowDxfId="213" headerRowBorderDxfId="212" tableBorderDxfId="211" headerRowCellStyle="Table col heading" dataCellStyle="Internal link/lookup">
  <tableColumns count="9">
    <tableColumn id="1" xr3:uid="{E12D8BB7-7DC5-4C01-A1DF-2C5092D6D281}" name="Rate name" dataCellStyle="Table cell"/>
    <tableColumn id="3" xr3:uid="{9B50B068-A20B-4598-8290-BF3F0B0D57EC}" name="Unit" dataCellStyle="Table cell"/>
    <tableColumn id="4" xr3:uid="{A745D100-FCD8-4948-BAE1-379CE68563D2}" name="Customer type" dataCellStyle="Table cell"/>
    <tableColumn id="2" xr3:uid="{036C2A5D-6065-4DF0-AAB3-E8921DA08FC2}" name="-" dataCellStyle="Table cell"/>
    <tableColumn id="5" xr3:uid="{A01E3015-10DD-4402-9C8C-004F533C0307}" name="Ausnet" dataDxfId="210" dataCellStyle="Internal link/lookup">
      <calculatedColumnFormula>IF(SUMIFS(Calc_Rates!G$63:G$139,Calc_Rates!$C$63:$C$139,OP_Rates!$C95,Calc_Rates!$F$63:$F$139,OP_Rates!$E95)=0,"-",SUMIFS(Calc_Rates!G$63:G$139,Calc_Rates!$C$63:$C$139,OP_Rates!$C95,Calc_Rates!$F$63:$F$139,OP_Rates!$E95))</calculatedColumnFormula>
    </tableColumn>
    <tableColumn id="6" xr3:uid="{DCD1340B-8D59-43A1-99C0-DAB67D15E969}" name="Citipower" dataDxfId="209" dataCellStyle="Internal link/lookup"/>
    <tableColumn id="7" xr3:uid="{B04CCA25-39DB-491F-BEA7-EFA7273E728A}" name="Jemena" dataDxfId="208" dataCellStyle="Internal link/lookup"/>
    <tableColumn id="8" xr3:uid="{C71DCC1C-CCB0-40E6-96E6-F5CDADD8B122}" name="Powercor" dataDxfId="207" dataCellStyle="Internal link/lookup"/>
    <tableColumn id="9" xr3:uid="{0B2E8CE8-F4F9-4846-83C4-FD2DFABC3C97}" name="United Energy" dataDxfId="206" dataCellStyle="Internal link/lookup"/>
  </tableColumns>
  <tableStyleInfo name="Default table"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91148602-7459-4803-87B6-C831DEC44EC0}" name="OP_Rates_SME_2" displayName="OP_Rates_SME_2" ref="M94:U102" totalsRowShown="0" headerRowDxfId="205" headerRowBorderDxfId="204" tableBorderDxfId="203" headerRowCellStyle="Table col heading" dataCellStyle="Internal link/lookup">
  <tableColumns count="9">
    <tableColumn id="1" xr3:uid="{97447A12-70C5-49D9-A9E5-AEA25F884FA1}" name="Rate name" dataCellStyle="Table cell"/>
    <tableColumn id="3" xr3:uid="{2E2D66FB-47ED-43DF-A9CB-A2A955515374}" name="Unit" dataCellStyle="Table cell"/>
    <tableColumn id="4" xr3:uid="{3F2FC573-2AD7-4D41-8610-CC1693F433D0}" name="Customer type" dataCellStyle="Table cell"/>
    <tableColumn id="2" xr3:uid="{0923915D-2DEA-4E2B-98A9-C7D61F13E764}" name="-" dataCellStyle="Table cell"/>
    <tableColumn id="5" xr3:uid="{E1BD715C-539D-44A0-B07A-26372BFE7814}" name="Ausnet" dataDxfId="202" dataCellStyle="Internal link/lookup"/>
    <tableColumn id="6" xr3:uid="{DD804863-CB84-4F97-A3F4-DA8AA3710A39}" name="Citipower" dataDxfId="201" dataCellStyle="Internal link/lookup"/>
    <tableColumn id="7" xr3:uid="{C21B25A8-D01D-48E4-9F05-9CE92DF68805}" name="Jemena" dataDxfId="200" dataCellStyle="Internal link/lookup"/>
    <tableColumn id="8" xr3:uid="{29D436D3-A10E-420D-BA0A-B4F3748975DA}" name="Powercor" dataDxfId="199" dataCellStyle="Internal link/lookup"/>
    <tableColumn id="9" xr3:uid="{1952C4E9-7E24-444C-A20B-0F52828AE40D}" name="United Energy" dataDxfId="198" dataCellStyle="Internal link/lookup"/>
  </tableColumns>
  <tableStyleInfo name="Default table"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2DAC482D-F423-4BB1-8E59-F00A38D3CBB1}" name="OP_RatesTU_RES_2" displayName="OP_RatesTU_RES_2" ref="C105:K114" totalsRowShown="0" headerRowDxfId="197" headerRowBorderDxfId="196" tableBorderDxfId="195" headerRowCellStyle="Table col heading" dataCellStyle="Internal link/lookup">
  <tableColumns count="9">
    <tableColumn id="1" xr3:uid="{E6DACF48-AAD3-4B44-8D3A-458714AA3224}" name="Rate name" dataDxfId="194" dataCellStyle="Table cell"/>
    <tableColumn id="2" xr3:uid="{811FF1AC-CED0-4823-AEE8-4CD78F706245}" name="Unit" dataDxfId="193" dataCellStyle="Table cell"/>
    <tableColumn id="3" xr3:uid="{BC4BC08A-6590-4549-AE2B-11F5B4196FEC}" name="Customer type" dataDxfId="192" dataCellStyle="Table cell"/>
    <tableColumn id="4" xr3:uid="{F70B0783-4C97-416B-A3FA-83DEEC36DD93}" name="Cost element" dataDxfId="191" dataCellStyle="Table cell"/>
    <tableColumn id="5" xr3:uid="{D6B56A29-DEAB-4BAF-9917-AEABCE4AAD1E}" name="Ausnet" dataDxfId="190" dataCellStyle="Internal link/lookup">
      <calculatedColumnFormula array="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calculatedColumnFormula>
    </tableColumn>
    <tableColumn id="6" xr3:uid="{EA6FD84F-66D4-4F51-A153-F8802F930F0F}" name="Citipower" dataDxfId="189" dataCellStyle="Internal link/lookup">
      <calculatedColumnFormula array="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calculatedColumnFormula>
    </tableColumn>
    <tableColumn id="7" xr3:uid="{2E9A544A-3531-4E17-9996-F185A676A58E}" name="Jemena" dataDxfId="188" dataCellStyle="Internal link/lookup">
      <calculatedColumnFormula array="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calculatedColumnFormula>
    </tableColumn>
    <tableColumn id="8" xr3:uid="{B159A814-6932-40BB-8657-EE60FC7A8539}" name="Powercor" dataDxfId="187" dataCellStyle="Internal link/lookup">
      <calculatedColumnFormula array="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calculatedColumnFormula>
    </tableColumn>
    <tableColumn id="9" xr3:uid="{E5EFB52A-128C-463D-BA62-7C010A23850E}" name="United Energy" dataDxfId="186" dataCellStyle="Internal link/lookup">
      <calculatedColumnFormula array="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calculatedColumnFormula>
    </tableColumn>
  </tableColumns>
  <tableStyleInfo name="Default table"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743AF80E-DA00-49A0-A159-7CB4D1510410}" name="OP_RatesTU_SME_2" displayName="OP_RatesTU_SME_2" ref="M105:U114" totalsRowShown="0" headerRowDxfId="185" headerRowBorderDxfId="184" tableBorderDxfId="183" headerRowCellStyle="Table col heading" dataCellStyle="Internal link/lookup">
  <tableColumns count="9">
    <tableColumn id="1" xr3:uid="{D68FF8AE-5781-4255-BEA3-9E4E2B088DC9}" name="Rate name" dataDxfId="182" dataCellStyle="Table cell"/>
    <tableColumn id="2" xr3:uid="{050CECEC-B13D-445D-BECE-B28F63E59C08}" name="Unit" dataDxfId="181" dataCellStyle="Table cell"/>
    <tableColumn id="3" xr3:uid="{A450D655-A125-49C9-9A0F-3AA46242B60C}" name="Customer type" dataDxfId="180" dataCellStyle="Table cell"/>
    <tableColumn id="4" xr3:uid="{77C75CCA-D769-45F7-ACE7-23CCDD8A0810}" name="Cost element" dataDxfId="179" dataCellStyle="Table cell"/>
    <tableColumn id="5" xr3:uid="{F2725072-29B9-4CB3-887D-563B8DD59831}" name="Ausnet" dataDxfId="178" dataCellStyle="Internal link/lookup">
      <calculatedColumnFormula array="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calculatedColumnFormula>
    </tableColumn>
    <tableColumn id="6" xr3:uid="{E4A449F9-EA18-418F-BC67-AE1FCC5E9F1C}" name="Citipower" dataDxfId="177" dataCellStyle="Internal link/lookup">
      <calculatedColumnFormula array="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calculatedColumnFormula>
    </tableColumn>
    <tableColumn id="7" xr3:uid="{B402EAD2-D706-473C-BDA1-7A0E47075E01}" name="Jemena" dataDxfId="176" dataCellStyle="Internal link/lookup">
      <calculatedColumnFormula array="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calculatedColumnFormula>
    </tableColumn>
    <tableColumn id="8" xr3:uid="{97A3C1DD-56FB-4F27-AEE3-30EA5D428A98}" name="Powercor" dataDxfId="175" dataCellStyle="Internal link/lookup">
      <calculatedColumnFormula array="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calculatedColumnFormula>
    </tableColumn>
    <tableColumn id="9" xr3:uid="{561B1A63-A796-4486-9F20-06B3F749C9E3}" name="United Energy" dataDxfId="174" dataCellStyle="Internal link/lookup">
      <calculatedColumnFormula array="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calculatedColumnFormula>
    </tableColumn>
  </tableColumns>
  <tableStyleInfo name="Default table"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259EE597-E6A4-44E4-944B-CDA626B5424B}" name="OP_TotalRates_RES_2" displayName="OP_TotalRates_RES_2" ref="C83:K91" totalsRowShown="0" headerRowDxfId="173" headerRowBorderDxfId="172" tableBorderDxfId="171" headerRowCellStyle="Table col heading">
  <tableColumns count="9">
    <tableColumn id="1" xr3:uid="{B296EB3D-E1CD-4637-9283-577B47AFA9A8}" name="Rate name" dataCellStyle="Table cell"/>
    <tableColumn id="2" xr3:uid="{EA2CEDA9-E825-4F7B-B818-53C4D2298ACA}" name="Unit" dataCellStyle="Table cell"/>
    <tableColumn id="3" xr3:uid="{36EFECE8-C52B-4F8C-92EF-2B882EAD862E}" name="Customer type" dataCellStyle="Table cell"/>
    <tableColumn id="4" xr3:uid="{4C89433C-DBD0-484D-A453-D4B50CC1EA25}" name="-" dataDxfId="170" dataCellStyle="Table cell"/>
    <tableColumn id="5" xr3:uid="{4ACF9A4B-7DA7-4470-89DC-4E06ABC5E77E}" name="Ausnet" dataDxfId="169" dataCellStyle="Table cell">
      <calculatedColumnFormula array="1">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calculatedColumnFormula>
    </tableColumn>
    <tableColumn id="6" xr3:uid="{6259725D-7D50-451A-B378-89B6848CEA53}" name="Citipower" dataDxfId="168" dataCellStyle="Table cell">
      <calculatedColumnFormula array="1">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calculatedColumnFormula>
    </tableColumn>
    <tableColumn id="7" xr3:uid="{3CB60922-6057-4639-94B8-707474840F4B}" name="Jemena" dataDxfId="167" dataCellStyle="Table cell">
      <calculatedColumnFormula array="1">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calculatedColumnFormula>
    </tableColumn>
    <tableColumn id="8" xr3:uid="{826D1692-DC0C-4317-A6F5-9D4E7153FBC1}" name="Powercor" dataDxfId="166" dataCellStyle="Table cell">
      <calculatedColumnFormula array="1">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calculatedColumnFormula>
    </tableColumn>
    <tableColumn id="9" xr3:uid="{B5E44275-79B2-41BC-8097-33A90558A19F}" name="United Energy" dataDxfId="165" dataCellStyle="Table cell">
      <calculatedColumnFormula array="1">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calculatedColumnFormula>
    </tableColumn>
  </tableColumns>
  <tableStyleInfo name="Default table"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504AC9F5-FD18-4D06-A7AC-1599A20A14AB}" name="OP_TotalRates_SME_2" displayName="OP_TotalRates_SME_2" ref="M83:U91" totalsRowShown="0" headerRowDxfId="164" headerRowBorderDxfId="163" tableBorderDxfId="162" totalsRowBorderDxfId="161" headerRowCellStyle="Table col heading" dataCellStyle="Table cell">
  <tableColumns count="9">
    <tableColumn id="1" xr3:uid="{DC5AEBFC-A846-492A-9A3D-3C7B70A489D9}" name="Rate name" dataCellStyle="Table cell"/>
    <tableColumn id="2" xr3:uid="{61A248F6-55CA-4DCE-9C91-D6A9AED0FDC4}" name="Unit" dataCellStyle="Table cell"/>
    <tableColumn id="3" xr3:uid="{CBD751F5-C15F-4B12-80C4-7B799928ED9C}" name="Customer type" dataCellStyle="Table cell"/>
    <tableColumn id="4" xr3:uid="{5030C31E-5AD7-4F56-A84F-C30DC69E7E84}" name="-" dataCellStyle="Table cell"/>
    <tableColumn id="5" xr3:uid="{CB1F387B-FA11-477B-9107-645E6D46001E}" name="Ausnet" dataDxfId="160" dataCellStyle="Table cell">
      <calculatedColumnFormula array="1">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calculatedColumnFormula>
    </tableColumn>
    <tableColumn id="6" xr3:uid="{18B5BA61-65BA-4620-AB6C-9F9986211959}" name="Citipower" dataDxfId="159" dataCellStyle="Table cell">
      <calculatedColumnFormula array="1">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calculatedColumnFormula>
    </tableColumn>
    <tableColumn id="7" xr3:uid="{659B9969-5A85-4180-AA25-716A2E7F41B2}" name="Jemena" dataDxfId="158" dataCellStyle="Table cell">
      <calculatedColumnFormula array="1">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calculatedColumnFormula>
    </tableColumn>
    <tableColumn id="8" xr3:uid="{17A869EE-93CC-4116-83C5-BA1B6DD4154B}" name="Powercor" dataDxfId="157" dataCellStyle="Table cell">
      <calculatedColumnFormula array="1">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calculatedColumnFormula>
    </tableColumn>
    <tableColumn id="9" xr3:uid="{763A5092-A841-48AE-A61A-D58EAB0E4FA5}" name="United Energy" dataDxfId="156" dataCellStyle="Table cell">
      <calculatedColumnFormula array="1">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calculatedColumnFormula>
    </tableColumn>
  </tableColumns>
  <tableStyleInfo name="Default table"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C68F836F-BFAF-4D94-8E10-FB158016F93D}" name="OP_TotalRates_RES_1" displayName="OP_TotalRates_RES_1" ref="C8:K16" totalsRowShown="0" headerRowDxfId="155" headerRowBorderDxfId="154" tableBorderDxfId="153" headerRowCellStyle="Table col heading">
  <tableColumns count="9">
    <tableColumn id="1" xr3:uid="{EFBA7F8E-5702-4B5F-A24C-D58F32BECFFD}" name="Rate name" dataCellStyle="Table cell"/>
    <tableColumn id="2" xr3:uid="{24CBE57F-78AE-413E-88DE-E3AFD3FAC564}" name="Unit" dataCellStyle="Table cell"/>
    <tableColumn id="3" xr3:uid="{CC5F9EDC-12A7-4A47-87A8-B10E13AC49C0}" name="Customer type" dataCellStyle="Table cell"/>
    <tableColumn id="4" xr3:uid="{6028E8A5-6981-468F-8C25-5C3250F89BE4}" name="-" dataDxfId="152" dataCellStyle="Table cell"/>
    <tableColumn id="5" xr3:uid="{19AB9587-A48D-452C-A107-3AD3AECADD01}" name="Ausnet" dataDxfId="151" dataCellStyle="Table cell">
      <calculatedColumnFormula array="1">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calculatedColumnFormula>
    </tableColumn>
    <tableColumn id="6" xr3:uid="{5ADC659C-CDAF-412F-A469-5F305214C88F}" name="Citipower" dataDxfId="150" dataCellStyle="Table cell">
      <calculatedColumnFormula array="1">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calculatedColumnFormula>
    </tableColumn>
    <tableColumn id="7" xr3:uid="{A8D8F831-A0DC-4582-9262-C3C3BBD0BC92}" name="Jemena" dataDxfId="149" dataCellStyle="Table cell">
      <calculatedColumnFormula array="1">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calculatedColumnFormula>
    </tableColumn>
    <tableColumn id="8" xr3:uid="{64D6C646-6150-4639-ABF2-AE215E5A4B51}" name="Powercor" dataDxfId="148" dataCellStyle="Table cell">
      <calculatedColumnFormula array="1">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calculatedColumnFormula>
    </tableColumn>
    <tableColumn id="9" xr3:uid="{BC7F9AB5-3ED3-42A5-B1F1-C1AA07207FF4}" name="United Energy" dataDxfId="147" dataCellStyle="Table cell">
      <calculatedColumnFormula array="1">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calculatedColumnFormula>
    </tableColumn>
  </tableColumns>
  <tableStyleInfo name="Default table"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225A8613-B156-4E18-B29B-6F0EDD6D2F86}" name="OP_TotalRates_SME_1" displayName="OP_TotalRates_SME_1" ref="M8:U16" totalsRowShown="0" headerRowDxfId="146" headerRowBorderDxfId="145" tableBorderDxfId="144" totalsRowBorderDxfId="143" headerRowCellStyle="Table col heading" dataCellStyle="Table cell">
  <tableColumns count="9">
    <tableColumn id="1" xr3:uid="{C1A5C6F0-D41E-4832-A0D0-06DD1D76E1EE}" name="Rate name" dataCellStyle="Table cell"/>
    <tableColumn id="2" xr3:uid="{845C0D52-D2ED-4E94-BAD9-3BC221A1B4D6}" name="Unit" dataCellStyle="Table cell"/>
    <tableColumn id="3" xr3:uid="{F7EC689D-02E3-4F6F-B915-FB8FE642570C}" name="Customer type" dataCellStyle="Table cell"/>
    <tableColumn id="4" xr3:uid="{C4F34141-B33C-47EB-964B-78FFC9127264}" name="-" dataCellStyle="Table cell"/>
    <tableColumn id="5" xr3:uid="{759561F8-C1F4-4740-BBC1-CD3BBC1A4B6D}" name="Ausnet" dataDxfId="142" dataCellStyle="Table cell">
      <calculatedColumnFormula array="1">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calculatedColumnFormula>
    </tableColumn>
    <tableColumn id="6" xr3:uid="{8DB3D203-F696-471E-A81B-2603227D4C1C}" name="Citipower" dataDxfId="141" dataCellStyle="Table cell">
      <calculatedColumnFormula array="1">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calculatedColumnFormula>
    </tableColumn>
    <tableColumn id="7" xr3:uid="{12599797-6DB1-4752-A91D-D4F5623A9C9B}" name="Jemena" dataDxfId="140" dataCellStyle="Table cell">
      <calculatedColumnFormula array="1">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calculatedColumnFormula>
    </tableColumn>
    <tableColumn id="8" xr3:uid="{38D6C70A-AEA2-4EE5-BB10-DC85E9F4FBEF}" name="Powercor" dataDxfId="139" dataCellStyle="Table cell">
      <calculatedColumnFormula array="1">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calculatedColumnFormula>
    </tableColumn>
    <tableColumn id="9" xr3:uid="{3266CD91-BF6F-45E4-999E-6CBA79B9C8E8}" name="United Energy" dataDxfId="138" dataCellStyle="Table cell">
      <calculatedColumnFormula array="1">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calculatedColumnFormula>
    </tableColumn>
  </tableColumns>
  <tableStyleInfo name="Default table"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FEB8D17F-5D68-4130-BFBB-1A43FBFC16A3}" name="OP_RatesTU_RES_1" displayName="OP_RatesTU_RES_1" ref="C30:K39" totalsRowShown="0" headerRowDxfId="137" headerRowBorderDxfId="136" tableBorderDxfId="135" headerRowCellStyle="Table col heading" dataCellStyle="Internal link/lookup">
  <tableColumns count="9">
    <tableColumn id="1" xr3:uid="{EDE28CA5-A06C-49F9-A068-256EFAE7F168}" name="Rate name" dataDxfId="134" dataCellStyle="Table cell"/>
    <tableColumn id="2" xr3:uid="{F8BA328E-C870-4835-A420-6C613706B330}" name="Unit" dataDxfId="133" dataCellStyle="Table cell"/>
    <tableColumn id="3" xr3:uid="{2848F034-ACD7-4EBD-8A6C-818F974EFF49}" name="Customer type" dataDxfId="132" dataCellStyle="Table cell"/>
    <tableColumn id="4" xr3:uid="{2962F910-A75B-405C-9C97-A0C617F4A661}" name="Cost element" dataCellStyle="Table cell"/>
    <tableColumn id="5" xr3:uid="{686EA705-D4CF-4833-A268-FE69EB04E7AF}" name="Ausnet" dataDxfId="131" dataCellStyle="Internal link/lookup">
      <calculatedColumnFormula array="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calculatedColumnFormula>
    </tableColumn>
    <tableColumn id="6" xr3:uid="{9B8ED77B-C08F-4D34-8E42-4A9655A90B4C}" name="Citipower" dataDxfId="130" dataCellStyle="Internal link/lookup">
      <calculatedColumnFormula array="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calculatedColumnFormula>
    </tableColumn>
    <tableColumn id="7" xr3:uid="{12E49AC4-261F-464A-AB58-F13487FE2360}" name="Jemena" dataDxfId="129" dataCellStyle="Internal link/lookup">
      <calculatedColumnFormula array="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calculatedColumnFormula>
    </tableColumn>
    <tableColumn id="8" xr3:uid="{5A3667C2-AFFE-442F-B9A7-EB8AEA384D28}" name="Powercor" dataDxfId="128" dataCellStyle="Internal link/lookup">
      <calculatedColumnFormula array="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calculatedColumnFormula>
    </tableColumn>
    <tableColumn id="9" xr3:uid="{B2228E7E-67E5-4ECB-BC40-E0E7E16BAD7E}" name="United Energy" dataDxfId="127" dataCellStyle="Internal link/lookup">
      <calculatedColumnFormula array="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calculatedColumnFormula>
    </tableColumn>
  </tableColumns>
  <tableStyleInfo name="Default table"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B81553BE-E008-47C5-AF75-1727F1702120}" name="OP_RatesTU_SME_1" displayName="OP_RatesTU_SME_1" ref="M30:U39" totalsRowShown="0" headerRowDxfId="126" headerRowBorderDxfId="125" tableBorderDxfId="124" headerRowCellStyle="Table col heading" dataCellStyle="Internal link/lookup">
  <tableColumns count="9">
    <tableColumn id="1" xr3:uid="{45406C57-34CB-4B65-8E2B-1D5152BD0A25}" name="Rate name" dataDxfId="123" dataCellStyle="Table cell"/>
    <tableColumn id="2" xr3:uid="{2FA43327-1E12-456B-A0E8-9000AD58FD7D}" name="Unit" dataDxfId="122" dataCellStyle="Table cell"/>
    <tableColumn id="3" xr3:uid="{4C2AA5BA-F3B5-45BE-85C2-C987C331A4BA}" name="Customer type" dataDxfId="121" dataCellStyle="Table cell"/>
    <tableColumn id="4" xr3:uid="{9DC50DAB-4D1C-4AC1-A5AF-E33DB96A5A0F}" name="Cost element" dataCellStyle="Table cell"/>
    <tableColumn id="5" xr3:uid="{A13D3C70-92AE-4F16-91DA-A2562019C4A7}" name="Ausnet" dataDxfId="120" dataCellStyle="Internal link/lookup">
      <calculatedColumnFormula array="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calculatedColumnFormula>
    </tableColumn>
    <tableColumn id="6" xr3:uid="{6C8D8A13-598E-4820-8EAC-0364F4D1FB1E}" name="Citipower" dataDxfId="119" dataCellStyle="Internal link/lookup">
      <calculatedColumnFormula array="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calculatedColumnFormula>
    </tableColumn>
    <tableColumn id="7" xr3:uid="{7DD7EBBA-DA06-49A8-AC07-9371903F86CD}" name="Jemena" dataDxfId="118" dataCellStyle="Internal link/lookup">
      <calculatedColumnFormula array="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calculatedColumnFormula>
    </tableColumn>
    <tableColumn id="8" xr3:uid="{F9EC145C-9D67-49B2-A213-5370F048104E}" name="Powercor" dataDxfId="117" dataCellStyle="Internal link/lookup">
      <calculatedColumnFormula array="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calculatedColumnFormula>
    </tableColumn>
    <tableColumn id="9" xr3:uid="{4EC1B886-E7FA-4600-BED1-B95F3DBB98F2}" name="United Energy" dataDxfId="116" dataCellStyle="Internal link/lookup">
      <calculatedColumnFormula array="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calculatedColumnFormula>
    </tableColumn>
  </tableColumns>
  <tableStyleInfo name="Default table"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981ECF00-A28C-4DAE-BCAD-B3F05BFD6430}" name="CMAB_RES_1" displayName="CMAB_RES_1" ref="C10:I13" totalsRowShown="0" headerRowDxfId="115" headerRowBorderDxfId="114" tableBorderDxfId="113" totalsRowBorderDxfId="112" headerRowCellStyle="Table col heading">
  <tableColumns count="7">
    <tableColumn id="1" xr3:uid="{84FEBB47-56AD-49B3-9311-BA71F8AEC495}" name="Customer type"/>
    <tableColumn id="2" xr3:uid="{AC9F98FB-8140-41C9-84B7-22980FC208CE}" name="Usage profile"/>
    <tableColumn id="3" xr3:uid="{A389BDD1-8970-442A-9855-389673EB38C0}" name="Ausnet" dataDxfId="111" dataCellStyle="Table cell">
      <calculatedColumnFormula>IFERROR(
IF($D$7="VDO 2021 - Final",
ROUNDUP(
(INDEX(OP_TotalRates_RES_1[[Ausnet]:[United Energy]],MATCH("Anytime - supply",OP_TotalRates_RES_1[[Rate name]:[Rate name]],0),MATCH(OP_CMAB!E$10,OP_TotalRates_RES_1[[#Headers],[Ausnet]:[United Energy]],0))*DiY)+
(IFERROR((INDEX(OP_TotalRates_RES_1[[Ausnet]:[United Energy]],MATCH("Block 1",OP_TotalRates_RES_1[[Rate name]:[Rate name]],0),MATCH(OP_CMAB!E$10,OP_TotalRates_RES_1[[#Headers],[Ausnet]:[United Energy]],0))*
INDEX(Input_Usage[[F-CurrentVDO_Input]:[F-NextVDO_Input]],MATCH(OP_CMAB!$D11&amp;" - Block 1",Input_Usage[[Ref]:[Ref]],0),MATCH(OP_CMAB!$D$7,Inputs!$I$133:$M$133,0))),0)+
IFERROR((INDEX(OP_TotalRates_RES_1[[Ausnet]:[United Energy]],MATCH("Balance",OP_TotalRates_RES_1[[Rate name]:[Rate name]],0),MATCH(OP_CMAB!E$10,OP_TotalRates_RES_1[[#Headers],[Ausnet]:[United Energy]],0))*
INDEX(Input_Usage[[F-CurrentVDO_Input]:[F-NextVDO_Input]],MATCH(OP_CMAB!$D11&amp;" - Balance",Input_Usage[[Ref]:[Ref]],0),MATCH(OP_CMAB!$D$7,Inputs!$I$133:$M$133,0))),0)+
IFERROR((INDEX(OP_TotalRates_RES_1[[Ausnet]:[United Energy]],MATCH("Single rate",OP_TotalRates_RES_1[[Rate name]:[Rate name]],0),MATCH(OP_CMAB!E$10,OP_TotalRates_RES_1[[#Headers],[Ausnet]:[United Energy]],0))*
INDEX(Input_Usage[[F-CurrentVDO_Input]:[F-NextVDO_Input]],MATCH(OP_CMAB!$D11&amp;" - Annual",Input_Usage[[Ref]:[Ref]],0),MATCH(OP_CMAB!$D$7,Inputs!$I$133:$M$133,0))),0)),0),
ROUNDUP(
(INDEX(OP_TotalRates_RES_1[[Ausnet]:[United Energy]],MATCH("TOU - supply",OP_TotalRates_RES_1[[Rate name]:[Rate name]],0),MATCH(OP_CMAB!E$10,OP_TotalRates_RES_1[[#Headers],[Ausnet]:[United Energy]],0))*DiY)+
(INDEX(OP_TotalRates_RES_1[[Ausnet]:[United Energy]],MATCH("Peak",OP_TotalRates_RES_1[[Rate name]:[Rate name]],0),MATCH(OP_CMAB!E$10,OP_TotalRates_RES_1[[#Headers],[Ausnet]:[United Energy]],0))*
INDEX(Input_Usage[[F-CurrentVDO_Input]:[F-NextVDO_Input]],MATCH($D11&amp;" - Peak",Input_Usage[[Ref]:[Ref]],0),MATCH($D$7,Inputs!$I$133:$M$133,0)))+
IFERROR((INDEX(OP_TotalRates_RES_1[[Ausnet]:[United Energy]],MATCH("TOU - Shoulder",OP_TotalRates_RES_1[[Rate name]:[Rate name]],0),MATCH(OP_CMAB!E$10,OP_TotalRates_RES_1[[#Headers],[Ausnet]:[United Energy]],0))*
INDEX(Input_Usage[[F-CurrentVDO_Input]:[F-NextVDO_Input]],MATCH($D11&amp;" - Shoulder",Input_Usage[[Ref]:[Ref]],0),MATCH($D$7,Inputs!$I$133:$M$133,0))),0)+
(INDEX(OP_TotalRates_RES_1[[Ausnet]:[United Energy]],MATCH("Off peak",OP_TotalRates_RES_1[[Rate name]:[Rate name]],0),MATCH(OP_CMAB!E$10,OP_TotalRates_RES_1[[#Headers],[Ausnet]:[United Energy]],0))*
INDEX(Input_Usage[[F-CurrentVDO_Input]:[F-NextVDO_Input]],MATCH($D11&amp;" - Off peak",Input_Usage[[Ref]:[Ref]],0),MATCH($D$7,Inputs!$I$133:$M$133,0))),0)),"-")</calculatedColumnFormula>
    </tableColumn>
    <tableColumn id="4" xr3:uid="{BA39D082-53B0-4996-8C75-52452724B87F}" name="Citipower">
      <calculatedColumnFormula>IFERROR(
IF($D$7="VDO 2021 - Final",
ROUNDUP(
(INDEX(OP_TotalRates_RES_1[[Ausnet]:[United Energy]],MATCH("Anytime - supply",OP_TotalRates_RES_1[[Rate name]:[Rate name]],0),MATCH(OP_CMAB!F$10,OP_TotalRates_RES_1[[#Headers],[Ausnet]:[United Energy]],0))*DiY)+
(IFERROR((INDEX(OP_TotalRates_RES_1[[Ausnet]:[United Energy]],MATCH("Block 1",OP_TotalRates_RES_1[[Rate name]:[Rate name]],0),MATCH(OP_CMAB!F$10,OP_TotalRates_RES_1[[#Headers],[Ausnet]:[United Energy]],0))*
INDEX(Input_Usage[[F-CurrentVDO_Input]:[F-NextVDO_Input]],MATCH(OP_CMAB!$D11&amp;" - Block 1",Input_Usage[[Ref]:[Ref]],0),MATCH(OP_CMAB!$D$7,Inputs!$I$133:$M$133,0))),0)+
IFERROR((INDEX(OP_TotalRates_RES_1[[Ausnet]:[United Energy]],MATCH("Balance",OP_TotalRates_RES_1[[Rate name]:[Rate name]],0),MATCH(OP_CMAB!F$10,OP_TotalRates_RES_1[[#Headers],[Ausnet]:[United Energy]],0))*
INDEX(Input_Usage[[F-CurrentVDO_Input]:[F-NextVDO_Input]],MATCH(OP_CMAB!$D11&amp;" - Balance",Input_Usage[[Ref]:[Ref]],0),MATCH(OP_CMAB!$D$7,Inputs!$I$133:$M$133,0))),0)+
IFERROR((INDEX(OP_TotalRates_RES_1[[Ausnet]:[United Energy]],MATCH("Single rate",OP_TotalRates_RES_1[[Rate name]:[Rate name]],0),MATCH(OP_CMAB!F$10,OP_TotalRates_RES_1[[#Headers],[Ausnet]:[United Energy]],0))*
INDEX(Input_Usage[[F-CurrentVDO_Input]:[F-NextVDO_Input]],MATCH(OP_CMAB!$D11&amp;" - Annual",Input_Usage[[Ref]:[Ref]],0),MATCH(OP_CMAB!$D$7,Inputs!$I$133:$M$133,0))),0)),0),
ROUNDUP(
(INDEX(OP_TotalRates_RES_1[[Ausnet]:[United Energy]],MATCH("TOU - supply",OP_TotalRates_RES_1[[Rate name]:[Rate name]],0),MATCH(OP_CMAB!F$10,OP_TotalRates_RES_1[[#Headers],[Ausnet]:[United Energy]],0))*DiY)+
(INDEX(OP_TotalRates_RES_1[[Ausnet]:[United Energy]],MATCH("Peak",OP_TotalRates_RES_1[[Rate name]:[Rate name]],0),MATCH(OP_CMAB!F$10,OP_TotalRates_RES_1[[#Headers],[Ausnet]:[United Energy]],0))*
INDEX(Input_Usage[[F-CurrentVDO_Input]:[F-NextVDO_Input]],MATCH($D11&amp;" - Peak",Input_Usage[[Ref]:[Ref]],0),MATCH($D$7,Inputs!$I$133:$M$133,0)))+
IFERROR((INDEX(OP_TotalRates_RES_1[[Ausnet]:[United Energy]],MATCH("TOU - Shoulder",OP_TotalRates_RES_1[[Rate name]:[Rate name]],0),MATCH(OP_CMAB!F$10,OP_TotalRates_RES_1[[#Headers],[Ausnet]:[United Energy]],0))*
INDEX(Input_Usage[[F-CurrentVDO_Input]:[F-NextVDO_Input]],MATCH($D11&amp;" - Shoulder",Input_Usage[[Ref]:[Ref]],0),MATCH($D$7,Inputs!$I$133:$M$133,0))),0)+
(INDEX(OP_TotalRates_RES_1[[Ausnet]:[United Energy]],MATCH("Off peak",OP_TotalRates_RES_1[[Rate name]:[Rate name]],0),MATCH(OP_CMAB!F$10,OP_TotalRates_RES_1[[#Headers],[Ausnet]:[United Energy]],0))*
INDEX(Input_Usage[[F-CurrentVDO_Input]:[F-NextVDO_Input]],MATCH($D11&amp;" - Off peak",Input_Usage[[Ref]:[Ref]],0),MATCH($D$7,Inputs!$I$133:$M$133,0))),0)),"-")</calculatedColumnFormula>
    </tableColumn>
    <tableColumn id="5" xr3:uid="{282AD3F8-3333-43B4-86C8-A1CA8ED95F00}" name="Jemena">
      <calculatedColumnFormula>IFERROR(
IF($D$7="VDO 2021 - Final",
ROUNDUP(
(INDEX(OP_TotalRates_RES_1[[Ausnet]:[United Energy]],MATCH("Anytime - supply",OP_TotalRates_RES_1[[Rate name]:[Rate name]],0),MATCH(OP_CMAB!G$10,OP_TotalRates_RES_1[[#Headers],[Ausnet]:[United Energy]],0))*DiY)+
(IFERROR((INDEX(OP_TotalRates_RES_1[[Ausnet]:[United Energy]],MATCH("Block 1",OP_TotalRates_RES_1[[Rate name]:[Rate name]],0),MATCH(OP_CMAB!G$10,OP_TotalRates_RES_1[[#Headers],[Ausnet]:[United Energy]],0))*
INDEX(Input_Usage[[F-CurrentVDO_Input]:[F-NextVDO_Input]],MATCH(OP_CMAB!$D11&amp;" - Block 1",Input_Usage[[Ref]:[Ref]],0),MATCH(OP_CMAB!$D$7,Inputs!$I$133:$M$133,0))),0)+
IFERROR((INDEX(OP_TotalRates_RES_1[[Ausnet]:[United Energy]],MATCH("Balance",OP_TotalRates_RES_1[[Rate name]:[Rate name]],0),MATCH(OP_CMAB!G$10,OP_TotalRates_RES_1[[#Headers],[Ausnet]:[United Energy]],0))*
INDEX(Input_Usage[[F-CurrentVDO_Input]:[F-NextVDO_Input]],MATCH(OP_CMAB!$D11&amp;" - Balance",Input_Usage[[Ref]:[Ref]],0),MATCH(OP_CMAB!$D$7,Inputs!$I$133:$M$133,0))),0)+
IFERROR((INDEX(OP_TotalRates_RES_1[[Ausnet]:[United Energy]],MATCH("Single rate",OP_TotalRates_RES_1[[Rate name]:[Rate name]],0),MATCH(OP_CMAB!G$10,OP_TotalRates_RES_1[[#Headers],[Ausnet]:[United Energy]],0))*
INDEX(Input_Usage[[F-CurrentVDO_Input]:[F-NextVDO_Input]],MATCH(OP_CMAB!$D11&amp;" - Annual",Input_Usage[[Ref]:[Ref]],0),MATCH(OP_CMAB!$D$7,Inputs!$I$133:$M$133,0))),0)),0),
ROUNDUP(
(INDEX(OP_TotalRates_RES_1[[Ausnet]:[United Energy]],MATCH("TOU - supply",OP_TotalRates_RES_1[[Rate name]:[Rate name]],0),MATCH(OP_CMAB!G$10,OP_TotalRates_RES_1[[#Headers],[Ausnet]:[United Energy]],0))*DiY)+
(INDEX(OP_TotalRates_RES_1[[Ausnet]:[United Energy]],MATCH("Peak",OP_TotalRates_RES_1[[Rate name]:[Rate name]],0),MATCH(OP_CMAB!G$10,OP_TotalRates_RES_1[[#Headers],[Ausnet]:[United Energy]],0))*
INDEX(Input_Usage[[F-CurrentVDO_Input]:[F-NextVDO_Input]],MATCH($D11&amp;" - Peak",Input_Usage[[Ref]:[Ref]],0),MATCH($D$7,Inputs!$I$133:$M$133,0)))+
IFERROR((INDEX(OP_TotalRates_RES_1[[Ausnet]:[United Energy]],MATCH("TOU - Shoulder",OP_TotalRates_RES_1[[Rate name]:[Rate name]],0),MATCH(OP_CMAB!G$10,OP_TotalRates_RES_1[[#Headers],[Ausnet]:[United Energy]],0))*
INDEX(Input_Usage[[F-CurrentVDO_Input]:[F-NextVDO_Input]],MATCH($D11&amp;" - Shoulder",Input_Usage[[Ref]:[Ref]],0),MATCH($D$7,Inputs!$I$133:$M$133,0))),0)+
(INDEX(OP_TotalRates_RES_1[[Ausnet]:[United Energy]],MATCH("Off peak",OP_TotalRates_RES_1[[Rate name]:[Rate name]],0),MATCH(OP_CMAB!G$10,OP_TotalRates_RES_1[[#Headers],[Ausnet]:[United Energy]],0))*
INDEX(Input_Usage[[F-CurrentVDO_Input]:[F-NextVDO_Input]],MATCH($D11&amp;" - Off peak",Input_Usage[[Ref]:[Ref]],0),MATCH($D$7,Inputs!$I$133:$M$133,0))),0)),"-")</calculatedColumnFormula>
    </tableColumn>
    <tableColumn id="6" xr3:uid="{8787BD47-D93F-4B34-86AA-1295F8CA6ECE}" name="Powercor">
      <calculatedColumnFormula>IFERROR(
IF($D$7="VDO 2021 - Final",
ROUNDUP(
(INDEX(OP_TotalRates_RES_1[[Ausnet]:[United Energy]],MATCH("Anytime - supply",OP_TotalRates_RES_1[[Rate name]:[Rate name]],0),MATCH(OP_CMAB!H$10,OP_TotalRates_RES_1[[#Headers],[Ausnet]:[United Energy]],0))*DiY)+
(IFERROR((INDEX(OP_TotalRates_RES_1[[Ausnet]:[United Energy]],MATCH("Block 1",OP_TotalRates_RES_1[[Rate name]:[Rate name]],0),MATCH(OP_CMAB!H$10,OP_TotalRates_RES_1[[#Headers],[Ausnet]:[United Energy]],0))*
INDEX(Input_Usage[[F-CurrentVDO_Input]:[F-NextVDO_Input]],MATCH(OP_CMAB!$D11&amp;" - Block 1",Input_Usage[[Ref]:[Ref]],0),MATCH(OP_CMAB!$D$7,Inputs!$I$133:$M$133,0))),0)+
IFERROR((INDEX(OP_TotalRates_RES_1[[Ausnet]:[United Energy]],MATCH("Balance",OP_TotalRates_RES_1[[Rate name]:[Rate name]],0),MATCH(OP_CMAB!H$10,OP_TotalRates_RES_1[[#Headers],[Ausnet]:[United Energy]],0))*
INDEX(Input_Usage[[F-CurrentVDO_Input]:[F-NextVDO_Input]],MATCH(OP_CMAB!$D11&amp;" - Balance",Input_Usage[[Ref]:[Ref]],0),MATCH(OP_CMAB!$D$7,Inputs!$I$133:$M$133,0))),0)+
IFERROR((INDEX(OP_TotalRates_RES_1[[Ausnet]:[United Energy]],MATCH("Single rate",OP_TotalRates_RES_1[[Rate name]:[Rate name]],0),MATCH(OP_CMAB!H$10,OP_TotalRates_RES_1[[#Headers],[Ausnet]:[United Energy]],0))*
INDEX(Input_Usage[[F-CurrentVDO_Input]:[F-NextVDO_Input]],MATCH(OP_CMAB!$D11&amp;" - Annual",Input_Usage[[Ref]:[Ref]],0),MATCH(OP_CMAB!$D$7,Inputs!$I$133:$M$133,0))),0)),0),
ROUNDUP(
(INDEX(OP_TotalRates_RES_1[[Ausnet]:[United Energy]],MATCH("TOU - supply",OP_TotalRates_RES_1[[Rate name]:[Rate name]],0),MATCH(OP_CMAB!H$10,OP_TotalRates_RES_1[[#Headers],[Ausnet]:[United Energy]],0))*DiY)+
(INDEX(OP_TotalRates_RES_1[[Ausnet]:[United Energy]],MATCH("Peak",OP_TotalRates_RES_1[[Rate name]:[Rate name]],0),MATCH(OP_CMAB!H$10,OP_TotalRates_RES_1[[#Headers],[Ausnet]:[United Energy]],0))*
INDEX(Input_Usage[[F-CurrentVDO_Input]:[F-NextVDO_Input]],MATCH($D11&amp;" - Peak",Input_Usage[[Ref]:[Ref]],0),MATCH($D$7,Inputs!$I$133:$M$133,0)))+
IFERROR((INDEX(OP_TotalRates_RES_1[[Ausnet]:[United Energy]],MATCH("TOU - Shoulder",OP_TotalRates_RES_1[[Rate name]:[Rate name]],0),MATCH(OP_CMAB!H$10,OP_TotalRates_RES_1[[#Headers],[Ausnet]:[United Energy]],0))*
INDEX(Input_Usage[[F-CurrentVDO_Input]:[F-NextVDO_Input]],MATCH($D11&amp;" - Shoulder",Input_Usage[[Ref]:[Ref]],0),MATCH($D$7,Inputs!$I$133:$M$133,0))),0)+
(INDEX(OP_TotalRates_RES_1[[Ausnet]:[United Energy]],MATCH("Off peak",OP_TotalRates_RES_1[[Rate name]:[Rate name]],0),MATCH(OP_CMAB!H$10,OP_TotalRates_RES_1[[#Headers],[Ausnet]:[United Energy]],0))*
INDEX(Input_Usage[[F-CurrentVDO_Input]:[F-NextVDO_Input]],MATCH($D11&amp;" - Off peak",Input_Usage[[Ref]:[Ref]],0),MATCH($D$7,Inputs!$I$133:$M$133,0))),0)),"-")</calculatedColumnFormula>
    </tableColumn>
    <tableColumn id="7" xr3:uid="{6DCB4D75-0C84-4A70-9F7B-3AA3F67D07AB}" name="United Energy">
      <calculatedColumnFormula>IFERROR(
IF($D$7="VDO 2021 - Final",
ROUNDUP(
(INDEX(OP_TotalRates_RES_1[[Ausnet]:[United Energy]],MATCH("Anytime - supply",OP_TotalRates_RES_1[[Rate name]:[Rate name]],0),MATCH(OP_CMAB!I$10,OP_TotalRates_RES_1[[#Headers],[Ausnet]:[United Energy]],0))*DiY)+
(IFERROR((INDEX(OP_TotalRates_RES_1[[Ausnet]:[United Energy]],MATCH("Block 1",OP_TotalRates_RES_1[[Rate name]:[Rate name]],0),MATCH(OP_CMAB!I$10,OP_TotalRates_RES_1[[#Headers],[Ausnet]:[United Energy]],0))*
INDEX(Input_Usage[[F-CurrentVDO_Input]:[F-NextVDO_Input]],MATCH(OP_CMAB!$D11&amp;" - Block 1",Input_Usage[[Ref]:[Ref]],0),MATCH(OP_CMAB!$D$7,Inputs!$I$133:$M$133,0))),0)+
IFERROR((INDEX(OP_TotalRates_RES_1[[Ausnet]:[United Energy]],MATCH("Balance",OP_TotalRates_RES_1[[Rate name]:[Rate name]],0),MATCH(OP_CMAB!I$10,OP_TotalRates_RES_1[[#Headers],[Ausnet]:[United Energy]],0))*
INDEX(Input_Usage[[F-CurrentVDO_Input]:[F-NextVDO_Input]],MATCH(OP_CMAB!$D11&amp;" - Balance",Input_Usage[[Ref]:[Ref]],0),MATCH(OP_CMAB!$D$7,Inputs!$I$133:$M$133,0))),0)+
IFERROR((INDEX(OP_TotalRates_RES_1[[Ausnet]:[United Energy]],MATCH("Single rate",OP_TotalRates_RES_1[[Rate name]:[Rate name]],0),MATCH(OP_CMAB!I$10,OP_TotalRates_RES_1[[#Headers],[Ausnet]:[United Energy]],0))*
INDEX(Input_Usage[[F-CurrentVDO_Input]:[F-NextVDO_Input]],MATCH(OP_CMAB!$D11&amp;" - Annual",Input_Usage[[Ref]:[Ref]],0),MATCH(OP_CMAB!$D$7,Inputs!$I$133:$M$133,0))),0)),0),
ROUNDUP(
(INDEX(OP_TotalRates_RES_1[[Ausnet]:[United Energy]],MATCH("TOU - supply",OP_TotalRates_RES_1[[Rate name]:[Rate name]],0),MATCH(OP_CMAB!I$10,OP_TotalRates_RES_1[[#Headers],[Ausnet]:[United Energy]],0))*DiY)+
(INDEX(OP_TotalRates_RES_1[[Ausnet]:[United Energy]],MATCH("Peak",OP_TotalRates_RES_1[[Rate name]:[Rate name]],0),MATCH(OP_CMAB!I$10,OP_TotalRates_RES_1[[#Headers],[Ausnet]:[United Energy]],0))*
INDEX(Input_Usage[[F-CurrentVDO_Input]:[F-NextVDO_Input]],MATCH($D11&amp;" - Peak",Input_Usage[[Ref]:[Ref]],0),MATCH($D$7,Inputs!$I$133:$M$133,0)))+
IFERROR((INDEX(OP_TotalRates_RES_1[[Ausnet]:[United Energy]],MATCH("TOU - Shoulder",OP_TotalRates_RES_1[[Rate name]:[Rate name]],0),MATCH(OP_CMAB!I$10,OP_TotalRates_RES_1[[#Headers],[Ausnet]:[United Energy]],0))*
INDEX(Input_Usage[[F-CurrentVDO_Input]:[F-NextVDO_Input]],MATCH($D11&amp;" - Shoulder",Input_Usage[[Ref]:[Ref]],0),MATCH($D$7,Inputs!$I$133:$M$133,0))),0)+
(INDEX(OP_TotalRates_RES_1[[Ausnet]:[United Energy]],MATCH("Off peak",OP_TotalRates_RES_1[[Rate name]:[Rate name]],0),MATCH(OP_CMAB!I$10,OP_TotalRates_RES_1[[#Headers],[Ausnet]:[United Energy]],0))*
INDEX(Input_Usage[[F-CurrentVDO_Input]:[F-NextVDO_Input]],MATCH($D11&amp;" - Off peak",Input_Usage[[Ref]:[Ref]],0),MATCH($D$7,Inputs!$I$133:$M$133,0))),0)),"-")</calculatedColumnFormula>
    </tableColumn>
  </tableColumns>
  <tableStyleInfo name="Default table"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78868BB8-B928-42FB-BADD-F5CE65D1A929}" name="CMAB_SME_1" displayName="CMAB_SME_1" ref="K10:Q13" totalsRowShown="0" headerRowDxfId="110" headerRowBorderDxfId="109" tableBorderDxfId="108" totalsRowBorderDxfId="107" headerRowCellStyle="Table col heading">
  <tableColumns count="7">
    <tableColumn id="1" xr3:uid="{CFE1BF38-F8D5-417C-B8B8-055440189F48}" name="Customer type"/>
    <tableColumn id="2" xr3:uid="{A1BFB354-68E7-422C-A85D-4EE75E8C112A}" name="Usage profile"/>
    <tableColumn id="3" xr3:uid="{5FC92D0D-723D-4278-A68D-731B046067B9}" name="Ausnet" dataDxfId="106" dataCellStyle="Table cell">
      <calculatedColumnFormula>IFERROR(
IF($D$7="VDO 2021 - Final",
ROUNDUP(
(INDEX(OP_TotalRates_SME_1[[Ausnet]:[United Energy]],MATCH("Anytime - supply",OP_TotalRates_SME_1[[Rate name]:[Rate name]],0),MATCH(OP_CMAB!M$10,OP_TotalRates_SME_1[[#Headers],[Ausnet]:[United Energy]],0))*DiY)+
(IFERROR((INDEX(OP_TotalRates_SME_1[[Ausnet]:[United Energy]],MATCH("Block 1",OP_TotalRates_SME_1[[Rate name]:[Rate name]],0),MATCH(OP_CMAB!M$10,OP_TotalRates_SME_1[[#Headers],[Ausnet]:[United Energy]],0))*
INDEX(Input_Usage[[F-CurrentVDO_Input]:[F-NextVDO_Input]],MATCH(OP_CMAB!$L11&amp;" - Block 1",Input_Usage[[Ref]:[Ref]],0),MATCH(OP_CMAB!$D$7,Inputs!$I$133:$M$133,0))),0)+
IFERROR((INDEX(OP_TotalRates_SME_1[[Ausnet]:[United Energy]],MATCH("Balance",OP_TotalRates_SME_1[[Rate name]:[Rate name]],0),MATCH(OP_CMAB!M$10,OP_TotalRates_SME_1[[#Headers],[Ausnet]:[United Energy]],0))*
INDEX(Input_Usage[[F-CurrentVDO_Input]:[F-NextVDO_Input]],MATCH(OP_CMAB!$L11&amp;" - Balance",Input_Usage[[Ref]:[Ref]],0),MATCH(OP_CMAB!$D$7,Inputs!$I$133:$M$133,0))),0)+
IFERROR((INDEX(OP_TotalRates_SME_1[[Ausnet]:[United Energy]],MATCH("Single rate",OP_TotalRates_SME_1[[Rate name]:[Rate name]],0),MATCH(OP_CMAB!M$10,OP_TotalRates_SME_1[[#Headers],[Ausnet]:[United Energy]],0))*
INDEX(Input_Usage[[F-CurrentVDO_Input]:[F-NextVDO_Input]],MATCH(OP_CMAB!$L11&amp;" - Annual",Input_Usage[[Ref]:[Ref]],0),MATCH(OP_CMAB!$D$7,Inputs!$I$133:$M$133,0))),0)),0),
ROUNDUP(
(INDEX(OP_TotalRates_SME_1[[Ausnet]:[United Energy]],MATCH("TOU - supply",OP_TotalRates_SME_1[[Rate name]:[Rate name]],0),MATCH(OP_CMAB!M$10,OP_TotalRates_SME_1[[#Headers],[Ausnet]:[United Energy]],0))*DiY)+
(INDEX(OP_TotalRates_SME_1[[Ausnet]:[United Energy]],MATCH("Peak",OP_TotalRates_SME_1[[Rate name]:[Rate name]],0),MATCH(OP_CMAB!M$10,OP_TotalRates_SME_1[[#Headers],[Ausnet]:[United Energy]],0))*
INDEX(Input_Usage[[F-CurrentVDO_Input]:[F-NextVDO_Input]],MATCH($L11&amp;" - Peak",Input_Usage[[Ref]:[Ref]],0),MATCH($D$7,Inputs!$I$133:$M$133,0)))+
IFERROR((INDEX(OP_TotalRates_SME_1[[Ausnet]:[United Energy]],MATCH("TOU - Shoulder",OP_TotalRates_SME_1[[Rate name]:[Rate name]],0),MATCH(OP_CMAB!M$10,OP_TotalRates_SME_1[[#Headers],[Ausnet]:[United Energy]],0))*
INDEX(Input_Usage[[F-CurrentVDO_Input]:[F-NextVDO_Input]],MATCH($L11&amp;" - Shoulder",Input_Usage[[Ref]:[Ref]],0),MATCH($D$7,Inputs!$I$133:$M$133,0))),0)+
(INDEX(OP_TotalRates_SME_1[[Ausnet]:[United Energy]],MATCH("Off peak",OP_TotalRates_SME_1[[Rate name]:[Rate name]],0),MATCH(OP_CMAB!M$10,OP_TotalRates_SME_1[[#Headers],[Ausnet]:[United Energy]],0))*
INDEX(Input_Usage[[F-CurrentVDO_Input]:[F-NextVDO_Input]],MATCH($L11&amp;" - Off peak",Input_Usage[[Ref]:[Ref]],0),MATCH($D$7,Inputs!$I$133:$M$133,0))),0)),"-")</calculatedColumnFormula>
    </tableColumn>
    <tableColumn id="4" xr3:uid="{A854BB72-10CE-41A2-BD33-3B9D4B05B42C}" name="Citipower">
      <calculatedColumnFormula>IFERROR(
IF($D$7="VDO 2021 - Final",
ROUNDUP(
(INDEX(OP_TotalRates_SME_1[[Ausnet]:[United Energy]],MATCH("Anytime - supply",OP_TotalRates_SME_1[[Rate name]:[Rate name]],0),MATCH(OP_CMAB!N$10,OP_TotalRates_SME_1[[#Headers],[Ausnet]:[United Energy]],0))*DiY)+
(IFERROR((INDEX(OP_TotalRates_SME_1[[Ausnet]:[United Energy]],MATCH("Block 1",OP_TotalRates_SME_1[[Rate name]:[Rate name]],0),MATCH(OP_CMAB!N$10,OP_TotalRates_SME_1[[#Headers],[Ausnet]:[United Energy]],0))*
INDEX(Input_Usage[[F-CurrentVDO_Input]:[F-NextVDO_Input]],MATCH(OP_CMAB!$L11&amp;" - Block 1",Input_Usage[[Ref]:[Ref]],0),MATCH(OP_CMAB!$D$7,Inputs!$I$133:$M$133,0))),0)+
IFERROR((INDEX(OP_TotalRates_SME_1[[Ausnet]:[United Energy]],MATCH("Balance",OP_TotalRates_SME_1[[Rate name]:[Rate name]],0),MATCH(OP_CMAB!N$10,OP_TotalRates_SME_1[[#Headers],[Ausnet]:[United Energy]],0))*
INDEX(Input_Usage[[F-CurrentVDO_Input]:[F-NextVDO_Input]],MATCH(OP_CMAB!$L11&amp;" - Balance",Input_Usage[[Ref]:[Ref]],0),MATCH(OP_CMAB!$D$7,Inputs!$I$133:$M$133,0))),0)+
IFERROR((INDEX(OP_TotalRates_SME_1[[Ausnet]:[United Energy]],MATCH("Single rate",OP_TotalRates_SME_1[[Rate name]:[Rate name]],0),MATCH(OP_CMAB!N$10,OP_TotalRates_SME_1[[#Headers],[Ausnet]:[United Energy]],0))*
INDEX(Input_Usage[[F-CurrentVDO_Input]:[F-NextVDO_Input]],MATCH(OP_CMAB!$L11&amp;" - Annual",Input_Usage[[Ref]:[Ref]],0),MATCH(OP_CMAB!$D$7,Inputs!$I$133:$M$133,0))),0)),0),
ROUNDUP(
(INDEX(OP_TotalRates_SME_1[[Ausnet]:[United Energy]],MATCH("TOU - supply",OP_TotalRates_SME_1[[Rate name]:[Rate name]],0),MATCH(OP_CMAB!N$10,OP_TotalRates_SME_1[[#Headers],[Ausnet]:[United Energy]],0))*DiY)+
(INDEX(OP_TotalRates_SME_1[[Ausnet]:[United Energy]],MATCH("Peak",OP_TotalRates_SME_1[[Rate name]:[Rate name]],0),MATCH(OP_CMAB!N$10,OP_TotalRates_SME_1[[#Headers],[Ausnet]:[United Energy]],0))*
INDEX(Input_Usage[[F-CurrentVDO_Input]:[F-NextVDO_Input]],MATCH($L11&amp;" - Peak",Input_Usage[[Ref]:[Ref]],0),MATCH($D$7,Inputs!$I$133:$M$133,0)))+
IFERROR((INDEX(OP_TotalRates_SME_1[[Ausnet]:[United Energy]],MATCH("TOU - Shoulder",OP_TotalRates_SME_1[[Rate name]:[Rate name]],0),MATCH(OP_CMAB!N$10,OP_TotalRates_SME_1[[#Headers],[Ausnet]:[United Energy]],0))*
INDEX(Input_Usage[[F-CurrentVDO_Input]:[F-NextVDO_Input]],MATCH($L11&amp;" - Shoulder",Input_Usage[[Ref]:[Ref]],0),MATCH($D$7,Inputs!$I$133:$M$133,0))),0)+
(INDEX(OP_TotalRates_SME_1[[Ausnet]:[United Energy]],MATCH("Off peak",OP_TotalRates_SME_1[[Rate name]:[Rate name]],0),MATCH(OP_CMAB!N$10,OP_TotalRates_SME_1[[#Headers],[Ausnet]:[United Energy]],0))*
INDEX(Input_Usage[[F-CurrentVDO_Input]:[F-NextVDO_Input]],MATCH($L11&amp;" - Off peak",Input_Usage[[Ref]:[Ref]],0),MATCH($D$7,Inputs!$I$133:$M$133,0))),0)),"-")</calculatedColumnFormula>
    </tableColumn>
    <tableColumn id="5" xr3:uid="{37F3AA68-E85C-4177-B19E-9471B53A7CC8}" name="Jemena">
      <calculatedColumnFormula>IFERROR(
IF($D$7="VDO 2021 - Final",
ROUNDUP(
(INDEX(OP_TotalRates_SME_1[[Ausnet]:[United Energy]],MATCH("Anytime - supply",OP_TotalRates_SME_1[[Rate name]:[Rate name]],0),MATCH(OP_CMAB!O$10,OP_TotalRates_SME_1[[#Headers],[Ausnet]:[United Energy]],0))*DiY)+
(IFERROR((INDEX(OP_TotalRates_SME_1[[Ausnet]:[United Energy]],MATCH("Block 1",OP_TotalRates_SME_1[[Rate name]:[Rate name]],0),MATCH(OP_CMAB!O$10,OP_TotalRates_SME_1[[#Headers],[Ausnet]:[United Energy]],0))*
INDEX(Input_Usage[[F-CurrentVDO_Input]:[F-NextVDO_Input]],MATCH(OP_CMAB!$L11&amp;" - Block 1",Input_Usage[[Ref]:[Ref]],0),MATCH(OP_CMAB!$D$7,Inputs!$I$133:$M$133,0))),0)+
IFERROR((INDEX(OP_TotalRates_SME_1[[Ausnet]:[United Energy]],MATCH("Balance",OP_TotalRates_SME_1[[Rate name]:[Rate name]],0),MATCH(OP_CMAB!O$10,OP_TotalRates_SME_1[[#Headers],[Ausnet]:[United Energy]],0))*
INDEX(Input_Usage[[F-CurrentVDO_Input]:[F-NextVDO_Input]],MATCH(OP_CMAB!$L11&amp;" - Balance",Input_Usage[[Ref]:[Ref]],0),MATCH(OP_CMAB!$D$7,Inputs!$I$133:$M$133,0))),0)+
IFERROR((INDEX(OP_TotalRates_SME_1[[Ausnet]:[United Energy]],MATCH("Single rate",OP_TotalRates_SME_1[[Rate name]:[Rate name]],0),MATCH(OP_CMAB!O$10,OP_TotalRates_SME_1[[#Headers],[Ausnet]:[United Energy]],0))*
INDEX(Input_Usage[[F-CurrentVDO_Input]:[F-NextVDO_Input]],MATCH(OP_CMAB!$L11&amp;" - Annual",Input_Usage[[Ref]:[Ref]],0),MATCH(OP_CMAB!$D$7,Inputs!$I$133:$M$133,0))),0)),0),
ROUNDUP(
(INDEX(OP_TotalRates_SME_1[[Ausnet]:[United Energy]],MATCH("TOU - supply",OP_TotalRates_SME_1[[Rate name]:[Rate name]],0),MATCH(OP_CMAB!O$10,OP_TotalRates_SME_1[[#Headers],[Ausnet]:[United Energy]],0))*DiY)+
(INDEX(OP_TotalRates_SME_1[[Ausnet]:[United Energy]],MATCH("Peak",OP_TotalRates_SME_1[[Rate name]:[Rate name]],0),MATCH(OP_CMAB!O$10,OP_TotalRates_SME_1[[#Headers],[Ausnet]:[United Energy]],0))*
INDEX(Input_Usage[[F-CurrentVDO_Input]:[F-NextVDO_Input]],MATCH($L11&amp;" - Peak",Input_Usage[[Ref]:[Ref]],0),MATCH($D$7,Inputs!$I$133:$M$133,0)))+
IFERROR((INDEX(OP_TotalRates_SME_1[[Ausnet]:[United Energy]],MATCH("TOU - Shoulder",OP_TotalRates_SME_1[[Rate name]:[Rate name]],0),MATCH(OP_CMAB!O$10,OP_TotalRates_SME_1[[#Headers],[Ausnet]:[United Energy]],0))*
INDEX(Input_Usage[[F-CurrentVDO_Input]:[F-NextVDO_Input]],MATCH($L11&amp;" - Shoulder",Input_Usage[[Ref]:[Ref]],0),MATCH($D$7,Inputs!$I$133:$M$133,0))),0)+
(INDEX(OP_TotalRates_SME_1[[Ausnet]:[United Energy]],MATCH("Off peak",OP_TotalRates_SME_1[[Rate name]:[Rate name]],0),MATCH(OP_CMAB!O$10,OP_TotalRates_SME_1[[#Headers],[Ausnet]:[United Energy]],0))*
INDEX(Input_Usage[[F-CurrentVDO_Input]:[F-NextVDO_Input]],MATCH($L11&amp;" - Off peak",Input_Usage[[Ref]:[Ref]],0),MATCH($D$7,Inputs!$I$133:$M$133,0))),0)),"-")</calculatedColumnFormula>
    </tableColumn>
    <tableColumn id="6" xr3:uid="{CC163AC0-D0FC-4725-AB96-3480C0535BF2}" name="Powercor">
      <calculatedColumnFormula>IFERROR(
IF($D$7="VDO 2021 - Final",
ROUNDUP(
(INDEX(OP_TotalRates_SME_1[[Ausnet]:[United Energy]],MATCH("Anytime - supply",OP_TotalRates_SME_1[[Rate name]:[Rate name]],0),MATCH(OP_CMAB!P$10,OP_TotalRates_SME_1[[#Headers],[Ausnet]:[United Energy]],0))*DiY)+
(IFERROR((INDEX(OP_TotalRates_SME_1[[Ausnet]:[United Energy]],MATCH("Block 1",OP_TotalRates_SME_1[[Rate name]:[Rate name]],0),MATCH(OP_CMAB!P$10,OP_TotalRates_SME_1[[#Headers],[Ausnet]:[United Energy]],0))*
INDEX(Input_Usage[[F-CurrentVDO_Input]:[F-NextVDO_Input]],MATCH(OP_CMAB!$L11&amp;" - Block 1",Input_Usage[[Ref]:[Ref]],0),MATCH(OP_CMAB!$D$7,Inputs!$I$133:$M$133,0))),0)+
IFERROR((INDEX(OP_TotalRates_SME_1[[Ausnet]:[United Energy]],MATCH("Balance",OP_TotalRates_SME_1[[Rate name]:[Rate name]],0),MATCH(OP_CMAB!P$10,OP_TotalRates_SME_1[[#Headers],[Ausnet]:[United Energy]],0))*
INDEX(Input_Usage[[F-CurrentVDO_Input]:[F-NextVDO_Input]],MATCH(OP_CMAB!$L11&amp;" - Balance",Input_Usage[[Ref]:[Ref]],0),MATCH(OP_CMAB!$D$7,Inputs!$I$133:$M$133,0))),0)+
IFERROR((INDEX(OP_TotalRates_SME_1[[Ausnet]:[United Energy]],MATCH("Single rate",OP_TotalRates_SME_1[[Rate name]:[Rate name]],0),MATCH(OP_CMAB!P$10,OP_TotalRates_SME_1[[#Headers],[Ausnet]:[United Energy]],0))*
INDEX(Input_Usage[[F-CurrentVDO_Input]:[F-NextVDO_Input]],MATCH(OP_CMAB!$L11&amp;" - Annual",Input_Usage[[Ref]:[Ref]],0),MATCH(OP_CMAB!$D$7,Inputs!$I$133:$M$133,0))),0)),0),
ROUNDUP(
(INDEX(OP_TotalRates_SME_1[[Ausnet]:[United Energy]],MATCH("TOU - supply",OP_TotalRates_SME_1[[Rate name]:[Rate name]],0),MATCH(OP_CMAB!P$10,OP_TotalRates_SME_1[[#Headers],[Ausnet]:[United Energy]],0))*DiY)+
(INDEX(OP_TotalRates_SME_1[[Ausnet]:[United Energy]],MATCH("Peak",OP_TotalRates_SME_1[[Rate name]:[Rate name]],0),MATCH(OP_CMAB!P$10,OP_TotalRates_SME_1[[#Headers],[Ausnet]:[United Energy]],0))*
INDEX(Input_Usage[[F-CurrentVDO_Input]:[F-NextVDO_Input]],MATCH($L11&amp;" - Peak",Input_Usage[[Ref]:[Ref]],0),MATCH($D$7,Inputs!$I$133:$M$133,0)))+
IFERROR((INDEX(OP_TotalRates_SME_1[[Ausnet]:[United Energy]],MATCH("TOU - Shoulder",OP_TotalRates_SME_1[[Rate name]:[Rate name]],0),MATCH(OP_CMAB!P$10,OP_TotalRates_SME_1[[#Headers],[Ausnet]:[United Energy]],0))*
INDEX(Input_Usage[[F-CurrentVDO_Input]:[F-NextVDO_Input]],MATCH($L11&amp;" - Shoulder",Input_Usage[[Ref]:[Ref]],0),MATCH($D$7,Inputs!$I$133:$M$133,0))),0)+
(INDEX(OP_TotalRates_SME_1[[Ausnet]:[United Energy]],MATCH("Off peak",OP_TotalRates_SME_1[[Rate name]:[Rate name]],0),MATCH(OP_CMAB!P$10,OP_TotalRates_SME_1[[#Headers],[Ausnet]:[United Energy]],0))*
INDEX(Input_Usage[[F-CurrentVDO_Input]:[F-NextVDO_Input]],MATCH($L11&amp;" - Off peak",Input_Usage[[Ref]:[Ref]],0),MATCH($D$7,Inputs!$I$133:$M$133,0))),0)),"-")</calculatedColumnFormula>
    </tableColumn>
    <tableColumn id="7" xr3:uid="{9EF53383-EDFC-4887-B9C3-5A5731D858F0}" name="United Energy">
      <calculatedColumnFormula>IFERROR(
IF($D$7="VDO 2021 - Final",
ROUNDUP(
(INDEX(OP_TotalRates_SME_1[[Ausnet]:[United Energy]],MATCH("Anytime - supply",OP_TotalRates_SME_1[[Rate name]:[Rate name]],0),MATCH(OP_CMAB!Q$10,OP_TotalRates_SME_1[[#Headers],[Ausnet]:[United Energy]],0))*DiY)+
(IFERROR((INDEX(OP_TotalRates_SME_1[[Ausnet]:[United Energy]],MATCH("Block 1",OP_TotalRates_SME_1[[Rate name]:[Rate name]],0),MATCH(OP_CMAB!Q$10,OP_TotalRates_SME_1[[#Headers],[Ausnet]:[United Energy]],0))*
INDEX(Input_Usage[[F-CurrentVDO_Input]:[F-NextVDO_Input]],MATCH(OP_CMAB!$L11&amp;" - Block 1",Input_Usage[[Ref]:[Ref]],0),MATCH(OP_CMAB!$D$7,Inputs!$I$133:$M$133,0))),0)+
IFERROR((INDEX(OP_TotalRates_SME_1[[Ausnet]:[United Energy]],MATCH("Balance",OP_TotalRates_SME_1[[Rate name]:[Rate name]],0),MATCH(OP_CMAB!Q$10,OP_TotalRates_SME_1[[#Headers],[Ausnet]:[United Energy]],0))*
INDEX(Input_Usage[[F-CurrentVDO_Input]:[F-NextVDO_Input]],MATCH(OP_CMAB!$L11&amp;" - Balance",Input_Usage[[Ref]:[Ref]],0),MATCH(OP_CMAB!$D$7,Inputs!$I$133:$M$133,0))),0)+
IFERROR((INDEX(OP_TotalRates_SME_1[[Ausnet]:[United Energy]],MATCH("Single rate",OP_TotalRates_SME_1[[Rate name]:[Rate name]],0),MATCH(OP_CMAB!Q$10,OP_TotalRates_SME_1[[#Headers],[Ausnet]:[United Energy]],0))*
INDEX(Input_Usage[[F-CurrentVDO_Input]:[F-NextVDO_Input]],MATCH(OP_CMAB!$L11&amp;" - Annual",Input_Usage[[Ref]:[Ref]],0),MATCH(OP_CMAB!$D$7,Inputs!$I$133:$M$133,0))),0)),0),
ROUNDUP(
(INDEX(OP_TotalRates_SME_1[[Ausnet]:[United Energy]],MATCH("TOU - supply",OP_TotalRates_SME_1[[Rate name]:[Rate name]],0),MATCH(OP_CMAB!Q$10,OP_TotalRates_SME_1[[#Headers],[Ausnet]:[United Energy]],0))*DiY)+
(INDEX(OP_TotalRates_SME_1[[Ausnet]:[United Energy]],MATCH("Peak",OP_TotalRates_SME_1[[Rate name]:[Rate name]],0),MATCH(OP_CMAB!Q$10,OP_TotalRates_SME_1[[#Headers],[Ausnet]:[United Energy]],0))*
INDEX(Input_Usage[[F-CurrentVDO_Input]:[F-NextVDO_Input]],MATCH($L11&amp;" - Peak",Input_Usage[[Ref]:[Ref]],0),MATCH($D$7,Inputs!$I$133:$M$133,0)))+
IFERROR((INDEX(OP_TotalRates_SME_1[[Ausnet]:[United Energy]],MATCH("TOU - Shoulder",OP_TotalRates_SME_1[[Rate name]:[Rate name]],0),MATCH(OP_CMAB!Q$10,OP_TotalRates_SME_1[[#Headers],[Ausnet]:[United Energy]],0))*
INDEX(Input_Usage[[F-CurrentVDO_Input]:[F-NextVDO_Input]],MATCH($L11&amp;" - Shoulder",Input_Usage[[Ref]:[Ref]],0),MATCH($D$7,Inputs!$I$133:$M$133,0))),0)+
(INDEX(OP_TotalRates_SME_1[[Ausnet]:[United Energy]],MATCH("Off peak",OP_TotalRates_SME_1[[Rate name]:[Rate name]],0),MATCH(OP_CMAB!Q$10,OP_TotalRates_SME_1[[#Headers],[Ausnet]:[United Energy]],0))*
INDEX(Input_Usage[[F-CurrentVDO_Input]:[F-NextVDO_Input]],MATCH($L11&amp;" - Off peak",Input_Usage[[Ref]:[Ref]],0),MATCH($D$7,Inputs!$I$133:$M$133,0))),0)),"-")</calculatedColumnFormula>
    </tableColumn>
  </tableColumns>
  <tableStyleInfo name="Default table"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784CBC18-9383-4B2E-A511-0F55943CEE1D}" name="CMAB_RES_2" displayName="CMAB_RES_2" ref="C24:I27" totalsRowShown="0" headerRowDxfId="105" headerRowBorderDxfId="104" tableBorderDxfId="103" totalsRowBorderDxfId="102" headerRowCellStyle="Table col heading">
  <tableColumns count="7">
    <tableColumn id="1" xr3:uid="{A8F78815-AEAC-434F-B06A-A08BC4351EAC}" name="Customer type"/>
    <tableColumn id="2" xr3:uid="{7569B853-B0EF-41A4-A839-E23B991D1B54}" name="Usage profile"/>
    <tableColumn id="3" xr3:uid="{8D8BA29C-1E24-4688-8F81-2395D28FE733}" name="Ausnet">
      <calculatedColumnFormula>IFERROR(
IF($D$21="VDO 2021 - Final",
ROUNDUP(
(INDEX(OP_TotalRates_RES_2[[Ausnet]:[United Energy]],MATCH("Anytime - supply",OP_TotalRates_RES_2[[Rate name]:[Rate name]],0),MATCH(OP_CMAB!E$24,OP_TotalRates_RES_2[[#Headers],[Ausnet]:[United Energy]],0))*DiY)+
(IFERROR((INDEX(OP_TotalRates_RES_2[[Ausnet]:[United Energy]],MATCH("Block 1",OP_TotalRates_RES_2[[Rate name]:[Rate name]],0),MATCH(OP_CMAB!E$24,OP_TotalRates_RES_2[[#Headers],[Ausnet]:[United Energy]],0))*
INDEX(Input_Usage[[F-CurrentVDO_Input]:[F-NextVDO_Input]],MATCH(OP_CMAB!$D25&amp;" - Block 1",Input_Usage[[Ref]:[Ref]],0),MATCH(OP_CMAB!$D$21,Inputs!$I$133:$M$133,0))),0)+
IFERROR((INDEX(OP_TotalRates_RES_2[[Ausnet]:[United Energy]],MATCH("Balance",OP_TotalRates_RES_2[[Rate name]:[Rate name]],0),MATCH(OP_CMAB!E$24,OP_TotalRates_RES_2[[#Headers],[Ausnet]:[United Energy]],0))*
INDEX(Input_Usage[[F-CurrentVDO_Input]:[F-NextVDO_Input]],MATCH(OP_CMAB!$D25&amp;" - Balance",Input_Usage[[Ref]:[Ref]],0),MATCH(OP_CMAB!$D$21,Inputs!$I$133:$M$133,0))),0)+
IFERROR((INDEX(OP_TotalRates_RES_2[[Ausnet]:[United Energy]],MATCH("Single rate",OP_TotalRates_RES_2[[Rate name]:[Rate name]],0),MATCH(OP_CMAB!E$24,OP_TotalRates_RES_2[[#Headers],[Ausnet]:[United Energy]],0))*
INDEX(Input_Usage[[F-CurrentVDO_Input]:[F-NextVDO_Input]],MATCH(OP_CMAB!$D25&amp;" - Annual",Input_Usage[[Ref]:[Ref]],0),MATCH(OP_CMAB!$D$21,Inputs!$I$133:$M$133,0))),0)),0),
ROUNDUP(
(INDEX(OP_TotalRates_RES_2[[Ausnet]:[United Energy]],MATCH("TOU - supply",OP_TotalRates_RES_2[[Rate name]:[Rate name]],0),MATCH(OP_CMAB!E$24,OP_TotalRates_RES_2[[#Headers],[Ausnet]:[United Energy]],0))*DiY)+
(INDEX(OP_TotalRates_RES_2[[Ausnet]:[United Energy]],MATCH("Peak",OP_TotalRates_RES_2[[Rate name]:[Rate name]],0),MATCH(OP_CMAB!E$24,OP_TotalRates_RES_2[[#Headers],[Ausnet]:[United Energy]],0))*
INDEX(Input_Usage[[F-CurrentVDO_Input]:[F-NextVDO_Input]],MATCH($D25&amp;" - Peak",Input_Usage[[Ref]:[Ref]],0),MATCH($D$21,Inputs!$I$133:$M$133,0)))+
IFERROR((INDEX(OP_TotalRates_RES_2[[Ausnet]:[United Energy]],MATCH("TOU - Shoulder",OP_TotalRates_RES_2[[Rate name]:[Rate name]],0),MATCH(OP_CMAB!E$24,OP_TotalRates_RES_2[[#Headers],[Ausnet]:[United Energy]],0))*
INDEX(Input_Usage[[F-CurrentVDO_Input]:[F-NextVDO_Input]],MATCH($D25&amp;" - Shoulder",Input_Usage[[Ref]:[Ref]],0),MATCH($D$21,Inputs!$I$133:$M$133,0))),0)+
(INDEX(OP_TotalRates_RES_2[[Ausnet]:[United Energy]],MATCH("Off peak",OP_TotalRates_RES_2[[Rate name]:[Rate name]],0),MATCH(OP_CMAB!E$24,OP_TotalRates_RES_2[[#Headers],[Ausnet]:[United Energy]],0))*
INDEX(Input_Usage[[F-CurrentVDO_Input]:[F-NextVDO_Input]],MATCH($D25&amp;" - Off peak",Input_Usage[[Ref]:[Ref]],0),MATCH($D$21,Inputs!$I$133:$M$133,0))),0)),"-")</calculatedColumnFormula>
    </tableColumn>
    <tableColumn id="4" xr3:uid="{0D5F9249-2086-4CEA-909D-1923653A76C1}" name="Citipower">
      <calculatedColumnFormula>IFERROR(
IF($D$21="VDO 2021 - Final",
ROUNDUP(
(INDEX(OP_TotalRates_RES_2[[Ausnet]:[United Energy]],MATCH("Anytime - supply",OP_TotalRates_RES_2[[Rate name]:[Rate name]],0),MATCH(OP_CMAB!F$24,OP_TotalRates_RES_2[[#Headers],[Ausnet]:[United Energy]],0))*DiY)+
(IFERROR((INDEX(OP_TotalRates_RES_2[[Ausnet]:[United Energy]],MATCH("Block 1",OP_TotalRates_RES_2[[Rate name]:[Rate name]],0),MATCH(OP_CMAB!F$24,OP_TotalRates_RES_2[[#Headers],[Ausnet]:[United Energy]],0))*
INDEX(Input_Usage[[F-CurrentVDO_Input]:[F-NextVDO_Input]],MATCH(OP_CMAB!$D25&amp;" - Block 1",Input_Usage[[Ref]:[Ref]],0),MATCH(OP_CMAB!$D$21,Inputs!$I$133:$M$133,0))),0)+
IFERROR((INDEX(OP_TotalRates_RES_2[[Ausnet]:[United Energy]],MATCH("Balance",OP_TotalRates_RES_2[[Rate name]:[Rate name]],0),MATCH(OP_CMAB!F$24,OP_TotalRates_RES_2[[#Headers],[Ausnet]:[United Energy]],0))*
INDEX(Input_Usage[[F-CurrentVDO_Input]:[F-NextVDO_Input]],MATCH(OP_CMAB!$D25&amp;" - Balance",Input_Usage[[Ref]:[Ref]],0),MATCH(OP_CMAB!$D$21,Inputs!$I$133:$M$133,0))),0)+
IFERROR((INDEX(OP_TotalRates_RES_2[[Ausnet]:[United Energy]],MATCH("Single rate",OP_TotalRates_RES_2[[Rate name]:[Rate name]],0),MATCH(OP_CMAB!F$24,OP_TotalRates_RES_2[[#Headers],[Ausnet]:[United Energy]],0))*
INDEX(Input_Usage[[F-CurrentVDO_Input]:[F-NextVDO_Input]],MATCH(OP_CMAB!$D25&amp;" - Annual",Input_Usage[[Ref]:[Ref]],0),MATCH(OP_CMAB!$D$21,Inputs!$I$133:$M$133,0))),0)),0),
ROUNDUP(
(INDEX(OP_TotalRates_RES_2[[Ausnet]:[United Energy]],MATCH("TOU - supply",OP_TotalRates_RES_2[[Rate name]:[Rate name]],0),MATCH(OP_CMAB!F$24,OP_TotalRates_RES_2[[#Headers],[Ausnet]:[United Energy]],0))*DiY)+
(INDEX(OP_TotalRates_RES_2[[Ausnet]:[United Energy]],MATCH("Peak",OP_TotalRates_RES_2[[Rate name]:[Rate name]],0),MATCH(OP_CMAB!F$24,OP_TotalRates_RES_2[[#Headers],[Ausnet]:[United Energy]],0))*
INDEX(Input_Usage[[F-CurrentVDO_Input]:[F-NextVDO_Input]],MATCH($D25&amp;" - Peak",Input_Usage[[Ref]:[Ref]],0),MATCH($D$21,Inputs!$I$133:$M$133,0)))+
IFERROR((INDEX(OP_TotalRates_RES_2[[Ausnet]:[United Energy]],MATCH("TOU - Shoulder",OP_TotalRates_RES_2[[Rate name]:[Rate name]],0),MATCH(OP_CMAB!F$24,OP_TotalRates_RES_2[[#Headers],[Ausnet]:[United Energy]],0))*
INDEX(Input_Usage[[F-CurrentVDO_Input]:[F-NextVDO_Input]],MATCH($D25&amp;" - Shoulder",Input_Usage[[Ref]:[Ref]],0),MATCH($D$21,Inputs!$I$133:$M$133,0))),0)+
(INDEX(OP_TotalRates_RES_2[[Ausnet]:[United Energy]],MATCH("Off peak",OP_TotalRates_RES_2[[Rate name]:[Rate name]],0),MATCH(OP_CMAB!F$24,OP_TotalRates_RES_2[[#Headers],[Ausnet]:[United Energy]],0))*
INDEX(Input_Usage[[F-CurrentVDO_Input]:[F-NextVDO_Input]],MATCH($D25&amp;" - Off peak",Input_Usage[[Ref]:[Ref]],0),MATCH($D$21,Inputs!$I$133:$M$133,0))),0)),"-")</calculatedColumnFormula>
    </tableColumn>
    <tableColumn id="5" xr3:uid="{FE2A9689-6847-47AC-BEEF-E289A5A229B5}" name="Jemena">
      <calculatedColumnFormula>IFERROR(
IF($D$21="VDO 2021 - Final",
ROUNDUP(
(INDEX(OP_TotalRates_RES_2[[Ausnet]:[United Energy]],MATCH("Anytime - supply",OP_TotalRates_RES_2[[Rate name]:[Rate name]],0),MATCH(OP_CMAB!G$24,OP_TotalRates_RES_2[[#Headers],[Ausnet]:[United Energy]],0))*DiY)+
(IFERROR((INDEX(OP_TotalRates_RES_2[[Ausnet]:[United Energy]],MATCH("Block 1",OP_TotalRates_RES_2[[Rate name]:[Rate name]],0),MATCH(OP_CMAB!G$24,OP_TotalRates_RES_2[[#Headers],[Ausnet]:[United Energy]],0))*
INDEX(Input_Usage[[F-CurrentVDO_Input]:[F-NextVDO_Input]],MATCH(OP_CMAB!$D25&amp;" - Block 1",Input_Usage[[Ref]:[Ref]],0),MATCH(OP_CMAB!$D$21,Inputs!$I$133:$M$133,0))),0)+
IFERROR((INDEX(OP_TotalRates_RES_2[[Ausnet]:[United Energy]],MATCH("Balance",OP_TotalRates_RES_2[[Rate name]:[Rate name]],0),MATCH(OP_CMAB!G$24,OP_TotalRates_RES_2[[#Headers],[Ausnet]:[United Energy]],0))*
INDEX(Input_Usage[[F-CurrentVDO_Input]:[F-NextVDO_Input]],MATCH(OP_CMAB!$D25&amp;" - Balance",Input_Usage[[Ref]:[Ref]],0),MATCH(OP_CMAB!$D$21,Inputs!$I$133:$M$133,0))),0)+
IFERROR((INDEX(OP_TotalRates_RES_2[[Ausnet]:[United Energy]],MATCH("Single rate",OP_TotalRates_RES_2[[Rate name]:[Rate name]],0),MATCH(OP_CMAB!G$24,OP_TotalRates_RES_2[[#Headers],[Ausnet]:[United Energy]],0))*
INDEX(Input_Usage[[F-CurrentVDO_Input]:[F-NextVDO_Input]],MATCH(OP_CMAB!$D25&amp;" - Annual",Input_Usage[[Ref]:[Ref]],0),MATCH(OP_CMAB!$D$21,Inputs!$I$133:$M$133,0))),0)),0),
ROUNDUP(
(INDEX(OP_TotalRates_RES_2[[Ausnet]:[United Energy]],MATCH("TOU - supply",OP_TotalRates_RES_2[[Rate name]:[Rate name]],0),MATCH(OP_CMAB!G$24,OP_TotalRates_RES_2[[#Headers],[Ausnet]:[United Energy]],0))*DiY)+
(INDEX(OP_TotalRates_RES_2[[Ausnet]:[United Energy]],MATCH("Peak",OP_TotalRates_RES_2[[Rate name]:[Rate name]],0),MATCH(OP_CMAB!G$24,OP_TotalRates_RES_2[[#Headers],[Ausnet]:[United Energy]],0))*
INDEX(Input_Usage[[F-CurrentVDO_Input]:[F-NextVDO_Input]],MATCH($D25&amp;" - Peak",Input_Usage[[Ref]:[Ref]],0),MATCH($D$21,Inputs!$I$133:$M$133,0)))+
IFERROR((INDEX(OP_TotalRates_RES_2[[Ausnet]:[United Energy]],MATCH("TOU - Shoulder",OP_TotalRates_RES_2[[Rate name]:[Rate name]],0),MATCH(OP_CMAB!G$24,OP_TotalRates_RES_2[[#Headers],[Ausnet]:[United Energy]],0))*
INDEX(Input_Usage[[F-CurrentVDO_Input]:[F-NextVDO_Input]],MATCH($D25&amp;" - Shoulder",Input_Usage[[Ref]:[Ref]],0),MATCH($D$21,Inputs!$I$133:$M$133,0))),0)+
(INDEX(OP_TotalRates_RES_2[[Ausnet]:[United Energy]],MATCH("Off peak",OP_TotalRates_RES_2[[Rate name]:[Rate name]],0),MATCH(OP_CMAB!G$24,OP_TotalRates_RES_2[[#Headers],[Ausnet]:[United Energy]],0))*
INDEX(Input_Usage[[F-CurrentVDO_Input]:[F-NextVDO_Input]],MATCH($D25&amp;" - Off peak",Input_Usage[[Ref]:[Ref]],0),MATCH($D$21,Inputs!$I$133:$M$133,0))),0)),"-")</calculatedColumnFormula>
    </tableColumn>
    <tableColumn id="6" xr3:uid="{A6AD0D20-3ABA-4057-BAA3-35F27065C0F2}" name="Powercor">
      <calculatedColumnFormula>IFERROR(
IF($D$21="VDO 2021 - Final",
ROUNDUP(
(INDEX(OP_TotalRates_RES_2[[Ausnet]:[United Energy]],MATCH("Anytime - supply",OP_TotalRates_RES_2[[Rate name]:[Rate name]],0),MATCH(OP_CMAB!H$24,OP_TotalRates_RES_2[[#Headers],[Ausnet]:[United Energy]],0))*DiY)+
(IFERROR((INDEX(OP_TotalRates_RES_2[[Ausnet]:[United Energy]],MATCH("Block 1",OP_TotalRates_RES_2[[Rate name]:[Rate name]],0),MATCH(OP_CMAB!H$24,OP_TotalRates_RES_2[[#Headers],[Ausnet]:[United Energy]],0))*
INDEX(Input_Usage[[F-CurrentVDO_Input]:[F-NextVDO_Input]],MATCH(OP_CMAB!$D25&amp;" - Block 1",Input_Usage[[Ref]:[Ref]],0),MATCH(OP_CMAB!$D$21,Inputs!$I$133:$M$133,0))),0)+
IFERROR((INDEX(OP_TotalRates_RES_2[[Ausnet]:[United Energy]],MATCH("Balance",OP_TotalRates_RES_2[[Rate name]:[Rate name]],0),MATCH(OP_CMAB!H$24,OP_TotalRates_RES_2[[#Headers],[Ausnet]:[United Energy]],0))*
INDEX(Input_Usage[[F-CurrentVDO_Input]:[F-NextVDO_Input]],MATCH(OP_CMAB!$D25&amp;" - Balance",Input_Usage[[Ref]:[Ref]],0),MATCH(OP_CMAB!$D$21,Inputs!$I$133:$M$133,0))),0)+
IFERROR((INDEX(OP_TotalRates_RES_2[[Ausnet]:[United Energy]],MATCH("Single rate",OP_TotalRates_RES_2[[Rate name]:[Rate name]],0),MATCH(OP_CMAB!H$24,OP_TotalRates_RES_2[[#Headers],[Ausnet]:[United Energy]],0))*
INDEX(Input_Usage[[F-CurrentVDO_Input]:[F-NextVDO_Input]],MATCH(OP_CMAB!$D25&amp;" - Annual",Input_Usage[[Ref]:[Ref]],0),MATCH(OP_CMAB!$D$21,Inputs!$I$133:$M$133,0))),0)),0),
ROUNDUP(
(INDEX(OP_TotalRates_RES_2[[Ausnet]:[United Energy]],MATCH("TOU - supply",OP_TotalRates_RES_2[[Rate name]:[Rate name]],0),MATCH(OP_CMAB!H$24,OP_TotalRates_RES_2[[#Headers],[Ausnet]:[United Energy]],0))*DiY)+
(INDEX(OP_TotalRates_RES_2[[Ausnet]:[United Energy]],MATCH("Peak",OP_TotalRates_RES_2[[Rate name]:[Rate name]],0),MATCH(OP_CMAB!H$24,OP_TotalRates_RES_2[[#Headers],[Ausnet]:[United Energy]],0))*
INDEX(Input_Usage[[F-CurrentVDO_Input]:[F-NextVDO_Input]],MATCH($D25&amp;" - Peak",Input_Usage[[Ref]:[Ref]],0),MATCH($D$21,Inputs!$I$133:$M$133,0)))+
IFERROR((INDEX(OP_TotalRates_RES_2[[Ausnet]:[United Energy]],MATCH("TOU - Shoulder",OP_TotalRates_RES_2[[Rate name]:[Rate name]],0),MATCH(OP_CMAB!H$24,OP_TotalRates_RES_2[[#Headers],[Ausnet]:[United Energy]],0))*
INDEX(Input_Usage[[F-CurrentVDO_Input]:[F-NextVDO_Input]],MATCH($D25&amp;" - Shoulder",Input_Usage[[Ref]:[Ref]],0),MATCH($D$21,Inputs!$I$133:$M$133,0))),0)+
(INDEX(OP_TotalRates_RES_2[[Ausnet]:[United Energy]],MATCH("Off peak",OP_TotalRates_RES_2[[Rate name]:[Rate name]],0),MATCH(OP_CMAB!H$24,OP_TotalRates_RES_2[[#Headers],[Ausnet]:[United Energy]],0))*
INDEX(Input_Usage[[F-CurrentVDO_Input]:[F-NextVDO_Input]],MATCH($D25&amp;" - Off peak",Input_Usage[[Ref]:[Ref]],0),MATCH($D$21,Inputs!$I$133:$M$133,0))),0)),"-")</calculatedColumnFormula>
    </tableColumn>
    <tableColumn id="7" xr3:uid="{B2B5B815-02E0-4F29-934A-9D7CE200BE7C}" name="United Energy">
      <calculatedColumnFormula>IFERROR(
IF($D$21="VDO 2021 - Final",
ROUNDUP(
(INDEX(OP_TotalRates_RES_2[[Ausnet]:[United Energy]],MATCH("Anytime - supply",OP_TotalRates_RES_2[[Rate name]:[Rate name]],0),MATCH(OP_CMAB!I$24,OP_TotalRates_RES_2[[#Headers],[Ausnet]:[United Energy]],0))*DiY)+
(IFERROR((INDEX(OP_TotalRates_RES_2[[Ausnet]:[United Energy]],MATCH("Block 1",OP_TotalRates_RES_2[[Rate name]:[Rate name]],0),MATCH(OP_CMAB!I$24,OP_TotalRates_RES_2[[#Headers],[Ausnet]:[United Energy]],0))*
INDEX(Input_Usage[[F-CurrentVDO_Input]:[F-NextVDO_Input]],MATCH(OP_CMAB!$D25&amp;" - Block 1",Input_Usage[[Ref]:[Ref]],0),MATCH(OP_CMAB!$D$21,Inputs!$I$133:$M$133,0))),0)+
IFERROR((INDEX(OP_TotalRates_RES_2[[Ausnet]:[United Energy]],MATCH("Balance",OP_TotalRates_RES_2[[Rate name]:[Rate name]],0),MATCH(OP_CMAB!I$24,OP_TotalRates_RES_2[[#Headers],[Ausnet]:[United Energy]],0))*
INDEX(Input_Usage[[F-CurrentVDO_Input]:[F-NextVDO_Input]],MATCH(OP_CMAB!$D25&amp;" - Balance",Input_Usage[[Ref]:[Ref]],0),MATCH(OP_CMAB!$D$21,Inputs!$I$133:$M$133,0))),0)+
IFERROR((INDEX(OP_TotalRates_RES_2[[Ausnet]:[United Energy]],MATCH("Single rate",OP_TotalRates_RES_2[[Rate name]:[Rate name]],0),MATCH(OP_CMAB!I$24,OP_TotalRates_RES_2[[#Headers],[Ausnet]:[United Energy]],0))*
INDEX(Input_Usage[[F-CurrentVDO_Input]:[F-NextVDO_Input]],MATCH(OP_CMAB!$D25&amp;" - Annual",Input_Usage[[Ref]:[Ref]],0),MATCH(OP_CMAB!$D$21,Inputs!$I$133:$M$133,0))),0)),0),
ROUNDUP(
(INDEX(OP_TotalRates_RES_2[[Ausnet]:[United Energy]],MATCH("TOU - supply",OP_TotalRates_RES_2[[Rate name]:[Rate name]],0),MATCH(OP_CMAB!I$24,OP_TotalRates_RES_2[[#Headers],[Ausnet]:[United Energy]],0))*DiY)+
(INDEX(OP_TotalRates_RES_2[[Ausnet]:[United Energy]],MATCH("Peak",OP_TotalRates_RES_2[[Rate name]:[Rate name]],0),MATCH(OP_CMAB!I$24,OP_TotalRates_RES_2[[#Headers],[Ausnet]:[United Energy]],0))*
INDEX(Input_Usage[[F-CurrentVDO_Input]:[F-NextVDO_Input]],MATCH($D25&amp;" - Peak",Input_Usage[[Ref]:[Ref]],0),MATCH($D$21,Inputs!$I$133:$M$133,0)))+
IFERROR((INDEX(OP_TotalRates_RES_2[[Ausnet]:[United Energy]],MATCH("TOU - Shoulder",OP_TotalRates_RES_2[[Rate name]:[Rate name]],0),MATCH(OP_CMAB!I$24,OP_TotalRates_RES_2[[#Headers],[Ausnet]:[United Energy]],0))*
INDEX(Input_Usage[[F-CurrentVDO_Input]:[F-NextVDO_Input]],MATCH($D25&amp;" - Shoulder",Input_Usage[[Ref]:[Ref]],0),MATCH($D$21,Inputs!$I$133:$M$133,0))),0)+
(INDEX(OP_TotalRates_RES_2[[Ausnet]:[United Energy]],MATCH("Off peak",OP_TotalRates_RES_2[[Rate name]:[Rate name]],0),MATCH(OP_CMAB!I$24,OP_TotalRates_RES_2[[#Headers],[Ausnet]:[United Energy]],0))*
INDEX(Input_Usage[[F-CurrentVDO_Input]:[F-NextVDO_Input]],MATCH($D25&amp;" - Off peak",Input_Usage[[Ref]:[Ref]],0),MATCH($D$21,Inputs!$I$133:$M$133,0))),0)),"-")</calculatedColumnFormula>
    </tableColumn>
  </tableColumns>
  <tableStyleInfo name="Default table"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82B6EB15-85B8-4ABE-85ED-496C073FF8CC}" name="CMAB_SME_2" displayName="CMAB_SME_2" ref="K24:Q27" totalsRowShown="0" headerRowDxfId="101" headerRowBorderDxfId="100" tableBorderDxfId="99" totalsRowBorderDxfId="98" headerRowCellStyle="Table col heading">
  <tableColumns count="7">
    <tableColumn id="1" xr3:uid="{EB6D28E3-1A73-4D41-A3B3-303EF3024DE7}" name="Customer type"/>
    <tableColumn id="2" xr3:uid="{CA13CB67-97D3-4228-93C6-A787A23F3C77}" name="Usage profile"/>
    <tableColumn id="3" xr3:uid="{BFA9E2A1-209A-4C28-9214-5A6338FB6F5D}" name="Ausnet" dataDxfId="97" dataCellStyle="Table cell">
      <calculatedColumnFormula>IFERROR(
IF($D$21="VDO 2021 - Final",
ROUNDUP(
(INDEX(OP_TotalRates_SME_2[[Ausnet]:[United Energy]],MATCH("Anytime - supply",OP_TotalRates_SME_2[[Rate name]:[Rate name]],0),MATCH(OP_CMAB!M$24,OP_TotalRates_SME_2[[#Headers],[Ausnet]:[United Energy]],0))*DiY)+
(IFERROR((INDEX(OP_TotalRates_SME_2[[Ausnet]:[United Energy]],MATCH("Block 1",OP_TotalRates_SME_2[[Rate name]:[Rate name]],0),MATCH(OP_CMAB!M$24,OP_TotalRates_SME_2[[#Headers],[Ausnet]:[United Energy]],0))*
INDEX(Input_Usage[[F-CurrentVDO_Input]:[F-NextVDO_Input]],MATCH(OP_CMAB!$L25&amp;" - Block 1",Input_Usage[[Ref]:[Ref]],0),MATCH(OP_CMAB!$D$21,Inputs!$I$133:$M$133,0))),0)+
IFERROR((INDEX(OP_TotalRates_SME_2[[Ausnet]:[United Energy]],MATCH("Balance",OP_TotalRates_SME_2[[Rate name]:[Rate name]],0),MATCH(OP_CMAB!M$24,OP_TotalRates_SME_2[[#Headers],[Ausnet]:[United Energy]],0))*
INDEX(Input_Usage[[F-CurrentVDO_Input]:[F-NextVDO_Input]],MATCH(OP_CMAB!$L25&amp;" - Balance",Input_Usage[[Ref]:[Ref]],0),MATCH(OP_CMAB!$D$21,Inputs!$I$133:$M$133,0))),0)+
IFERROR((INDEX(OP_TotalRates_SME_2[[Ausnet]:[United Energy]],MATCH("Single rate",OP_TotalRates_SME_2[[Rate name]:[Rate name]],0),MATCH(OP_CMAB!M$24,OP_TotalRates_SME_2[[#Headers],[Ausnet]:[United Energy]],0))*
INDEX(Input_Usage[[F-CurrentVDO_Input]:[F-NextVDO_Input]],MATCH(OP_CMAB!$L25&amp;" - Annual",Input_Usage[[Ref]:[Ref]],0),MATCH(OP_CMAB!$D$21,Inputs!$I$133:$M$133,0))),0)),0),
ROUNDUP(
(INDEX(OP_TotalRates_SME_2[[Ausnet]:[United Energy]],MATCH("TOU - supply",OP_TotalRates_SME_2[[Rate name]:[Rate name]],0),MATCH(OP_CMAB!M$24,OP_TotalRates_SME_2[[#Headers],[Ausnet]:[United Energy]],0))*DiY)+
(INDEX(OP_TotalRates_SME_2[[Ausnet]:[United Energy]],MATCH("Peak",OP_TotalRates_SME_2[[Rate name]:[Rate name]],0),MATCH(OP_CMAB!M$24,OP_TotalRates_SME_2[[#Headers],[Ausnet]:[United Energy]],0))*
INDEX(Input_Usage[[F-CurrentVDO_Input]:[F-NextVDO_Input]],MATCH($L25&amp;" - Peak",Input_Usage[[Ref]:[Ref]],0),MATCH($D$21,Inputs!$I$133:$M$133,0)))+
IFERROR((INDEX(OP_TotalRates_SME_2[[Ausnet]:[United Energy]],MATCH("TOU - Shoulder",OP_TotalRates_SME_2[[Rate name]:[Rate name]],0),MATCH(OP_CMAB!M$24,OP_TotalRates_SME_2[[#Headers],[Ausnet]:[United Energy]],0))*
INDEX(Input_Usage[[F-CurrentVDO_Input]:[F-NextVDO_Input]],MATCH($L25&amp;" - Shoulder",Input_Usage[[Ref]:[Ref]],0),MATCH($D$21,Inputs!$I$133:$M$133,0))),0)+
(INDEX(OP_TotalRates_SME_2[[Ausnet]:[United Energy]],MATCH("Off peak",OP_TotalRates_SME_2[[Rate name]:[Rate name]],0),MATCH(OP_CMAB!M$24,OP_TotalRates_SME_2[[#Headers],[Ausnet]:[United Energy]],0))*
INDEX(Input_Usage[[F-CurrentVDO_Input]:[F-NextVDO_Input]],MATCH($L25&amp;" - Off peak",Input_Usage[[Ref]:[Ref]],0),MATCH($D$21,Inputs!$I$133:$M$133,0))),0)),"-")</calculatedColumnFormula>
    </tableColumn>
    <tableColumn id="4" xr3:uid="{F0FD9595-8EE1-48EF-9F82-FA7DBD8C7508}" name="Citipower">
      <calculatedColumnFormula>IFERROR(
IF($D$21="VDO 2021 - Final",
ROUNDUP(
(INDEX(OP_TotalRates_SME_2[[Ausnet]:[United Energy]],MATCH("Anytime - supply",OP_TotalRates_SME_2[[Rate name]:[Rate name]],0),MATCH(OP_CMAB!N$24,OP_TotalRates_SME_2[[#Headers],[Ausnet]:[United Energy]],0))*DiY)+
(IFERROR((INDEX(OP_TotalRates_SME_2[[Ausnet]:[United Energy]],MATCH("Block 1",OP_TotalRates_SME_2[[Rate name]:[Rate name]],0),MATCH(OP_CMAB!N$24,OP_TotalRates_SME_2[[#Headers],[Ausnet]:[United Energy]],0))*
INDEX(Input_Usage[[F-CurrentVDO_Input]:[F-NextVDO_Input]],MATCH(OP_CMAB!$L25&amp;" - Block 1",Input_Usage[[Ref]:[Ref]],0),MATCH(OP_CMAB!$D$21,Inputs!$I$133:$M$133,0))),0)+
IFERROR((INDEX(OP_TotalRates_SME_2[[Ausnet]:[United Energy]],MATCH("Balance",OP_TotalRates_SME_2[[Rate name]:[Rate name]],0),MATCH(OP_CMAB!N$24,OP_TotalRates_SME_2[[#Headers],[Ausnet]:[United Energy]],0))*
INDEX(Input_Usage[[F-CurrentVDO_Input]:[F-NextVDO_Input]],MATCH(OP_CMAB!$L25&amp;" - Balance",Input_Usage[[Ref]:[Ref]],0),MATCH(OP_CMAB!$D$21,Inputs!$I$133:$M$133,0))),0)+
IFERROR((INDEX(OP_TotalRates_SME_2[[Ausnet]:[United Energy]],MATCH("Single rate",OP_TotalRates_SME_2[[Rate name]:[Rate name]],0),MATCH(OP_CMAB!N$24,OP_TotalRates_SME_2[[#Headers],[Ausnet]:[United Energy]],0))*
INDEX(Input_Usage[[F-CurrentVDO_Input]:[F-NextVDO_Input]],MATCH(OP_CMAB!$L25&amp;" - Annual",Input_Usage[[Ref]:[Ref]],0),MATCH(OP_CMAB!$D$21,Inputs!$I$133:$M$133,0))),0)),0),
ROUNDUP(
(INDEX(OP_TotalRates_SME_2[[Ausnet]:[United Energy]],MATCH("TOU - supply",OP_TotalRates_SME_2[[Rate name]:[Rate name]],0),MATCH(OP_CMAB!N$24,OP_TotalRates_SME_2[[#Headers],[Ausnet]:[United Energy]],0))*DiY)+
(INDEX(OP_TotalRates_SME_2[[Ausnet]:[United Energy]],MATCH("Peak",OP_TotalRates_SME_2[[Rate name]:[Rate name]],0),MATCH(OP_CMAB!N$24,OP_TotalRates_SME_2[[#Headers],[Ausnet]:[United Energy]],0))*
INDEX(Input_Usage[[F-CurrentVDO_Input]:[F-NextVDO_Input]],MATCH($L25&amp;" - Peak",Input_Usage[[Ref]:[Ref]],0),MATCH($D$21,Inputs!$I$133:$M$133,0)))+
IFERROR((INDEX(OP_TotalRates_SME_2[[Ausnet]:[United Energy]],MATCH("TOU - Shoulder",OP_TotalRates_SME_2[[Rate name]:[Rate name]],0),MATCH(OP_CMAB!N$24,OP_TotalRates_SME_2[[#Headers],[Ausnet]:[United Energy]],0))*
INDEX(Input_Usage[[F-CurrentVDO_Input]:[F-NextVDO_Input]],MATCH($L25&amp;" - Shoulder",Input_Usage[[Ref]:[Ref]],0),MATCH($D$21,Inputs!$I$133:$M$133,0))),0)+
(INDEX(OP_TotalRates_SME_2[[Ausnet]:[United Energy]],MATCH("Off peak",OP_TotalRates_SME_2[[Rate name]:[Rate name]],0),MATCH(OP_CMAB!N$24,OP_TotalRates_SME_2[[#Headers],[Ausnet]:[United Energy]],0))*
INDEX(Input_Usage[[F-CurrentVDO_Input]:[F-NextVDO_Input]],MATCH($L25&amp;" - Off peak",Input_Usage[[Ref]:[Ref]],0),MATCH($D$21,Inputs!$I$133:$M$133,0))),0)),"-")</calculatedColumnFormula>
    </tableColumn>
    <tableColumn id="5" xr3:uid="{A1C73988-CF22-4DE8-B89F-4E0985EF1E42}" name="Jemena">
      <calculatedColumnFormula>IFERROR(
IF($D$21="VDO 2021 - Final",
ROUNDUP(
(INDEX(OP_TotalRates_SME_2[[Ausnet]:[United Energy]],MATCH("Anytime - supply",OP_TotalRates_SME_2[[Rate name]:[Rate name]],0),MATCH(OP_CMAB!O$24,OP_TotalRates_SME_2[[#Headers],[Ausnet]:[United Energy]],0))*DiY)+
(IFERROR((INDEX(OP_TotalRates_SME_2[[Ausnet]:[United Energy]],MATCH("Block 1",OP_TotalRates_SME_2[[Rate name]:[Rate name]],0),MATCH(OP_CMAB!O$24,OP_TotalRates_SME_2[[#Headers],[Ausnet]:[United Energy]],0))*
INDEX(Input_Usage[[F-CurrentVDO_Input]:[F-NextVDO_Input]],MATCH(OP_CMAB!$L25&amp;" - Block 1",Input_Usage[[Ref]:[Ref]],0),MATCH(OP_CMAB!$D$21,Inputs!$I$133:$M$133,0))),0)+
IFERROR((INDEX(OP_TotalRates_SME_2[[Ausnet]:[United Energy]],MATCH("Balance",OP_TotalRates_SME_2[[Rate name]:[Rate name]],0),MATCH(OP_CMAB!O$24,OP_TotalRates_SME_2[[#Headers],[Ausnet]:[United Energy]],0))*
INDEX(Input_Usage[[F-CurrentVDO_Input]:[F-NextVDO_Input]],MATCH(OP_CMAB!$L25&amp;" - Balance",Input_Usage[[Ref]:[Ref]],0),MATCH(OP_CMAB!$D$21,Inputs!$I$133:$M$133,0))),0)+
IFERROR((INDEX(OP_TotalRates_SME_2[[Ausnet]:[United Energy]],MATCH("Single rate",OP_TotalRates_SME_2[[Rate name]:[Rate name]],0),MATCH(OP_CMAB!O$24,OP_TotalRates_SME_2[[#Headers],[Ausnet]:[United Energy]],0))*
INDEX(Input_Usage[[F-CurrentVDO_Input]:[F-NextVDO_Input]],MATCH(OP_CMAB!$L25&amp;" - Annual",Input_Usage[[Ref]:[Ref]],0),MATCH(OP_CMAB!$D$21,Inputs!$I$133:$M$133,0))),0)),0),
ROUNDUP(
(INDEX(OP_TotalRates_SME_2[[Ausnet]:[United Energy]],MATCH("TOU - supply",OP_TotalRates_SME_2[[Rate name]:[Rate name]],0),MATCH(OP_CMAB!O$24,OP_TotalRates_SME_2[[#Headers],[Ausnet]:[United Energy]],0))*DiY)+
(INDEX(OP_TotalRates_SME_2[[Ausnet]:[United Energy]],MATCH("Peak",OP_TotalRates_SME_2[[Rate name]:[Rate name]],0),MATCH(OP_CMAB!O$24,OP_TotalRates_SME_2[[#Headers],[Ausnet]:[United Energy]],0))*
INDEX(Input_Usage[[F-CurrentVDO_Input]:[F-NextVDO_Input]],MATCH($L25&amp;" - Peak",Input_Usage[[Ref]:[Ref]],0),MATCH($D$21,Inputs!$I$133:$M$133,0)))+
IFERROR((INDEX(OP_TotalRates_SME_2[[Ausnet]:[United Energy]],MATCH("TOU - Shoulder",OP_TotalRates_SME_2[[Rate name]:[Rate name]],0),MATCH(OP_CMAB!O$24,OP_TotalRates_SME_2[[#Headers],[Ausnet]:[United Energy]],0))*
INDEX(Input_Usage[[F-CurrentVDO_Input]:[F-NextVDO_Input]],MATCH($L25&amp;" - Shoulder",Input_Usage[[Ref]:[Ref]],0),MATCH($D$21,Inputs!$I$133:$M$133,0))),0)+
(INDEX(OP_TotalRates_SME_2[[Ausnet]:[United Energy]],MATCH("Off peak",OP_TotalRates_SME_2[[Rate name]:[Rate name]],0),MATCH(OP_CMAB!O$24,OP_TotalRates_SME_2[[#Headers],[Ausnet]:[United Energy]],0))*
INDEX(Input_Usage[[F-CurrentVDO_Input]:[F-NextVDO_Input]],MATCH($L25&amp;" - Off peak",Input_Usage[[Ref]:[Ref]],0),MATCH($D$21,Inputs!$I$133:$M$133,0))),0)),"-")</calculatedColumnFormula>
    </tableColumn>
    <tableColumn id="6" xr3:uid="{E32519FF-66CE-4885-AE63-4D241C844B94}" name="Powercor">
      <calculatedColumnFormula>IFERROR(
IF($D$21="VDO 2021 - Final",
ROUNDUP(
(INDEX(OP_TotalRates_SME_2[[Ausnet]:[United Energy]],MATCH("Anytime - supply",OP_TotalRates_SME_2[[Rate name]:[Rate name]],0),MATCH(OP_CMAB!P$24,OP_TotalRates_SME_2[[#Headers],[Ausnet]:[United Energy]],0))*DiY)+
(IFERROR((INDEX(OP_TotalRates_SME_2[[Ausnet]:[United Energy]],MATCH("Block 1",OP_TotalRates_SME_2[[Rate name]:[Rate name]],0),MATCH(OP_CMAB!P$24,OP_TotalRates_SME_2[[#Headers],[Ausnet]:[United Energy]],0))*
INDEX(Input_Usage[[F-CurrentVDO_Input]:[F-NextVDO_Input]],MATCH(OP_CMAB!$L25&amp;" - Block 1",Input_Usage[[Ref]:[Ref]],0),MATCH(OP_CMAB!$D$21,Inputs!$I$133:$M$133,0))),0)+
IFERROR((INDEX(OP_TotalRates_SME_2[[Ausnet]:[United Energy]],MATCH("Balance",OP_TotalRates_SME_2[[Rate name]:[Rate name]],0),MATCH(OP_CMAB!P$24,OP_TotalRates_SME_2[[#Headers],[Ausnet]:[United Energy]],0))*
INDEX(Input_Usage[[F-CurrentVDO_Input]:[F-NextVDO_Input]],MATCH(OP_CMAB!$L25&amp;" - Balance",Input_Usage[[Ref]:[Ref]],0),MATCH(OP_CMAB!$D$21,Inputs!$I$133:$M$133,0))),0)+
IFERROR((INDEX(OP_TotalRates_SME_2[[Ausnet]:[United Energy]],MATCH("Single rate",OP_TotalRates_SME_2[[Rate name]:[Rate name]],0),MATCH(OP_CMAB!P$24,OP_TotalRates_SME_2[[#Headers],[Ausnet]:[United Energy]],0))*
INDEX(Input_Usage[[F-CurrentVDO_Input]:[F-NextVDO_Input]],MATCH(OP_CMAB!$L25&amp;" - Annual",Input_Usage[[Ref]:[Ref]],0),MATCH(OP_CMAB!$D$21,Inputs!$I$133:$M$133,0))),0)),0),
ROUNDUP(
(INDEX(OP_TotalRates_SME_2[[Ausnet]:[United Energy]],MATCH("TOU - supply",OP_TotalRates_SME_2[[Rate name]:[Rate name]],0),MATCH(OP_CMAB!P$24,OP_TotalRates_SME_2[[#Headers],[Ausnet]:[United Energy]],0))*DiY)+
(INDEX(OP_TotalRates_SME_2[[Ausnet]:[United Energy]],MATCH("Peak",OP_TotalRates_SME_2[[Rate name]:[Rate name]],0),MATCH(OP_CMAB!P$24,OP_TotalRates_SME_2[[#Headers],[Ausnet]:[United Energy]],0))*
INDEX(Input_Usage[[F-CurrentVDO_Input]:[F-NextVDO_Input]],MATCH($L25&amp;" - Peak",Input_Usage[[Ref]:[Ref]],0),MATCH($D$21,Inputs!$I$133:$M$133,0)))+
IFERROR((INDEX(OP_TotalRates_SME_2[[Ausnet]:[United Energy]],MATCH("TOU - Shoulder",OP_TotalRates_SME_2[[Rate name]:[Rate name]],0),MATCH(OP_CMAB!P$24,OP_TotalRates_SME_2[[#Headers],[Ausnet]:[United Energy]],0))*
INDEX(Input_Usage[[F-CurrentVDO_Input]:[F-NextVDO_Input]],MATCH($L25&amp;" - Shoulder",Input_Usage[[Ref]:[Ref]],0),MATCH($D$21,Inputs!$I$133:$M$133,0))),0)+
(INDEX(OP_TotalRates_SME_2[[Ausnet]:[United Energy]],MATCH("Off peak",OP_TotalRates_SME_2[[Rate name]:[Rate name]],0),MATCH(OP_CMAB!P$24,OP_TotalRates_SME_2[[#Headers],[Ausnet]:[United Energy]],0))*
INDEX(Input_Usage[[F-CurrentVDO_Input]:[F-NextVDO_Input]],MATCH($L25&amp;" - Off peak",Input_Usage[[Ref]:[Ref]],0),MATCH($D$21,Inputs!$I$133:$M$133,0))),0)),"-")</calculatedColumnFormula>
    </tableColumn>
    <tableColumn id="7" xr3:uid="{D4FA680B-83F1-49AE-83A4-2615571ED201}" name="United Energy">
      <calculatedColumnFormula>IFERROR(
IF($D$21="VDO 2021 - Final",
ROUNDUP(
(INDEX(OP_TotalRates_SME_2[[Ausnet]:[United Energy]],MATCH("Anytime - supply",OP_TotalRates_SME_2[[Rate name]:[Rate name]],0),MATCH(OP_CMAB!Q$24,OP_TotalRates_SME_2[[#Headers],[Ausnet]:[United Energy]],0))*DiY)+
(IFERROR((INDEX(OP_TotalRates_SME_2[[Ausnet]:[United Energy]],MATCH("Block 1",OP_TotalRates_SME_2[[Rate name]:[Rate name]],0),MATCH(OP_CMAB!Q$24,OP_TotalRates_SME_2[[#Headers],[Ausnet]:[United Energy]],0))*
INDEX(Input_Usage[[F-CurrentVDO_Input]:[F-NextVDO_Input]],MATCH(OP_CMAB!$L25&amp;" - Block 1",Input_Usage[[Ref]:[Ref]],0),MATCH(OP_CMAB!$D$21,Inputs!$I$133:$M$133,0))),0)+
IFERROR((INDEX(OP_TotalRates_SME_2[[Ausnet]:[United Energy]],MATCH("Balance",OP_TotalRates_SME_2[[Rate name]:[Rate name]],0),MATCH(OP_CMAB!Q$24,OP_TotalRates_SME_2[[#Headers],[Ausnet]:[United Energy]],0))*
INDEX(Input_Usage[[F-CurrentVDO_Input]:[F-NextVDO_Input]],MATCH(OP_CMAB!$L25&amp;" - Balance",Input_Usage[[Ref]:[Ref]],0),MATCH(OP_CMAB!$D$21,Inputs!$I$133:$M$133,0))),0)+
IFERROR((INDEX(OP_TotalRates_SME_2[[Ausnet]:[United Energy]],MATCH("Single rate",OP_TotalRates_SME_2[[Rate name]:[Rate name]],0),MATCH(OP_CMAB!Q$24,OP_TotalRates_SME_2[[#Headers],[Ausnet]:[United Energy]],0))*
INDEX(Input_Usage[[F-CurrentVDO_Input]:[F-NextVDO_Input]],MATCH(OP_CMAB!$L25&amp;" - Annual",Input_Usage[[Ref]:[Ref]],0),MATCH(OP_CMAB!$D$21,Inputs!$I$133:$M$133,0))),0)),0),
ROUNDUP(
(INDEX(OP_TotalRates_SME_2[[Ausnet]:[United Energy]],MATCH("TOU - supply",OP_TotalRates_SME_2[[Rate name]:[Rate name]],0),MATCH(OP_CMAB!Q$24,OP_TotalRates_SME_2[[#Headers],[Ausnet]:[United Energy]],0))*DiY)+
(INDEX(OP_TotalRates_SME_2[[Ausnet]:[United Energy]],MATCH("Peak",OP_TotalRates_SME_2[[Rate name]:[Rate name]],0),MATCH(OP_CMAB!Q$24,OP_TotalRates_SME_2[[#Headers],[Ausnet]:[United Energy]],0))*
INDEX(Input_Usage[[F-CurrentVDO_Input]:[F-NextVDO_Input]],MATCH($L25&amp;" - Peak",Input_Usage[[Ref]:[Ref]],0),MATCH($D$21,Inputs!$I$133:$M$133,0)))+
IFERROR((INDEX(OP_TotalRates_SME_2[[Ausnet]:[United Energy]],MATCH("TOU - Shoulder",OP_TotalRates_SME_2[[Rate name]:[Rate name]],0),MATCH(OP_CMAB!Q$24,OP_TotalRates_SME_2[[#Headers],[Ausnet]:[United Energy]],0))*
INDEX(Input_Usage[[F-CurrentVDO_Input]:[F-NextVDO_Input]],MATCH($L25&amp;" - Shoulder",Input_Usage[[Ref]:[Ref]],0),MATCH($D$21,Inputs!$I$133:$M$133,0))),0)+
(INDEX(OP_TotalRates_SME_2[[Ausnet]:[United Energy]],MATCH("Off peak",OP_TotalRates_SME_2[[Rate name]:[Rate name]],0),MATCH(OP_CMAB!Q$24,OP_TotalRates_SME_2[[#Headers],[Ausnet]:[United Energy]],0))*
INDEX(Input_Usage[[F-CurrentVDO_Input]:[F-NextVDO_Input]],MATCH($L25&amp;" - Off peak",Input_Usage[[Ref]:[Ref]],0),MATCH($D$21,Inputs!$I$133:$M$133,0))),0)),"-")</calculatedColumnFormula>
    </tableColumn>
  </tableColumns>
  <tableStyleInfo name="Default table"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EF9E3F01-29C8-44C9-A414-7871D361A8AB}" name="CostStackCalcs_RES_1" displayName="CostStackCalcs_RES_1" ref="C53:I67" totalsRowShown="0" headerRowDxfId="96" dataDxfId="94" headerRowBorderDxfId="95" tableBorderDxfId="93" totalsRowBorderDxfId="92" headerRowCellStyle="Table col heading" dataCellStyle="Table cell">
  <tableColumns count="7">
    <tableColumn id="1" xr3:uid="{D106242E-21EB-4A0E-B344-1AB2FF19A01B}" name="Labels" totalsRowDxfId="91" dataCellStyle="Table cell" totalsRowCellStyle="Table cell"/>
    <tableColumn id="2" xr3:uid="{3C70B015-29DB-4964-972A-695201DCF3BC}" name="Ausnet" dataDxfId="90" totalsRowDxfId="89" dataCellStyle="Table cell" totalsRowCellStyle="Table cell"/>
    <tableColumn id="3" xr3:uid="{0AD4E9C4-5D09-4770-901B-5C1E3759883B}" name="Citipower" dataDxfId="88" totalsRowDxfId="87" dataCellStyle="Table cell" totalsRowCellStyle="Table cell"/>
    <tableColumn id="4" xr3:uid="{BF620EA6-2229-4539-B3B0-5BC29CC007DD}" name="Jemena" dataDxfId="86" totalsRowDxfId="85" dataCellStyle="Table cell" totalsRowCellStyle="Table cell"/>
    <tableColumn id="5" xr3:uid="{4133A035-3084-4EEF-A863-1EC0692E3CC2}" name="Powercor" dataDxfId="84" totalsRowDxfId="83" dataCellStyle="Table cell" totalsRowCellStyle="Table cell"/>
    <tableColumn id="6" xr3:uid="{A843CB81-15B3-4B2D-84D5-26699752FA91}" name="United Energy" dataDxfId="82" totalsRowDxfId="81" dataCellStyle="Table cell" totalsRowCellStyle="Table cell"/>
    <tableColumn id="7" xr3:uid="{50EEE76A-8C20-4F06-B255-968B1E0C54FD}" name="Average" dataDxfId="80" totalsRowDxfId="79" dataCellStyle="Table cell" totalsRowCellStyle="Table cell">
      <calculatedColumnFormula>AVERAGE(D54:H54)</calculatedColumnFormula>
    </tableColumn>
  </tableColumns>
  <tableStyleInfo name="Default table"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B6179DB5-FA7C-453D-BCAA-CFC8D6B6B71C}" name="CostStackCalcs_RES_2" displayName="CostStackCalcs_RES_2" ref="K53:Q67" totalsRowShown="0" headerRowDxfId="78" dataDxfId="76" headerRowBorderDxfId="77" tableBorderDxfId="75" totalsRowBorderDxfId="74" headerRowCellStyle="Table col heading" dataCellStyle="Table cell">
  <tableColumns count="7">
    <tableColumn id="1" xr3:uid="{DE7FFC73-2AD0-47FF-A4F7-7571FF420246}" name="Labels" dataCellStyle="Table cell"/>
    <tableColumn id="2" xr3:uid="{69D5ADF0-E7AC-497D-949C-17575A9CFE5A}" name="Ausnet" dataDxfId="73" dataCellStyle="Table cell"/>
    <tableColumn id="3" xr3:uid="{67A4DAED-588E-4FE9-9BC6-81A483ACFE9D}" name="Citipower" dataDxfId="72" dataCellStyle="Table cell"/>
    <tableColumn id="4" xr3:uid="{DEE0DA33-879A-4CB0-B36E-4211E6462461}" name="Jemena" dataDxfId="71" dataCellStyle="Table cell"/>
    <tableColumn id="5" xr3:uid="{CB4323C2-850F-462B-967E-A38994ABFA74}" name="Powercor" dataDxfId="70" dataCellStyle="Table cell"/>
    <tableColumn id="6" xr3:uid="{B24BAD99-7BC5-48BD-B5A9-07A1D77B671B}" name="United Energy" dataDxfId="69" dataCellStyle="Table cell"/>
    <tableColumn id="7" xr3:uid="{A155A648-45F0-43A2-9EC9-85FF59A92B09}" name="Average" dataDxfId="68" dataCellStyle="Table cell">
      <calculatedColumnFormula>AVERAGE(L54:P54)</calculatedColumnFormula>
    </tableColumn>
  </tableColumns>
  <tableStyleInfo name="Default table"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5F2A24A7-D395-41CC-A4FE-445680629E79}" name="CostStackCalcs_SME_1" displayName="CostStackCalcs_SME_1" ref="C53:I67" totalsRowShown="0" headerRowDxfId="67" dataDxfId="65" headerRowBorderDxfId="66" tableBorderDxfId="64" totalsRowBorderDxfId="63" headerRowCellStyle="Table col heading" dataCellStyle="Table cell">
  <tableColumns count="7">
    <tableColumn id="1" xr3:uid="{2C3F7EC5-9641-4046-B37A-BFE4DDB76FA9}" name="Labels" totalsRowDxfId="62" dataCellStyle="Table cell" totalsRowCellStyle="Table cell"/>
    <tableColumn id="2" xr3:uid="{F4EEB8D3-5E29-497A-91C5-C84362708D0B}" name="Ausnet" dataDxfId="61" totalsRowDxfId="60" dataCellStyle="Table cell" totalsRowCellStyle="Table cell"/>
    <tableColumn id="3" xr3:uid="{53E877F1-0030-4F5B-895C-FD0F39E18003}" name="Citipower" dataDxfId="59" totalsRowDxfId="58" dataCellStyle="Table cell" totalsRowCellStyle="Table cell"/>
    <tableColumn id="4" xr3:uid="{6B4C0EE3-C1FB-4A3E-BC00-06BC626584A2}" name="Jemena" dataDxfId="57" totalsRowDxfId="56" dataCellStyle="Table cell" totalsRowCellStyle="Table cell"/>
    <tableColumn id="5" xr3:uid="{6D442226-E791-49B6-BF08-9797BDB39C1E}" name="Powercor" dataDxfId="55" totalsRowDxfId="54" dataCellStyle="Table cell" totalsRowCellStyle="Table cell"/>
    <tableColumn id="6" xr3:uid="{41570DF7-E820-4633-96F6-787E7B61EA6E}" name="United Energy" dataDxfId="53" totalsRowDxfId="52" dataCellStyle="Table cell" totalsRowCellStyle="Table cell"/>
    <tableColumn id="7" xr3:uid="{A7767476-7FA8-4DF1-B725-B67BCC79642D}" name="Average" dataDxfId="51" totalsRowDxfId="50" dataCellStyle="Table cell" totalsRowCellStyle="Table cell">
      <calculatedColumnFormula>AVERAGE(D54:H54)</calculatedColumnFormula>
    </tableColumn>
  </tableColumns>
  <tableStyleInfo name="Default table"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884F98A0-205F-4590-A32C-0DD96E1A9932}" name="CostStackCalcs_SME_2" displayName="CostStackCalcs_SME_2" ref="K53:Q67" totalsRowShown="0" headerRowDxfId="49" dataDxfId="47" headerRowBorderDxfId="48" tableBorderDxfId="46" totalsRowBorderDxfId="45" headerRowCellStyle="Table col heading" dataCellStyle="Table cell">
  <tableColumns count="7">
    <tableColumn id="1" xr3:uid="{5703EB57-D132-469C-A83A-5D5BBEA3CB70}" name="Labels" dataCellStyle="Table cell"/>
    <tableColumn id="2" xr3:uid="{CCE36173-8B93-42C5-B639-232E23A0EA19}" name="Ausnet" dataDxfId="44" dataCellStyle="Table cell"/>
    <tableColumn id="3" xr3:uid="{A1C621FE-626C-4858-810E-1E29A4035476}" name="Citipower" dataDxfId="43" dataCellStyle="Table cell"/>
    <tableColumn id="4" xr3:uid="{B26EF358-3C03-48B2-90E1-681EAC53F6DA}" name="Jemena" dataDxfId="42" dataCellStyle="Table cell"/>
    <tableColumn id="5" xr3:uid="{E5D33A0A-4CED-403A-B081-00D19170CF61}" name="Powercor" dataDxfId="41" dataCellStyle="Table cell"/>
    <tableColumn id="6" xr3:uid="{C7D6F793-8DBD-4DE2-BAC0-9F4CA5E0749D}" name="United Energy" dataDxfId="40" dataCellStyle="Table cell"/>
    <tableColumn id="7" xr3:uid="{51B1312E-5597-49F7-A3A9-BC9267D577AC}" name="Average" dataDxfId="39" dataCellStyle="Table cell">
      <calculatedColumnFormula>AVERAGE(L54:P54)</calculatedColumnFormula>
    </tableColumn>
  </tableColumns>
  <tableStyleInfo name="Default table"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F8509A4-B85B-4A8D-AF40-29DFBA0E9DBD}" name="LU_Units" displayName="LU_Units" ref="E7:E20" totalsRowShown="0" dataDxfId="37" headerRowBorderDxfId="38" tableBorderDxfId="36" totalsRowBorderDxfId="35" headerRowCellStyle="Table col heading" dataCellStyle="Hard-coded">
  <tableColumns count="1">
    <tableColumn id="1" xr3:uid="{9C6E56E0-72A9-4D72-9F61-583216BE24AD}" name="Units" dataDxfId="34" dataCellStyle="Hard-coded"/>
  </tableColumns>
  <tableStyleInfo name="Default table"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51C4FA7-4A02-4FE2-8E4B-E86988411993}" name="LU_FixedVariable" displayName="LU_FixedVariable" ref="C7:C10" totalsRowShown="0" dataDxfId="32" headerRowBorderDxfId="33" tableBorderDxfId="31" totalsRowBorderDxfId="30" headerRowCellStyle="Table col heading" dataCellStyle="Hard-coded">
  <tableColumns count="1">
    <tableColumn id="1" xr3:uid="{6E304742-6DCB-4D36-AA6E-D41E67A17680}" name="Fixed/Variable" dataDxfId="29" dataCellStyle="Hard-coded"/>
  </tableColumns>
  <tableStyleInfo name="Default table"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46E1678C-13B5-41F4-9732-B8998A6F29D0}" name="LU_CustType" displayName="LU_CustType" ref="G7:G10" totalsRowShown="0" dataDxfId="27" headerRowBorderDxfId="28" tableBorderDxfId="26" totalsRowBorderDxfId="25" headerRowCellStyle="Table col heading" dataCellStyle="Hard-coded">
  <tableColumns count="1">
    <tableColumn id="1" xr3:uid="{E4257759-0421-4BCD-A015-75722E8DBCF3}" name="Customer type" dataDxfId="24" dataCellStyle="Hard-coded"/>
  </tableColumns>
  <tableStyleInfo name="Default table"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854E2C13-AB39-4E55-BF00-537BD955FF56}" name="RateCheck_VDO2021F" displayName="RateCheck_VDO2021F" ref="C27:H40" totalsRowShown="0" headerRowDxfId="23" dataDxfId="21" headerRowBorderDxfId="22" tableBorderDxfId="20" headerRowCellStyle="Table col heading" dataCellStyle="Hard-coded">
  <tableColumns count="6">
    <tableColumn id="1" xr3:uid="{954CA8C7-DCA5-4214-B453-E3EA5EFC0397}" name="Rate" dataCellStyle="Table cell"/>
    <tableColumn id="3" xr3:uid="{B5B5C9C8-4877-4263-B8AE-FE45F3B68DBC}" name="Ausnet" dataDxfId="19" dataCellStyle="Hard-coded"/>
    <tableColumn id="4" xr3:uid="{EE605F25-1750-458F-801E-0914EE0179A6}" name="Citipower" dataDxfId="18" dataCellStyle="Hard-coded"/>
    <tableColumn id="5" xr3:uid="{F52402BD-584A-40D2-ABB7-A65654466E21}" name="Jemena" dataDxfId="17" dataCellStyle="Hard-coded"/>
    <tableColumn id="6" xr3:uid="{56410595-734B-4A5F-AE6B-12BFEEFC2E1E}" name="Powercor" dataDxfId="16" dataCellStyle="Hard-coded"/>
    <tableColumn id="7" xr3:uid="{0EF249CE-159C-491B-9904-231D97C050D8}" name="United Energy" dataDxfId="15" dataCellStyle="Hard-coded"/>
  </tableColumns>
  <tableStyleInfo name="Default table"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8DA846E-6B6E-42E3-B6E6-BFA08ECB3EFE}" name="LU_UsageProfiles" displayName="LU_UsageProfiles" ref="I7:I13" totalsRowShown="0" dataDxfId="13" headerRowBorderDxfId="14" tableBorderDxfId="12" totalsRowBorderDxfId="11" headerRowCellStyle="Table col heading" dataCellStyle="Hard-coded">
  <autoFilter ref="I7:I13" xr:uid="{C360791E-1C8C-48A7-B83A-F08229D11B5E}"/>
  <tableColumns count="1">
    <tableColumn id="1" xr3:uid="{D93DFBC2-B77B-456C-A30C-DC8C8723D2BF}" name="Usage profiles" dataDxfId="10" dataCellStyle="Hard-coded"/>
  </tableColumns>
  <tableStyleInfo name="Default table"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33B05AB1-E99A-458A-9C88-192052931E87}" name="VDOHistorical" displayName="VDOHistorical" ref="C45:K133" totalsRowShown="0" headerRowDxfId="9" dataDxfId="7" headerRowBorderDxfId="8" tableBorderDxfId="6" headerRowCellStyle="Table col heading" dataCellStyle="Hard-coded">
  <autoFilter ref="C45:K133" xr:uid="{86E15CBF-B4EA-4F63-A830-D24511A2B878}"/>
  <tableColumns count="9">
    <tableColumn id="1" xr3:uid="{D8610868-F7A3-4B3B-B4DD-27E9A9AFA65B}" name="VDO decision"/>
    <tableColumn id="3" xr3:uid="{94ECC930-7FB0-4BBE-921A-8D95156265AB}" name="Customer type" dataCellStyle="Table cell"/>
    <tableColumn id="4" xr3:uid="{1E6A7B3F-8770-4A28-BBB6-006AA926898D}" name="Cost element" dataCellStyle="Table cell"/>
    <tableColumn id="5" xr3:uid="{1E205A00-E7F8-4167-BA2A-56FF393E1D92}" name="Ausnet" dataDxfId="5" dataCellStyle="Hard-coded"/>
    <tableColumn id="6" xr3:uid="{B12708B7-462F-4814-8480-C9295BD74306}" name="Citipower" dataDxfId="4" dataCellStyle="Hard-coded"/>
    <tableColumn id="7" xr3:uid="{750F435A-3819-4A1C-B22A-53D8EAC77B39}" name="Jemena" dataDxfId="3" dataCellStyle="Hard-coded"/>
    <tableColumn id="8" xr3:uid="{64B77632-0221-4CFB-ABE1-3867EE6943A7}" name="Powercor" dataDxfId="2" dataCellStyle="Hard-coded"/>
    <tableColumn id="9" xr3:uid="{813FD7B9-19E7-4879-BE36-6D0202CC0974}" name="United Energy" dataDxfId="1" dataCellStyle="Hard-coded"/>
    <tableColumn id="10" xr3:uid="{AABFB965-5885-42ED-B6B3-2C39EB34FEF6}" name="Average" dataDxfId="0" dataCellStyle="Hard-coded"/>
  </tableColumns>
  <tableStyleInfo name="Default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118" dT="2021-10-18T04:50:42.46" personId="{AB2E8050-172C-4EE8-9306-86F4DF9A3502}" id="{4DE6836B-42E4-429E-A543-4D843522EAB6}">
    <text>To be updated, Bec to confirm</text>
  </threadedComment>
  <threadedComment ref="Q118" dT="2021-10-25T02:04:35.32" personId="{3AEE3FAC-29A2-409D-95CD-AB665041374E}" id="{38F39CAB-A813-4D9D-A02E-53971B3E9439}" parentId="{4DE6836B-42E4-429E-A543-4D843522EAB6}">
    <text>Updated</text>
  </threadedComment>
  <threadedComment ref="Q119" dT="2021-10-18T04:50:42.46" personId="{AB2E8050-172C-4EE8-9306-86F4DF9A3502}" id="{53E285DB-7DA6-466C-9B86-1F78BEB7B428}">
    <text>To be updated, Bec to confirm</text>
  </threadedComment>
  <threadedComment ref="Q119" dT="2021-10-25T02:04:32.00" personId="{3AEE3FAC-29A2-409D-95CD-AB665041374E}" id="{62DAF2C3-6317-4323-9044-149F93862680}" parentId="{53E285DB-7DA6-466C-9B86-1F78BEB7B428}">
    <text>Updated</text>
  </threadedComment>
  <threadedComment ref="Q120" dT="2021-10-18T04:50:42.46" personId="{AB2E8050-172C-4EE8-9306-86F4DF9A3502}" id="{DB1D8742-70BA-4481-914F-99C9F0228E32}">
    <text>To be updated, Bec to confirm</text>
  </threadedComment>
  <threadedComment ref="Q120" dT="2021-10-25T02:04:27.89" personId="{3AEE3FAC-29A2-409D-95CD-AB665041374E}" id="{8C7CD8B1-67EA-46E2-B0A2-FD09E3EC7855}" parentId="{DB1D8742-70BA-4481-914F-99C9F0228E32}">
    <text>Updated</text>
  </threadedComment>
  <threadedComment ref="Q121" dT="2021-10-18T04:50:42.46" personId="{AB2E8050-172C-4EE8-9306-86F4DF9A3502}" id="{A14D88D1-B4F0-46DC-B391-F6C340E943D3}">
    <text>To be updated, Bec to confirm</text>
  </threadedComment>
  <threadedComment ref="Q121" dT="2021-10-25T02:04:23.32" personId="{3AEE3FAC-29A2-409D-95CD-AB665041374E}" id="{C88313BB-EC70-47E2-9A7E-76202B8E8CF6}" parentId="{A14D88D1-B4F0-46DC-B391-F6C340E943D3}">
    <text>Updated</text>
  </threadedComment>
  <threadedComment ref="Q122" dT="2021-10-18T04:50:42.46" personId="{AB2E8050-172C-4EE8-9306-86F4DF9A3502}" id="{256AE0C8-2AFC-4257-A4A5-5E127D0B69F6}">
    <text>To be updated, Bec to confirm</text>
  </threadedComment>
  <threadedComment ref="Q122" dT="2021-10-25T02:04:19.93" personId="{3AEE3FAC-29A2-409D-95CD-AB665041374E}" id="{5A6845DC-31CF-4C0D-9B87-839CFCE9C69F}" parentId="{256AE0C8-2AFC-4257-A4A5-5E127D0B69F6}">
    <text>Updated</text>
  </threadedComment>
  <threadedComment ref="Q123" dT="2021-10-18T04:50:42.46" personId="{AB2E8050-172C-4EE8-9306-86F4DF9A3502}" id="{911226B0-6EF5-4089-B966-AE16632FCAB8}">
    <text>To be updated, Bec to confirm</text>
  </threadedComment>
  <threadedComment ref="Q123" dT="2021-10-25T02:03:17.07" personId="{3AEE3FAC-29A2-409D-95CD-AB665041374E}" id="{688C469E-477E-40BB-BB4F-1F7BB8330338}" parentId="{911226B0-6EF5-4089-B966-AE16632FCAB8}">
    <text>Updated</text>
  </threadedComment>
  <threadedComment ref="Q126" dT="2021-10-18T04:50:42.46" personId="{AB2E8050-172C-4EE8-9306-86F4DF9A3502}" id="{C3C62420-7251-4616-99C2-530DFF87A346}">
    <text>To be updated, Bec to confirm</text>
  </threadedComment>
  <threadedComment ref="Q126" dT="2021-10-25T02:03:10.57" personId="{3AEE3FAC-29A2-409D-95CD-AB665041374E}" id="{DD308B7A-B5E7-4AF4-A77D-8E0C35137691}" parentId="{C3C62420-7251-4616-99C2-530DFF87A346}">
    <text>Updated</text>
  </threadedComment>
</ThreadedComments>
</file>

<file path=xl/threadedComments/threadedComment2.xml><?xml version="1.0" encoding="utf-8"?>
<ThreadedComments xmlns="http://schemas.microsoft.com/office/spreadsheetml/2018/threadedcomments" xmlns:x="http://schemas.openxmlformats.org/spreadsheetml/2006/main">
  <threadedComment ref="E424" dT="2021-11-22T22:36:42.98" personId="{AB2E8050-172C-4EE8-9306-86F4DF9A3502}" id="{FEA18F78-89B6-41D2-AEA2-0D586BCAB519}">
    <text>Please note: this unit is for calculation purposes and refers to the input value, calculated figures shown are in total dollars per customer per year.</text>
  </threadedComment>
  <threadedComment ref="E425" dT="2021-11-22T22:36:42.98" personId="{AB2E8050-172C-4EE8-9306-86F4DF9A3502}" id="{6E319B2E-8910-4F93-86BE-C4B9E7E9FB24}">
    <text>Please note: this unit is for calculation purposes and refers to the input value, calculated figures shown are in total dollars per customer per year.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12" Type="http://schemas.microsoft.com/office/2017/10/relationships/threadedComment" Target="../threadedComments/threadedComment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6" Type="http://schemas.openxmlformats.org/officeDocument/2006/relationships/table" Target="../tables/table4.xml"/><Relationship Id="rId11" Type="http://schemas.openxmlformats.org/officeDocument/2006/relationships/comments" Target="../comments1.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8" Type="http://schemas.openxmlformats.org/officeDocument/2006/relationships/table" Target="../tables/table18.xml"/><Relationship Id="rId13" Type="http://schemas.openxmlformats.org/officeDocument/2006/relationships/table" Target="../tables/table23.xml"/><Relationship Id="rId18" Type="http://schemas.openxmlformats.org/officeDocument/2006/relationships/table" Target="../tables/table28.xml"/><Relationship Id="rId26" Type="http://schemas.openxmlformats.org/officeDocument/2006/relationships/table" Target="../tables/table36.xml"/><Relationship Id="rId3" Type="http://schemas.openxmlformats.org/officeDocument/2006/relationships/table" Target="../tables/table13.xml"/><Relationship Id="rId21" Type="http://schemas.openxmlformats.org/officeDocument/2006/relationships/table" Target="../tables/table31.xml"/><Relationship Id="rId34" Type="http://schemas.microsoft.com/office/2017/10/relationships/threadedComment" Target="../threadedComments/threadedComment2.xml"/><Relationship Id="rId7" Type="http://schemas.openxmlformats.org/officeDocument/2006/relationships/table" Target="../tables/table17.xml"/><Relationship Id="rId12" Type="http://schemas.openxmlformats.org/officeDocument/2006/relationships/table" Target="../tables/table22.xml"/><Relationship Id="rId17" Type="http://schemas.openxmlformats.org/officeDocument/2006/relationships/table" Target="../tables/table27.xml"/><Relationship Id="rId25" Type="http://schemas.openxmlformats.org/officeDocument/2006/relationships/table" Target="../tables/table35.xml"/><Relationship Id="rId33" Type="http://schemas.openxmlformats.org/officeDocument/2006/relationships/comments" Target="../comments2.xml"/><Relationship Id="rId2" Type="http://schemas.openxmlformats.org/officeDocument/2006/relationships/vmlDrawing" Target="../drawings/vmlDrawing2.vml"/><Relationship Id="rId16" Type="http://schemas.openxmlformats.org/officeDocument/2006/relationships/table" Target="../tables/table26.xml"/><Relationship Id="rId20" Type="http://schemas.openxmlformats.org/officeDocument/2006/relationships/table" Target="../tables/table30.xml"/><Relationship Id="rId29" Type="http://schemas.openxmlformats.org/officeDocument/2006/relationships/table" Target="../tables/table39.xml"/><Relationship Id="rId1" Type="http://schemas.openxmlformats.org/officeDocument/2006/relationships/printerSettings" Target="../printerSettings/printerSettings6.bin"/><Relationship Id="rId6" Type="http://schemas.openxmlformats.org/officeDocument/2006/relationships/table" Target="../tables/table16.xml"/><Relationship Id="rId11" Type="http://schemas.openxmlformats.org/officeDocument/2006/relationships/table" Target="../tables/table21.xml"/><Relationship Id="rId24" Type="http://schemas.openxmlformats.org/officeDocument/2006/relationships/table" Target="../tables/table34.xml"/><Relationship Id="rId32" Type="http://schemas.openxmlformats.org/officeDocument/2006/relationships/table" Target="../tables/table42.xml"/><Relationship Id="rId5" Type="http://schemas.openxmlformats.org/officeDocument/2006/relationships/table" Target="../tables/table15.xml"/><Relationship Id="rId15" Type="http://schemas.openxmlformats.org/officeDocument/2006/relationships/table" Target="../tables/table25.xml"/><Relationship Id="rId23" Type="http://schemas.openxmlformats.org/officeDocument/2006/relationships/table" Target="../tables/table33.xml"/><Relationship Id="rId28" Type="http://schemas.openxmlformats.org/officeDocument/2006/relationships/table" Target="../tables/table38.xml"/><Relationship Id="rId10" Type="http://schemas.openxmlformats.org/officeDocument/2006/relationships/table" Target="../tables/table20.xml"/><Relationship Id="rId19" Type="http://schemas.openxmlformats.org/officeDocument/2006/relationships/table" Target="../tables/table29.xml"/><Relationship Id="rId31" Type="http://schemas.openxmlformats.org/officeDocument/2006/relationships/table" Target="../tables/table41.xml"/><Relationship Id="rId4" Type="http://schemas.openxmlformats.org/officeDocument/2006/relationships/table" Target="../tables/table14.xml"/><Relationship Id="rId9" Type="http://schemas.openxmlformats.org/officeDocument/2006/relationships/table" Target="../tables/table19.xml"/><Relationship Id="rId14" Type="http://schemas.openxmlformats.org/officeDocument/2006/relationships/table" Target="../tables/table24.xml"/><Relationship Id="rId22" Type="http://schemas.openxmlformats.org/officeDocument/2006/relationships/table" Target="../tables/table32.xml"/><Relationship Id="rId27" Type="http://schemas.openxmlformats.org/officeDocument/2006/relationships/table" Target="../tables/table37.xml"/><Relationship Id="rId30" Type="http://schemas.openxmlformats.org/officeDocument/2006/relationships/table" Target="../tables/table40.xml"/></Relationships>
</file>

<file path=xl/worksheets/_rels/sheet13.xml.rels><?xml version="1.0" encoding="UTF-8" standalone="yes"?>
<Relationships xmlns="http://schemas.openxmlformats.org/package/2006/relationships"><Relationship Id="rId8" Type="http://schemas.openxmlformats.org/officeDocument/2006/relationships/table" Target="../tables/table49.xml"/><Relationship Id="rId3" Type="http://schemas.openxmlformats.org/officeDocument/2006/relationships/table" Target="../tables/table44.xml"/><Relationship Id="rId7" Type="http://schemas.openxmlformats.org/officeDocument/2006/relationships/table" Target="../tables/table48.xml"/><Relationship Id="rId2" Type="http://schemas.openxmlformats.org/officeDocument/2006/relationships/table" Target="../tables/table43.xml"/><Relationship Id="rId1" Type="http://schemas.openxmlformats.org/officeDocument/2006/relationships/printerSettings" Target="../printerSettings/printerSettings7.bin"/><Relationship Id="rId6" Type="http://schemas.openxmlformats.org/officeDocument/2006/relationships/table" Target="../tables/table47.xml"/><Relationship Id="rId5" Type="http://schemas.openxmlformats.org/officeDocument/2006/relationships/table" Target="../tables/table46.xml"/><Relationship Id="rId4" Type="http://schemas.openxmlformats.org/officeDocument/2006/relationships/table" Target="../tables/table45.xml"/><Relationship Id="rId9" Type="http://schemas.openxmlformats.org/officeDocument/2006/relationships/table" Target="../tables/table50.xml"/></Relationships>
</file>

<file path=xl/worksheets/_rels/sheet14.xml.rels><?xml version="1.0" encoding="UTF-8" standalone="yes"?>
<Relationships xmlns="http://schemas.openxmlformats.org/package/2006/relationships"><Relationship Id="rId8" Type="http://schemas.openxmlformats.org/officeDocument/2006/relationships/table" Target="../tables/table57.xml"/><Relationship Id="rId3" Type="http://schemas.openxmlformats.org/officeDocument/2006/relationships/table" Target="../tables/table52.xml"/><Relationship Id="rId7" Type="http://schemas.openxmlformats.org/officeDocument/2006/relationships/table" Target="../tables/table56.xml"/><Relationship Id="rId2" Type="http://schemas.openxmlformats.org/officeDocument/2006/relationships/table" Target="../tables/table51.xml"/><Relationship Id="rId1" Type="http://schemas.openxmlformats.org/officeDocument/2006/relationships/printerSettings" Target="../printerSettings/printerSettings8.bin"/><Relationship Id="rId6" Type="http://schemas.openxmlformats.org/officeDocument/2006/relationships/table" Target="../tables/table55.xml"/><Relationship Id="rId11" Type="http://schemas.openxmlformats.org/officeDocument/2006/relationships/table" Target="../tables/table60.xml"/><Relationship Id="rId5" Type="http://schemas.openxmlformats.org/officeDocument/2006/relationships/table" Target="../tables/table54.xml"/><Relationship Id="rId10" Type="http://schemas.openxmlformats.org/officeDocument/2006/relationships/table" Target="../tables/table59.xml"/><Relationship Id="rId4" Type="http://schemas.openxmlformats.org/officeDocument/2006/relationships/table" Target="../tables/table53.xml"/><Relationship Id="rId9" Type="http://schemas.openxmlformats.org/officeDocument/2006/relationships/table" Target="../tables/table58.xml"/></Relationships>
</file>

<file path=xl/worksheets/_rels/sheet15.xml.rels><?xml version="1.0" encoding="UTF-8" standalone="yes"?>
<Relationships xmlns="http://schemas.openxmlformats.org/package/2006/relationships"><Relationship Id="rId8" Type="http://schemas.openxmlformats.org/officeDocument/2006/relationships/table" Target="../tables/table68.xml"/><Relationship Id="rId3" Type="http://schemas.openxmlformats.org/officeDocument/2006/relationships/table" Target="../tables/table63.xml"/><Relationship Id="rId7" Type="http://schemas.openxmlformats.org/officeDocument/2006/relationships/table" Target="../tables/table67.xml"/><Relationship Id="rId12" Type="http://schemas.openxmlformats.org/officeDocument/2006/relationships/table" Target="../tables/table72.xml"/><Relationship Id="rId2" Type="http://schemas.openxmlformats.org/officeDocument/2006/relationships/table" Target="../tables/table62.xml"/><Relationship Id="rId1" Type="http://schemas.openxmlformats.org/officeDocument/2006/relationships/table" Target="../tables/table61.xml"/><Relationship Id="rId6" Type="http://schemas.openxmlformats.org/officeDocument/2006/relationships/table" Target="../tables/table66.xml"/><Relationship Id="rId11" Type="http://schemas.openxmlformats.org/officeDocument/2006/relationships/table" Target="../tables/table71.xml"/><Relationship Id="rId5" Type="http://schemas.openxmlformats.org/officeDocument/2006/relationships/table" Target="../tables/table65.xml"/><Relationship Id="rId10" Type="http://schemas.openxmlformats.org/officeDocument/2006/relationships/table" Target="../tables/table70.xml"/><Relationship Id="rId4" Type="http://schemas.openxmlformats.org/officeDocument/2006/relationships/table" Target="../tables/table64.xml"/><Relationship Id="rId9" Type="http://schemas.openxmlformats.org/officeDocument/2006/relationships/table" Target="../tables/table69.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75.xml"/><Relationship Id="rId2" Type="http://schemas.openxmlformats.org/officeDocument/2006/relationships/table" Target="../tables/table74.xml"/><Relationship Id="rId1" Type="http://schemas.openxmlformats.org/officeDocument/2006/relationships/table" Target="../tables/table73.xml"/><Relationship Id="rId4" Type="http://schemas.openxmlformats.org/officeDocument/2006/relationships/table" Target="../tables/table76.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77.x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table" Target="../tables/table78.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79.x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table" Target="../tables/table80.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83.xml"/><Relationship Id="rId2" Type="http://schemas.openxmlformats.org/officeDocument/2006/relationships/table" Target="../tables/table82.xml"/><Relationship Id="rId1" Type="http://schemas.openxmlformats.org/officeDocument/2006/relationships/table" Target="../tables/table81.xml"/><Relationship Id="rId6" Type="http://schemas.openxmlformats.org/officeDocument/2006/relationships/table" Target="../tables/table86.xml"/><Relationship Id="rId5" Type="http://schemas.openxmlformats.org/officeDocument/2006/relationships/table" Target="../tables/table85.xml"/><Relationship Id="rId4" Type="http://schemas.openxmlformats.org/officeDocument/2006/relationships/table" Target="../tables/table8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BC9E0-BE5F-4892-896D-1BCD09BCAA16}">
  <sheetPr>
    <tabColor rgb="FF7F7F7F"/>
  </sheetPr>
  <dimension ref="B1:B29"/>
  <sheetViews>
    <sheetView showGridLines="0" tabSelected="1" zoomScale="85" zoomScaleNormal="85" workbookViewId="0">
      <selection activeCell="E17" sqref="E17"/>
    </sheetView>
  </sheetViews>
  <sheetFormatPr defaultRowHeight="15" x14ac:dyDescent="0.25"/>
  <cols>
    <col min="2" max="2" width="200.7109375" customWidth="1"/>
  </cols>
  <sheetData>
    <row r="1" spans="2:2" ht="28.5" x14ac:dyDescent="0.25">
      <c r="B1" s="38" t="s">
        <v>0</v>
      </c>
    </row>
    <row r="3" spans="2:2" ht="28.5" x14ac:dyDescent="0.25">
      <c r="B3" s="38" t="s">
        <v>1</v>
      </c>
    </row>
    <row r="5" spans="2:2" x14ac:dyDescent="0.25">
      <c r="B5" s="292" t="s">
        <v>541</v>
      </c>
    </row>
    <row r="6" spans="2:2" x14ac:dyDescent="0.25">
      <c r="B6" s="292"/>
    </row>
    <row r="7" spans="2:2" x14ac:dyDescent="0.25">
      <c r="B7" s="292"/>
    </row>
    <row r="8" spans="2:2" x14ac:dyDescent="0.25">
      <c r="B8" s="292"/>
    </row>
    <row r="9" spans="2:2" x14ac:dyDescent="0.25">
      <c r="B9" s="292"/>
    </row>
    <row r="10" spans="2:2" x14ac:dyDescent="0.25">
      <c r="B10" s="292"/>
    </row>
    <row r="11" spans="2:2" x14ac:dyDescent="0.25">
      <c r="B11" s="292"/>
    </row>
    <row r="12" spans="2:2" x14ac:dyDescent="0.25">
      <c r="B12" s="292"/>
    </row>
    <row r="13" spans="2:2" x14ac:dyDescent="0.25">
      <c r="B13" s="292"/>
    </row>
    <row r="14" spans="2:2" x14ac:dyDescent="0.25">
      <c r="B14" s="292"/>
    </row>
    <row r="15" spans="2:2" x14ac:dyDescent="0.25">
      <c r="B15" s="292"/>
    </row>
    <row r="16" spans="2:2" x14ac:dyDescent="0.25">
      <c r="B16" s="292"/>
    </row>
    <row r="17" spans="2:2" x14ac:dyDescent="0.25">
      <c r="B17" s="292"/>
    </row>
    <row r="18" spans="2:2" x14ac:dyDescent="0.25">
      <c r="B18" s="292"/>
    </row>
    <row r="19" spans="2:2" x14ac:dyDescent="0.25">
      <c r="B19" s="292"/>
    </row>
    <row r="20" spans="2:2" x14ac:dyDescent="0.25">
      <c r="B20" s="292"/>
    </row>
    <row r="21" spans="2:2" x14ac:dyDescent="0.25">
      <c r="B21" s="292"/>
    </row>
    <row r="22" spans="2:2" x14ac:dyDescent="0.25">
      <c r="B22" s="292"/>
    </row>
    <row r="23" spans="2:2" x14ac:dyDescent="0.25">
      <c r="B23" s="292"/>
    </row>
    <row r="24" spans="2:2" x14ac:dyDescent="0.25">
      <c r="B24" s="292"/>
    </row>
    <row r="25" spans="2:2" x14ac:dyDescent="0.25">
      <c r="B25" s="292"/>
    </row>
    <row r="26" spans="2:2" x14ac:dyDescent="0.25">
      <c r="B26" s="292"/>
    </row>
    <row r="27" spans="2:2" x14ac:dyDescent="0.25">
      <c r="B27" s="292"/>
    </row>
    <row r="28" spans="2:2" x14ac:dyDescent="0.25">
      <c r="B28" s="292"/>
    </row>
    <row r="29" spans="2:2" x14ac:dyDescent="0.25">
      <c r="B29" s="292"/>
    </row>
  </sheetData>
  <sheetProtection algorithmName="SHA-512" hashValue="ZuYCUgGn4WG6bJhnkPR4KviuJKB58NNjiajwF306W8LU+LTqjPY7z7W6Owpd8eAEU/1NzijHyQt/Qe+tJdqitQ==" saltValue="HyzKyFDPn1oSuQu60GAiGg==" spinCount="100000" sheet="1" objects="1" scenarios="1"/>
  <mergeCells count="1">
    <mergeCell ref="B5:B2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0480C-27A2-4B3E-9741-0B6D9B41C818}">
  <sheetPr codeName="Sheet4">
    <tabColor rgb="FF7F7F7F"/>
  </sheetPr>
  <dimension ref="A1:FV23"/>
  <sheetViews>
    <sheetView showGridLines="0" zoomScale="85" zoomScaleNormal="85" workbookViewId="0">
      <pane xSplit="5" topLeftCell="F1" activePane="topRight" state="frozen"/>
      <selection pane="topRight" activeCell="C22" sqref="C22"/>
    </sheetView>
  </sheetViews>
  <sheetFormatPr defaultColWidth="9.140625" defaultRowHeight="15" zeroHeight="1" x14ac:dyDescent="0.25"/>
  <cols>
    <col min="1" max="1" width="5.7109375" style="21" customWidth="1"/>
    <col min="2" max="2" width="25.7109375" style="4" customWidth="1"/>
    <col min="3" max="3" width="50.7109375" style="4" customWidth="1"/>
    <col min="4" max="4" width="25.7109375" style="4" customWidth="1"/>
    <col min="5" max="5" width="75.7109375" style="4" customWidth="1"/>
    <col min="6" max="178" width="5.7109375" style="4" customWidth="1"/>
  </cols>
  <sheetData>
    <row r="1" spans="1:178" ht="24.95" customHeight="1" x14ac:dyDescent="0.25">
      <c r="A1" s="31"/>
      <c r="B1" s="26" t="str">
        <f>Disclaimer!$B$1</f>
        <v>VDO calculation model</v>
      </c>
      <c r="C1" s="26"/>
      <c r="D1" s="26"/>
      <c r="E1" s="26"/>
    </row>
    <row r="2" spans="1:178" ht="24.95" customHeight="1" x14ac:dyDescent="0.25">
      <c r="A2" s="28">
        <f ca="1">_xlfn.SHEET()</f>
        <v>2</v>
      </c>
      <c r="B2" s="27" t="s">
        <v>2</v>
      </c>
      <c r="C2" s="27"/>
      <c r="D2" s="27"/>
      <c r="E2" s="27"/>
    </row>
    <row r="3" spans="1:178" ht="24.95" customHeight="1" x14ac:dyDescent="0.25">
      <c r="A3" s="32"/>
      <c r="B3" s="3" t="s">
        <v>3</v>
      </c>
      <c r="C3" s="3" t="s">
        <v>4</v>
      </c>
      <c r="D3" s="3" t="s">
        <v>5</v>
      </c>
      <c r="E3" s="3" t="s">
        <v>6</v>
      </c>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row>
    <row r="4" spans="1:178" ht="30" customHeight="1" x14ac:dyDescent="0.25">
      <c r="A4" s="33"/>
      <c r="B4" s="11" t="s">
        <v>7</v>
      </c>
      <c r="C4" s="11" t="s">
        <v>8</v>
      </c>
      <c r="D4" s="19" t="s">
        <v>9</v>
      </c>
      <c r="E4" s="11" t="s">
        <v>10</v>
      </c>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row>
    <row r="5" spans="1:178" ht="30" customHeight="1" x14ac:dyDescent="0.25">
      <c r="A5" s="33"/>
      <c r="B5" s="11">
        <f ca="1">A2</f>
        <v>2</v>
      </c>
      <c r="C5" s="11" t="s">
        <v>2</v>
      </c>
      <c r="D5" s="13" t="s">
        <v>11</v>
      </c>
      <c r="E5" s="11"/>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row>
    <row r="6" spans="1:178" ht="30" customHeight="1" x14ac:dyDescent="0.25">
      <c r="A6" s="33"/>
      <c r="B6" s="11">
        <f ca="1">'User Guide'!B3</f>
        <v>3</v>
      </c>
      <c r="C6" s="11" t="s">
        <v>12</v>
      </c>
      <c r="D6" s="19" t="s">
        <v>13</v>
      </c>
      <c r="E6" s="11" t="s">
        <v>777</v>
      </c>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row>
    <row r="7" spans="1:178" ht="30" hidden="1" customHeight="1" x14ac:dyDescent="0.25">
      <c r="A7" s="33"/>
      <c r="B7" s="11">
        <f ca="1">Information!B3</f>
        <v>4</v>
      </c>
      <c r="C7" s="11" t="s">
        <v>14</v>
      </c>
      <c r="D7" s="14" t="s">
        <v>15</v>
      </c>
      <c r="E7" s="11" t="s">
        <v>778</v>
      </c>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row>
    <row r="8" spans="1:178" ht="30" hidden="1" customHeight="1" x14ac:dyDescent="0.25">
      <c r="A8" s="33"/>
      <c r="B8" s="11">
        <f ca="1">Sources!B3</f>
        <v>5</v>
      </c>
      <c r="C8" s="11" t="s">
        <v>16</v>
      </c>
      <c r="D8" s="19" t="s">
        <v>17</v>
      </c>
      <c r="E8" s="11" t="s">
        <v>18</v>
      </c>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row>
    <row r="9" spans="1:178" ht="30" hidden="1" customHeight="1" x14ac:dyDescent="0.25">
      <c r="A9" s="33"/>
      <c r="B9" s="11">
        <f ca="1">'Version control'!B3</f>
        <v>6</v>
      </c>
      <c r="C9" s="11" t="s">
        <v>19</v>
      </c>
      <c r="D9" s="19" t="s">
        <v>20</v>
      </c>
      <c r="E9" s="11" t="s">
        <v>21</v>
      </c>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row>
    <row r="10" spans="1:178" ht="30" customHeight="1" x14ac:dyDescent="0.25">
      <c r="A10" s="33"/>
      <c r="B10" s="11">
        <v>9</v>
      </c>
      <c r="C10" s="11" t="s">
        <v>52</v>
      </c>
      <c r="D10" s="290" t="s">
        <v>780</v>
      </c>
      <c r="E10" s="11" t="s">
        <v>768</v>
      </c>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row>
    <row r="11" spans="1:178" ht="30" customHeight="1" x14ac:dyDescent="0.25">
      <c r="A11" s="33"/>
      <c r="B11" s="11">
        <f ca="1">'General Assumptions'!B3</f>
        <v>10</v>
      </c>
      <c r="C11" s="11" t="s">
        <v>22</v>
      </c>
      <c r="D11" s="19" t="s">
        <v>23</v>
      </c>
      <c r="E11" s="11" t="s">
        <v>24</v>
      </c>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row>
    <row r="12" spans="1:178" ht="30" customHeight="1" x14ac:dyDescent="0.25">
      <c r="A12" s="33"/>
      <c r="B12" s="11">
        <v>11</v>
      </c>
      <c r="C12" s="11" t="s">
        <v>258</v>
      </c>
      <c r="D12" s="290" t="s">
        <v>781</v>
      </c>
      <c r="E12" s="11" t="s">
        <v>769</v>
      </c>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row>
    <row r="13" spans="1:178" ht="30" customHeight="1" x14ac:dyDescent="0.25">
      <c r="A13" s="33"/>
      <c r="B13" s="11">
        <v>12</v>
      </c>
      <c r="C13" s="11" t="s">
        <v>423</v>
      </c>
      <c r="D13" s="291" t="s">
        <v>782</v>
      </c>
      <c r="E13" s="11" t="s">
        <v>770</v>
      </c>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row>
    <row r="14" spans="1:178" ht="30" customHeight="1" x14ac:dyDescent="0.25">
      <c r="A14" s="33"/>
      <c r="B14" s="11">
        <v>13</v>
      </c>
      <c r="C14" s="11" t="s">
        <v>722</v>
      </c>
      <c r="D14" s="291" t="s">
        <v>783</v>
      </c>
      <c r="E14" s="11" t="s">
        <v>771</v>
      </c>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row>
    <row r="15" spans="1:178" ht="30" customHeight="1" x14ac:dyDescent="0.25">
      <c r="A15" s="33"/>
      <c r="B15" s="11">
        <v>14</v>
      </c>
      <c r="C15" s="11" t="s">
        <v>661</v>
      </c>
      <c r="D15" s="291" t="s">
        <v>784</v>
      </c>
      <c r="E15" s="11" t="s">
        <v>772</v>
      </c>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row>
    <row r="16" spans="1:178" ht="30" customHeight="1" x14ac:dyDescent="0.25">
      <c r="A16" s="33"/>
      <c r="B16" s="11">
        <v>15</v>
      </c>
      <c r="C16" s="11" t="s">
        <v>424</v>
      </c>
      <c r="D16" s="290" t="s">
        <v>785</v>
      </c>
      <c r="E16" s="11" t="s">
        <v>773</v>
      </c>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row>
    <row r="17" spans="1:178" ht="30" customHeight="1" x14ac:dyDescent="0.25">
      <c r="A17" s="33"/>
      <c r="B17" s="11">
        <v>16</v>
      </c>
      <c r="C17" s="11" t="s">
        <v>765</v>
      </c>
      <c r="D17" s="291" t="s">
        <v>425</v>
      </c>
      <c r="E17" s="11" t="s">
        <v>774</v>
      </c>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row>
    <row r="18" spans="1:178" ht="30" customHeight="1" x14ac:dyDescent="0.25">
      <c r="A18" s="33"/>
      <c r="B18" s="11">
        <v>17</v>
      </c>
      <c r="C18" s="11" t="s">
        <v>766</v>
      </c>
      <c r="D18" s="291" t="s">
        <v>786</v>
      </c>
      <c r="E18" s="11" t="s">
        <v>775</v>
      </c>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row>
    <row r="19" spans="1:178" ht="30" customHeight="1" x14ac:dyDescent="0.25">
      <c r="A19" s="33"/>
      <c r="B19" s="11">
        <v>18</v>
      </c>
      <c r="C19" s="11" t="s">
        <v>767</v>
      </c>
      <c r="D19" s="291" t="s">
        <v>787</v>
      </c>
      <c r="E19" s="11" t="s">
        <v>776</v>
      </c>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row>
    <row r="20" spans="1:178" ht="30" customHeight="1" x14ac:dyDescent="0.25">
      <c r="A20" s="33"/>
      <c r="B20" s="11"/>
      <c r="C20" s="11"/>
      <c r="D20" s="14"/>
      <c r="E20" s="11"/>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row>
    <row r="21" spans="1:178" x14ac:dyDescent="0.25"/>
    <row r="22" spans="1:178" x14ac:dyDescent="0.25"/>
    <row r="23" spans="1:178" x14ac:dyDescent="0.25"/>
  </sheetData>
  <sheetProtection algorithmName="SHA-512" hashValue="fqNoaPkEgVlL9Vt3iDB5KRC3VYV7fzkgQhzyUpcRjmv1pQrX9tgPVpIpGgWC/wY7P+U1zZ1pCYqGOzKM6aiyqA==" saltValue="hVm4+SegrSk0dWcfMU+MVw==" spinCount="100000" sheet="1" objects="1" scenarios="1"/>
  <hyperlinks>
    <hyperlink ref="D11" location="'General Assumptions'!A1" display="'General Assumptions'!A1" xr:uid="{169E3CF6-9EF4-4235-A7F2-2B9FF255BB6A}"/>
    <hyperlink ref="D7" location="Information!A1" display="Information!A1" xr:uid="{01B7156F-8212-420E-BF20-7AC7D6496C44}"/>
    <hyperlink ref="D6" location="'User Guide'!A1" display="'User Guide'!A1" xr:uid="{B4E69F35-CFD0-41DB-926A-C19DAF106CE6}"/>
    <hyperlink ref="D4" location="Disclaimer!A1" display="Disclaimer!A1" xr:uid="{245F2E6B-86F5-4A91-898A-7E97594772DE}"/>
    <hyperlink ref="D8" location="Sources!A1" display="Sources!A1" xr:uid="{0D1F9CA8-C2C9-4409-85BD-820886C8097C}"/>
    <hyperlink ref="D9" location="'Version control'!A1" display="'Version control'!A1" xr:uid="{8E597368-7DFB-4068-89CD-0C5E60DF3D7D}"/>
    <hyperlink ref="D10" location="Inputs!A1" display="Inputs!A1" xr:uid="{65A40193-AFB2-48C7-A2E8-F98766B27027}"/>
    <hyperlink ref="D12" location="'CPI'!A1" display="'CPI'!A1" xr:uid="{52AA622E-DF1C-4698-9AEA-04373BD778DE}"/>
    <hyperlink ref="D13" location="Calc_Rates!A1" display="Calc_Rates!A1" xr:uid="{78324E8D-BBC1-4BF8-AE15-ED5E91E25B75}"/>
    <hyperlink ref="D14" location="Calc_TU_values!A1" display="Calc_TU_values!A1" xr:uid="{70AA7FCE-B44B-47A5-8BAA-1DB3A0D3BD32}"/>
    <hyperlink ref="D15" location="Calc_TU_rates!A1" display="Calc_TU_rates!A1" xr:uid="{B5493698-BD9C-4EF2-A860-319A73582C3A}"/>
    <hyperlink ref="D16" location="OP_Rates!A1" display="OP_Rates!A1" xr:uid="{6CB33FB7-7725-48B1-96D1-607A17857045}"/>
    <hyperlink ref="D17" location="OP_CMAB!A1" display="OP_CMAB!A1" xr:uid="{8DBD8A90-F55C-49ED-BBDE-86B4139E279B}"/>
    <hyperlink ref="D18" location="CH_CostStack_RES!A1" display="CH_CostStack_RES!A1" xr:uid="{85CAB893-E2FC-4705-B77F-589DEB3033E2}"/>
    <hyperlink ref="D19" location="CH_CostStack_SME!A1" display="CH_CostStack_SME!A1" xr:uid="{64302ACB-5D7F-48FD-B0D2-AB0313B5334F}"/>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59B9C-54D8-4CA7-9EA5-3139E3BA5210}">
  <sheetPr codeName="Sheet14">
    <tabColor rgb="FF7F7F7F"/>
  </sheetPr>
  <dimension ref="A1:Z116"/>
  <sheetViews>
    <sheetView showGridLines="0" topLeftCell="B1" zoomScale="85" zoomScaleNormal="85" workbookViewId="0">
      <pane ySplit="3" topLeftCell="A4" activePane="bottomLeft" state="frozen"/>
      <selection pane="bottomLeft" activeCell="E114" sqref="E114"/>
    </sheetView>
  </sheetViews>
  <sheetFormatPr defaultColWidth="9.140625" defaultRowHeight="15" outlineLevelCol="1" x14ac:dyDescent="0.25"/>
  <cols>
    <col min="1" max="1" width="100.7109375" hidden="1" customWidth="1" outlineLevel="1"/>
    <col min="2" max="2" width="10.7109375" style="6" customWidth="1" collapsed="1"/>
    <col min="3" max="3" width="50.7109375" customWidth="1"/>
    <col min="4" max="26" width="25.7109375" customWidth="1"/>
  </cols>
  <sheetData>
    <row r="1" spans="1:26" ht="15" customHeight="1" x14ac:dyDescent="0.25">
      <c r="A1" s="1" t="s">
        <v>27</v>
      </c>
      <c r="B1" s="22"/>
      <c r="C1" s="23"/>
      <c r="D1" s="23"/>
      <c r="E1" s="23"/>
      <c r="F1" s="23"/>
      <c r="G1" s="23"/>
      <c r="H1" s="23"/>
      <c r="I1" s="23"/>
      <c r="J1" s="23"/>
      <c r="K1" s="23"/>
      <c r="L1" s="23"/>
      <c r="M1" s="23"/>
      <c r="N1" s="23"/>
      <c r="O1" s="23"/>
      <c r="P1" s="23"/>
      <c r="Q1" s="23"/>
      <c r="R1" s="23"/>
      <c r="S1" s="23"/>
      <c r="T1" s="23"/>
      <c r="U1" s="23"/>
      <c r="V1" s="23"/>
      <c r="W1" s="23"/>
      <c r="X1" s="23"/>
      <c r="Y1" s="23"/>
      <c r="Z1" s="23"/>
    </row>
    <row r="2" spans="1:26" s="4" customFormat="1" ht="50.1" customHeight="1" x14ac:dyDescent="0.25">
      <c r="A2" s="293" t="s">
        <v>28</v>
      </c>
      <c r="B2" s="26"/>
      <c r="C2" s="26" t="str">
        <f>Disclaimer!$B$1</f>
        <v>VDO calculation model</v>
      </c>
      <c r="D2" s="26"/>
      <c r="E2" s="26"/>
      <c r="F2" s="26"/>
      <c r="G2" s="26"/>
      <c r="H2" s="26"/>
      <c r="I2" s="26"/>
      <c r="J2" s="26"/>
      <c r="K2" s="26"/>
      <c r="L2" s="26"/>
      <c r="M2" s="26"/>
      <c r="N2" s="26"/>
      <c r="O2" s="26"/>
      <c r="P2" s="26"/>
      <c r="Q2" s="26"/>
      <c r="R2" s="26"/>
      <c r="S2" s="26"/>
      <c r="T2" s="26"/>
      <c r="U2" s="26"/>
      <c r="V2" s="26"/>
      <c r="W2" s="26"/>
      <c r="X2" s="26"/>
      <c r="Y2" s="26"/>
      <c r="Z2" s="26"/>
    </row>
    <row r="3" spans="1:26" s="4" customFormat="1" ht="30" customHeight="1" x14ac:dyDescent="0.25">
      <c r="A3" s="293"/>
      <c r="B3" s="28">
        <f ca="1">_xlfn.SHEET()</f>
        <v>3</v>
      </c>
      <c r="C3" s="27" t="s">
        <v>29</v>
      </c>
      <c r="D3" s="27"/>
      <c r="E3" s="27"/>
      <c r="F3" s="27"/>
      <c r="G3" s="27"/>
      <c r="H3" s="27"/>
      <c r="I3" s="27"/>
      <c r="J3" s="27"/>
      <c r="K3" s="27"/>
      <c r="L3" s="27"/>
      <c r="M3" s="27"/>
      <c r="N3" s="27"/>
      <c r="O3" s="27"/>
      <c r="P3" s="27"/>
      <c r="Q3" s="27"/>
      <c r="R3" s="27"/>
      <c r="S3" s="27"/>
      <c r="T3" s="27"/>
      <c r="U3" s="27"/>
      <c r="V3" s="27"/>
      <c r="W3" s="27"/>
      <c r="X3" s="27"/>
      <c r="Y3" s="27"/>
      <c r="Z3" s="27"/>
    </row>
    <row r="4" spans="1:26" x14ac:dyDescent="0.25">
      <c r="B4"/>
    </row>
    <row r="5" spans="1:26" ht="16.5" thickBot="1" x14ac:dyDescent="0.3">
      <c r="A5" s="1" t="s">
        <v>30</v>
      </c>
      <c r="B5" s="9">
        <f ca="1">MAX(B$3:B4)+0.1</f>
        <v>3.1</v>
      </c>
      <c r="C5" s="29" t="s">
        <v>31</v>
      </c>
      <c r="D5" s="29"/>
      <c r="E5" s="29"/>
      <c r="F5" s="29"/>
      <c r="G5" s="29"/>
      <c r="H5" s="29"/>
      <c r="I5" s="29"/>
      <c r="J5" s="29"/>
      <c r="K5" s="29"/>
      <c r="L5" s="29"/>
      <c r="M5" s="29"/>
      <c r="N5" s="29"/>
      <c r="O5" s="29"/>
      <c r="P5" s="29"/>
      <c r="Q5" s="29"/>
      <c r="R5" s="29"/>
      <c r="S5" s="29"/>
      <c r="T5" s="29"/>
      <c r="U5" s="29"/>
      <c r="V5" s="29"/>
      <c r="W5" s="29"/>
      <c r="X5" s="29"/>
      <c r="Y5" s="29"/>
      <c r="Z5" s="29"/>
    </row>
    <row r="6" spans="1:26" x14ac:dyDescent="0.25">
      <c r="B6"/>
    </row>
    <row r="7" spans="1:26" x14ac:dyDescent="0.25">
      <c r="B7"/>
    </row>
    <row r="8" spans="1:26" x14ac:dyDescent="0.25">
      <c r="B8"/>
    </row>
    <row r="9" spans="1:26" x14ac:dyDescent="0.25">
      <c r="B9"/>
    </row>
    <row r="10" spans="1:26" x14ac:dyDescent="0.25">
      <c r="B10"/>
    </row>
    <row r="11" spans="1:26" x14ac:dyDescent="0.25">
      <c r="B11"/>
    </row>
    <row r="12" spans="1:26" x14ac:dyDescent="0.25">
      <c r="B12"/>
    </row>
    <row r="13" spans="1:26" x14ac:dyDescent="0.25">
      <c r="B13"/>
    </row>
    <row r="14" spans="1:26" x14ac:dyDescent="0.25">
      <c r="B14"/>
    </row>
    <row r="15" spans="1:26" x14ac:dyDescent="0.25">
      <c r="B15"/>
    </row>
    <row r="16" spans="1:26" x14ac:dyDescent="0.25">
      <c r="B16"/>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spans="1:26" x14ac:dyDescent="0.25">
      <c r="B33"/>
    </row>
    <row r="34" spans="1:26" x14ac:dyDescent="0.25">
      <c r="B34"/>
    </row>
    <row r="35" spans="1:26" x14ac:dyDescent="0.25">
      <c r="B35"/>
    </row>
    <row r="36" spans="1:26" x14ac:dyDescent="0.25">
      <c r="B36"/>
    </row>
    <row r="37" spans="1:26" x14ac:dyDescent="0.25">
      <c r="B37"/>
    </row>
    <row r="38" spans="1:26" x14ac:dyDescent="0.25">
      <c r="B38"/>
    </row>
    <row r="39" spans="1:26" ht="16.5" thickBot="1" x14ac:dyDescent="0.3">
      <c r="A39" s="1" t="s">
        <v>30</v>
      </c>
      <c r="B39" s="9">
        <f ca="1">MAX(B$3:B38)+0.1</f>
        <v>3.2</v>
      </c>
      <c r="C39" s="29" t="s">
        <v>32</v>
      </c>
      <c r="D39" s="29"/>
      <c r="E39" s="29"/>
      <c r="F39" s="29"/>
      <c r="G39" s="29"/>
      <c r="H39" s="29"/>
      <c r="I39" s="29"/>
      <c r="J39" s="29"/>
      <c r="K39" s="29"/>
      <c r="L39" s="29"/>
      <c r="M39" s="29"/>
      <c r="N39" s="29"/>
      <c r="O39" s="29"/>
      <c r="P39" s="29"/>
      <c r="Q39" s="29"/>
      <c r="R39" s="29"/>
      <c r="S39" s="29"/>
      <c r="T39" s="29"/>
      <c r="U39" s="29"/>
      <c r="V39" s="29"/>
      <c r="W39" s="29"/>
      <c r="X39" s="29"/>
      <c r="Y39" s="29"/>
      <c r="Z39" s="29"/>
    </row>
    <row r="40" spans="1:26" x14ac:dyDescent="0.25">
      <c r="B40"/>
    </row>
    <row r="41" spans="1:26" x14ac:dyDescent="0.25">
      <c r="B41"/>
    </row>
    <row r="42" spans="1:26" x14ac:dyDescent="0.25">
      <c r="B42"/>
    </row>
    <row r="43" spans="1:26" x14ac:dyDescent="0.25">
      <c r="B43"/>
    </row>
    <row r="44" spans="1:26" x14ac:dyDescent="0.25">
      <c r="B44"/>
    </row>
    <row r="45" spans="1:26" x14ac:dyDescent="0.25">
      <c r="B45"/>
    </row>
    <row r="46" spans="1:26" ht="15.75" x14ac:dyDescent="0.25">
      <c r="B46"/>
      <c r="C46" s="30" t="s">
        <v>691</v>
      </c>
    </row>
    <row r="47" spans="1:26" x14ac:dyDescent="0.25">
      <c r="B47"/>
    </row>
    <row r="48" spans="1:26" x14ac:dyDescent="0.25">
      <c r="B48"/>
    </row>
    <row r="49" spans="2:2" x14ac:dyDescent="0.25">
      <c r="B49"/>
    </row>
    <row r="50" spans="2:2" x14ac:dyDescent="0.25">
      <c r="B50"/>
    </row>
    <row r="51" spans="2:2" x14ac:dyDescent="0.25">
      <c r="B51"/>
    </row>
    <row r="52" spans="2:2" x14ac:dyDescent="0.25">
      <c r="B52"/>
    </row>
    <row r="53" spans="2:2" x14ac:dyDescent="0.25">
      <c r="B53"/>
    </row>
    <row r="54" spans="2:2" x14ac:dyDescent="0.25">
      <c r="B54"/>
    </row>
    <row r="55" spans="2:2" x14ac:dyDescent="0.25">
      <c r="B55"/>
    </row>
    <row r="56" spans="2:2" x14ac:dyDescent="0.25">
      <c r="B56"/>
    </row>
    <row r="57" spans="2:2" x14ac:dyDescent="0.25">
      <c r="B57"/>
    </row>
    <row r="58" spans="2:2" x14ac:dyDescent="0.25">
      <c r="B58"/>
    </row>
    <row r="59" spans="2:2" x14ac:dyDescent="0.25">
      <c r="B59"/>
    </row>
    <row r="60" spans="2:2" x14ac:dyDescent="0.25">
      <c r="B60"/>
    </row>
    <row r="61" spans="2:2" x14ac:dyDescent="0.25">
      <c r="B61"/>
    </row>
    <row r="62" spans="2:2" x14ac:dyDescent="0.25">
      <c r="B62"/>
    </row>
    <row r="63" spans="2:2" x14ac:dyDescent="0.25">
      <c r="B63"/>
    </row>
    <row r="64" spans="2:2" x14ac:dyDescent="0.25">
      <c r="B64"/>
    </row>
    <row r="65" spans="2:3" ht="15.75" x14ac:dyDescent="0.25">
      <c r="B65"/>
      <c r="C65" s="30" t="s">
        <v>693</v>
      </c>
    </row>
    <row r="66" spans="2:3" x14ac:dyDescent="0.25">
      <c r="B66"/>
    </row>
    <row r="67" spans="2:3" x14ac:dyDescent="0.25">
      <c r="B67"/>
    </row>
    <row r="68" spans="2:3" x14ac:dyDescent="0.25">
      <c r="B68"/>
    </row>
    <row r="69" spans="2:3" x14ac:dyDescent="0.25">
      <c r="B69"/>
    </row>
    <row r="70" spans="2:3" x14ac:dyDescent="0.25">
      <c r="B70"/>
    </row>
    <row r="71" spans="2:3" x14ac:dyDescent="0.25">
      <c r="B71"/>
    </row>
    <row r="72" spans="2:3" x14ac:dyDescent="0.25">
      <c r="B72"/>
    </row>
    <row r="73" spans="2:3" x14ac:dyDescent="0.25">
      <c r="B73"/>
    </row>
    <row r="74" spans="2:3" x14ac:dyDescent="0.25">
      <c r="B74"/>
    </row>
    <row r="75" spans="2:3" x14ac:dyDescent="0.25">
      <c r="B75"/>
    </row>
    <row r="76" spans="2:3" x14ac:dyDescent="0.25">
      <c r="B76"/>
    </row>
    <row r="77" spans="2:3" x14ac:dyDescent="0.25">
      <c r="B77"/>
    </row>
    <row r="78" spans="2:3" x14ac:dyDescent="0.25">
      <c r="B78"/>
    </row>
    <row r="79" spans="2:3" x14ac:dyDescent="0.25">
      <c r="B79"/>
    </row>
    <row r="80" spans="2:3"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1:26" x14ac:dyDescent="0.25">
      <c r="B97"/>
    </row>
    <row r="98" spans="1:26" x14ac:dyDescent="0.25">
      <c r="B98"/>
    </row>
    <row r="99" spans="1:26" x14ac:dyDescent="0.25">
      <c r="B99"/>
    </row>
    <row r="100" spans="1:26" ht="15.75" x14ac:dyDescent="0.25">
      <c r="B100"/>
      <c r="C100" s="30" t="s">
        <v>692</v>
      </c>
    </row>
    <row r="101" spans="1:26" ht="15.75" x14ac:dyDescent="0.25">
      <c r="B101"/>
      <c r="C101" s="30"/>
    </row>
    <row r="102" spans="1:26" x14ac:dyDescent="0.25">
      <c r="B102"/>
    </row>
    <row r="103" spans="1:26" x14ac:dyDescent="0.25">
      <c r="B103"/>
    </row>
    <row r="104" spans="1:26" x14ac:dyDescent="0.25">
      <c r="B104"/>
    </row>
    <row r="105" spans="1:26" x14ac:dyDescent="0.25">
      <c r="B105"/>
    </row>
    <row r="106" spans="1:26" x14ac:dyDescent="0.25">
      <c r="B106"/>
    </row>
    <row r="107" spans="1:26" x14ac:dyDescent="0.25">
      <c r="B107"/>
    </row>
    <row r="108" spans="1:26" x14ac:dyDescent="0.25">
      <c r="B108"/>
    </row>
    <row r="109" spans="1:26" x14ac:dyDescent="0.25">
      <c r="B109"/>
    </row>
    <row r="110" spans="1:26" ht="16.5" thickBot="1" x14ac:dyDescent="0.3">
      <c r="A110" s="1" t="s">
        <v>30</v>
      </c>
      <c r="B110" s="9">
        <f ca="1">MAX(B$3:B90)+0.1</f>
        <v>3.3000000000000003</v>
      </c>
      <c r="C110" s="29" t="s">
        <v>33</v>
      </c>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2" spans="1:26" ht="24.95" customHeight="1" x14ac:dyDescent="0.25">
      <c r="C112" s="90" t="s">
        <v>14</v>
      </c>
    </row>
    <row r="113" spans="3:3" ht="24.95" customHeight="1" x14ac:dyDescent="0.25">
      <c r="C113" s="89" t="s">
        <v>34</v>
      </c>
    </row>
    <row r="114" spans="3:3" ht="24.95" customHeight="1" x14ac:dyDescent="0.25">
      <c r="C114" s="91" t="s">
        <v>35</v>
      </c>
    </row>
    <row r="115" spans="3:3" ht="24.95" customHeight="1" x14ac:dyDescent="0.25">
      <c r="C115" s="92" t="s">
        <v>36</v>
      </c>
    </row>
    <row r="116" spans="3:3" ht="24.95" customHeight="1" x14ac:dyDescent="0.25">
      <c r="C116" s="93" t="s">
        <v>37</v>
      </c>
    </row>
  </sheetData>
  <sheetProtection algorithmName="SHA-512" hashValue="45jaVLbqMU8wFWHAStNaNVSrs4G7WDarMmRg0BwFOYGDLUMCDDPcMP/YM0IV98Z0P+ncy66fIeVN9n56H0mhog==" saltValue="ysptDYTLxrx42ggxW/ofLg==" spinCount="100000" sheet="1" objects="1" scenarios="1"/>
  <mergeCells count="1">
    <mergeCell ref="A2:A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43252-3C56-4970-8C36-B87F0D4746DB}">
  <sheetPr codeName="Sheet15">
    <tabColor rgb="FF7F7F7F"/>
  </sheetPr>
  <dimension ref="A1:Z23"/>
  <sheetViews>
    <sheetView showGridLines="0" zoomScale="85" zoomScaleNormal="85" workbookViewId="0">
      <pane ySplit="3" topLeftCell="A4" activePane="bottomLeft" state="frozen"/>
      <selection pane="bottomLeft" activeCell="C45" sqref="C45"/>
    </sheetView>
  </sheetViews>
  <sheetFormatPr defaultColWidth="9.140625" defaultRowHeight="15" outlineLevelCol="1" x14ac:dyDescent="0.25"/>
  <cols>
    <col min="1" max="1" width="100.7109375" hidden="1" customWidth="1" outlineLevel="1"/>
    <col min="2" max="2" width="10.7109375" style="6" customWidth="1" collapsed="1"/>
    <col min="3" max="3" width="50.7109375" customWidth="1"/>
    <col min="4" max="4" width="75.7109375" customWidth="1"/>
    <col min="5" max="26" width="25.7109375" customWidth="1"/>
  </cols>
  <sheetData>
    <row r="1" spans="1:26" ht="15" customHeight="1" x14ac:dyDescent="0.25">
      <c r="A1" s="1" t="s">
        <v>27</v>
      </c>
      <c r="B1" s="22"/>
      <c r="C1" s="23"/>
      <c r="D1" s="23"/>
      <c r="E1" s="23"/>
      <c r="F1" s="23"/>
      <c r="G1" s="23"/>
      <c r="H1" s="23"/>
      <c r="I1" s="23"/>
      <c r="J1" s="23"/>
      <c r="K1" s="23"/>
      <c r="L1" s="23"/>
      <c r="M1" s="23"/>
      <c r="N1" s="23"/>
      <c r="O1" s="23"/>
      <c r="P1" s="23"/>
      <c r="Q1" s="23"/>
      <c r="R1" s="23"/>
      <c r="S1" s="23"/>
      <c r="T1" s="23"/>
      <c r="U1" s="23"/>
      <c r="V1" s="23"/>
      <c r="W1" s="23"/>
      <c r="X1" s="23"/>
      <c r="Y1" s="23"/>
      <c r="Z1" s="23"/>
    </row>
    <row r="2" spans="1:26" s="4" customFormat="1" ht="50.1" customHeight="1" x14ac:dyDescent="0.25">
      <c r="A2" s="293" t="s">
        <v>28</v>
      </c>
      <c r="B2" s="26"/>
      <c r="C2" s="26" t="str">
        <f>Disclaimer!$B$1</f>
        <v>VDO calculation model</v>
      </c>
      <c r="D2" s="26"/>
      <c r="E2" s="26"/>
      <c r="F2" s="26"/>
      <c r="G2" s="26"/>
      <c r="H2" s="26"/>
      <c r="I2" s="26"/>
      <c r="J2" s="26"/>
      <c r="K2" s="26"/>
      <c r="L2" s="26"/>
      <c r="M2" s="26"/>
      <c r="N2" s="26"/>
      <c r="O2" s="26"/>
      <c r="P2" s="26"/>
      <c r="Q2" s="26"/>
      <c r="R2" s="26"/>
      <c r="S2" s="26"/>
      <c r="T2" s="26"/>
      <c r="U2" s="26"/>
      <c r="V2" s="26"/>
      <c r="W2" s="26"/>
      <c r="X2" s="26"/>
      <c r="Y2" s="26"/>
      <c r="Z2" s="26"/>
    </row>
    <row r="3" spans="1:26" s="4" customFormat="1" ht="30" customHeight="1" x14ac:dyDescent="0.25">
      <c r="A3" s="294"/>
      <c r="B3" s="28">
        <f ca="1">_xlfn.SHEET()</f>
        <v>4</v>
      </c>
      <c r="C3" s="27" t="s">
        <v>14</v>
      </c>
      <c r="D3" s="27"/>
      <c r="E3" s="27"/>
      <c r="F3" s="27"/>
      <c r="G3" s="27"/>
      <c r="H3" s="27"/>
      <c r="I3" s="27"/>
      <c r="J3" s="27"/>
      <c r="K3" s="27"/>
      <c r="L3" s="27"/>
      <c r="M3" s="27"/>
      <c r="N3" s="27"/>
      <c r="O3" s="27"/>
      <c r="P3" s="27"/>
      <c r="Q3" s="27"/>
      <c r="R3" s="27"/>
      <c r="S3" s="27"/>
      <c r="T3" s="27"/>
      <c r="U3" s="27"/>
      <c r="V3" s="27"/>
      <c r="W3" s="27"/>
      <c r="X3" s="27"/>
      <c r="Y3" s="27"/>
      <c r="Z3" s="27"/>
    </row>
    <row r="4" spans="1:26" x14ac:dyDescent="0.25">
      <c r="B4"/>
    </row>
    <row r="5" spans="1:26" ht="16.5" thickBot="1" x14ac:dyDescent="0.3">
      <c r="A5" s="1" t="s">
        <v>30</v>
      </c>
      <c r="B5" s="9">
        <f ca="1">MAX(B$3:B4)+0.1</f>
        <v>4.0999999999999996</v>
      </c>
      <c r="C5" s="29" t="s">
        <v>38</v>
      </c>
      <c r="D5" s="29"/>
    </row>
    <row r="7" spans="1:26" x14ac:dyDescent="0.25">
      <c r="C7" t="s">
        <v>39</v>
      </c>
      <c r="D7" s="134" t="s">
        <v>1</v>
      </c>
    </row>
    <row r="8" spans="1:26" x14ac:dyDescent="0.25">
      <c r="C8" t="s">
        <v>40</v>
      </c>
      <c r="D8" s="134" t="s">
        <v>432</v>
      </c>
    </row>
    <row r="9" spans="1:26" x14ac:dyDescent="0.25">
      <c r="C9" t="s">
        <v>41</v>
      </c>
      <c r="D9" s="134" t="s">
        <v>433</v>
      </c>
    </row>
    <row r="10" spans="1:26" x14ac:dyDescent="0.25">
      <c r="C10" t="s">
        <v>42</v>
      </c>
      <c r="D10" s="134" t="s">
        <v>762</v>
      </c>
    </row>
    <row r="12" spans="1:26" ht="16.5" thickBot="1" x14ac:dyDescent="0.3">
      <c r="B12" s="9">
        <f ca="1">MAX(B$3:B11)+0.1</f>
        <v>4.1999999999999993</v>
      </c>
      <c r="C12" s="29" t="s">
        <v>43</v>
      </c>
      <c r="D12" s="29"/>
    </row>
    <row r="14" spans="1:26" x14ac:dyDescent="0.25">
      <c r="C14" t="s">
        <v>44</v>
      </c>
      <c r="D14" s="134" t="s">
        <v>430</v>
      </c>
    </row>
    <row r="15" spans="1:26" x14ac:dyDescent="0.25">
      <c r="C15" t="s">
        <v>45</v>
      </c>
      <c r="D15" s="134" t="s">
        <v>1</v>
      </c>
    </row>
    <row r="16" spans="1:26" x14ac:dyDescent="0.25">
      <c r="C16" t="s">
        <v>46</v>
      </c>
      <c r="D16" s="134" t="s">
        <v>763</v>
      </c>
    </row>
    <row r="17" spans="2:4" x14ac:dyDescent="0.25">
      <c r="C17" t="s">
        <v>47</v>
      </c>
      <c r="D17" s="134" t="s">
        <v>764</v>
      </c>
    </row>
    <row r="19" spans="2:4" ht="16.5" thickBot="1" x14ac:dyDescent="0.3">
      <c r="B19" s="9">
        <f ca="1">MAX(B$3:B18)+0.1</f>
        <v>4.2999999999999989</v>
      </c>
      <c r="C19" s="34" t="s">
        <v>48</v>
      </c>
      <c r="D19" s="29"/>
    </row>
    <row r="21" spans="2:4" x14ac:dyDescent="0.25">
      <c r="C21" t="s">
        <v>49</v>
      </c>
      <c r="D21" s="134"/>
    </row>
    <row r="22" spans="2:4" x14ac:dyDescent="0.25">
      <c r="C22" t="s">
        <v>50</v>
      </c>
      <c r="D22" s="134"/>
    </row>
    <row r="23" spans="2:4" x14ac:dyDescent="0.25">
      <c r="C23" t="s">
        <v>51</v>
      </c>
      <c r="D23" s="134"/>
    </row>
  </sheetData>
  <mergeCells count="1">
    <mergeCell ref="A2:A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1A0B7-B7E4-4754-9438-E2B36E788DA3}">
  <sheetPr codeName="Sheet13">
    <tabColor rgb="FF7F7F7F"/>
  </sheetPr>
  <dimension ref="A1:T178"/>
  <sheetViews>
    <sheetView showGridLines="0" zoomScale="70" zoomScaleNormal="70" workbookViewId="0">
      <pane ySplit="3" topLeftCell="A4" activePane="bottomLeft" state="frozen"/>
      <selection pane="bottomLeft" activeCell="G32" sqref="G32"/>
    </sheetView>
  </sheetViews>
  <sheetFormatPr defaultColWidth="9.140625" defaultRowHeight="15" outlineLevelCol="1" x14ac:dyDescent="0.25"/>
  <cols>
    <col min="1" max="1" width="100.7109375" hidden="1" customWidth="1" outlineLevel="1"/>
    <col min="2" max="2" width="10.7109375" style="6" customWidth="1" collapsed="1"/>
    <col min="3" max="3" width="45.7109375" customWidth="1"/>
    <col min="4" max="4" width="63.140625" bestFit="1" customWidth="1"/>
    <col min="5" max="9" width="45.7109375" customWidth="1"/>
    <col min="10" max="20" width="25.7109375" customWidth="1"/>
  </cols>
  <sheetData>
    <row r="1" spans="1:20" ht="15" customHeight="1" x14ac:dyDescent="0.25">
      <c r="A1" s="1" t="s">
        <v>27</v>
      </c>
      <c r="B1" s="22"/>
      <c r="C1" s="23"/>
      <c r="D1" s="23"/>
      <c r="E1" s="23"/>
      <c r="F1" s="23"/>
      <c r="G1" s="23"/>
      <c r="H1" s="23"/>
      <c r="I1" s="23"/>
      <c r="J1" s="23"/>
      <c r="K1" s="23"/>
      <c r="L1" s="23"/>
      <c r="M1" s="23"/>
      <c r="N1" s="23"/>
      <c r="O1" s="23"/>
      <c r="P1" s="23"/>
      <c r="Q1" s="23"/>
      <c r="R1" s="23"/>
      <c r="S1" s="23"/>
      <c r="T1" s="23"/>
    </row>
    <row r="2" spans="1:20" s="4" customFormat="1" ht="50.1" customHeight="1" x14ac:dyDescent="0.25">
      <c r="A2" s="293" t="s">
        <v>28</v>
      </c>
      <c r="B2" s="26"/>
      <c r="C2" s="26" t="str">
        <f>Disclaimer!$B$1</f>
        <v>VDO calculation model</v>
      </c>
      <c r="D2" s="26"/>
      <c r="E2" s="26"/>
      <c r="F2" s="26"/>
      <c r="G2" s="26"/>
      <c r="H2" s="26"/>
      <c r="I2" s="26"/>
      <c r="J2" s="26"/>
      <c r="K2" s="26"/>
      <c r="L2" s="26"/>
      <c r="M2" s="26"/>
      <c r="N2" s="26"/>
      <c r="O2" s="26"/>
      <c r="P2" s="26"/>
      <c r="Q2" s="26"/>
      <c r="R2" s="26"/>
      <c r="S2" s="26"/>
      <c r="T2" s="26"/>
    </row>
    <row r="3" spans="1:20" s="4" customFormat="1" ht="30" customHeight="1" x14ac:dyDescent="0.25">
      <c r="A3" s="294"/>
      <c r="B3" s="28">
        <f ca="1">_xlfn.SHEET()</f>
        <v>5</v>
      </c>
      <c r="C3" s="27" t="s">
        <v>16</v>
      </c>
      <c r="D3" s="27"/>
      <c r="E3" s="27"/>
      <c r="F3" s="27"/>
      <c r="G3" s="27"/>
      <c r="H3" s="27"/>
      <c r="I3" s="27"/>
      <c r="J3" s="27"/>
      <c r="K3" s="27"/>
      <c r="L3" s="27"/>
      <c r="M3" s="27"/>
      <c r="N3" s="27"/>
      <c r="O3" s="27"/>
      <c r="P3" s="27"/>
      <c r="Q3" s="27"/>
      <c r="R3" s="27"/>
      <c r="S3" s="27"/>
      <c r="T3" s="27"/>
    </row>
    <row r="4" spans="1:20" x14ac:dyDescent="0.25">
      <c r="B4"/>
    </row>
    <row r="5" spans="1:20" ht="16.5" thickBot="1" x14ac:dyDescent="0.3">
      <c r="A5" s="1" t="s">
        <v>30</v>
      </c>
      <c r="B5" s="9">
        <f ca="1">MAX(B$3:B4)+0.1</f>
        <v>5.0999999999999996</v>
      </c>
      <c r="C5" s="29" t="s">
        <v>388</v>
      </c>
      <c r="D5" s="29"/>
      <c r="E5" s="29"/>
      <c r="F5" s="29"/>
      <c r="G5" s="29"/>
      <c r="H5" s="29"/>
      <c r="I5" s="29"/>
      <c r="J5" s="29"/>
      <c r="K5" s="29"/>
      <c r="L5" s="29"/>
      <c r="M5" s="29"/>
      <c r="N5" s="29"/>
      <c r="O5" s="29"/>
      <c r="P5" s="29"/>
      <c r="Q5" s="29"/>
      <c r="R5" s="29"/>
      <c r="S5" s="29"/>
      <c r="T5" s="29"/>
    </row>
    <row r="7" spans="1:20" ht="15.75" x14ac:dyDescent="0.25">
      <c r="D7" s="41" t="s">
        <v>108</v>
      </c>
      <c r="E7" s="113">
        <f>Inputs!I7</f>
        <v>2021</v>
      </c>
      <c r="F7" s="113">
        <f>Inputs!M7</f>
        <v>2021</v>
      </c>
      <c r="G7" s="113">
        <v>2021</v>
      </c>
      <c r="H7" s="113">
        <f>Inputs!O7</f>
        <v>2022</v>
      </c>
      <c r="I7" s="113">
        <f>Inputs!Q7</f>
        <v>2022</v>
      </c>
    </row>
    <row r="8" spans="1:20" ht="15.75" x14ac:dyDescent="0.25">
      <c r="D8" s="41" t="s">
        <v>109</v>
      </c>
      <c r="E8" s="42" t="str">
        <f>"VDO "&amp;E7&amp;" - "&amp;IF(LEFT(E10,1)="F","Final",IF(LEFT(E10,1)="D","Draft",IF(LEFT(E10,2)="VD","Variation draft",IF(LEFT(E10,2)="VF","Variation final"))))</f>
        <v>VDO 2021 - Final</v>
      </c>
      <c r="F8" s="42" t="str">
        <f>"VDO "&amp;F7&amp;" - "&amp;IF(LEFT(F10,1)="F","Final",IF(LEFT(F10,1)="D","Draft",IF(LEFT(F10,2)="VD","Variation draft",IF(LEFT(F10,2)="VF","Variation final"))))</f>
        <v>VDO 2021 - Variation draft</v>
      </c>
      <c r="G8" s="42" t="str">
        <f>"VDO "&amp;G7&amp;" - "&amp;IF(LEFT(G10,1)="F","Final",IF(LEFT(G10,1)="D","Draft",IF(LEFT(G10,2)="VD","Variation draft",IF(LEFT(G10,2)="VF","Variation final"))))</f>
        <v>VDO 2021 - Variation final</v>
      </c>
      <c r="H8" s="42" t="str">
        <f>"VDO "&amp;H7&amp;" - "&amp;IF(LEFT(H10,1)="F","Final",IF(LEFT(H10,1)="D","Draft",IF(LEFT(H10,2)="VD","Variation draft",IF(LEFT(H10,2)="VF","Variation final"))))</f>
        <v>VDO 2022 - Draft</v>
      </c>
      <c r="I8" s="42" t="str">
        <f>"VDO "&amp;I7&amp;" - "&amp;IF(LEFT(I10,1)="F","Final",IF(LEFT(I10,1)="D","Draft",IF(LEFT(I10,2)="VD","Variation draft",IF(LEFT(I10,2)="VF","Variation final"))))</f>
        <v>VDO 2022 - Final</v>
      </c>
    </row>
    <row r="10" spans="1:20" ht="15.75" x14ac:dyDescent="0.25">
      <c r="C10" s="43" t="s">
        <v>53</v>
      </c>
      <c r="D10" s="43" t="s">
        <v>54</v>
      </c>
      <c r="E10" s="43" t="s">
        <v>55</v>
      </c>
      <c r="F10" s="43" t="s">
        <v>395</v>
      </c>
      <c r="G10" s="43" t="s">
        <v>397</v>
      </c>
      <c r="H10" s="43" t="s">
        <v>56</v>
      </c>
      <c r="I10" s="43" t="s">
        <v>57</v>
      </c>
    </row>
    <row r="11" spans="1:20" x14ac:dyDescent="0.25">
      <c r="C11" s="83" t="str" cm="1">
        <f t="array" ref="C11:C127">INDEX(Input_ForRateCalc[[Cost element]:[Customer type]],0,MATCH(Sources!C$10,Input_ForRateCalc[[#Headers],[Cost element]:[Customer type]],0))</f>
        <v>Retail</v>
      </c>
      <c r="D11" s="83" t="str" cm="1">
        <f t="array" ref="D11:D127">INDEX(Input_ForRateCalc[[Cost element]:[Customer type]],0,MATCH(Sources!D$10,Input_ForRateCalc[[#Headers],[Cost element]:[Customer type]],0))</f>
        <v>Retail operating cost - base</v>
      </c>
      <c r="E11" s="24" t="s">
        <v>389</v>
      </c>
      <c r="F11" s="24" t="s">
        <v>389</v>
      </c>
      <c r="G11" s="24" t="s">
        <v>389</v>
      </c>
      <c r="H11" s="128" t="s">
        <v>597</v>
      </c>
      <c r="I11" s="37" t="s">
        <v>748</v>
      </c>
    </row>
    <row r="12" spans="1:20" x14ac:dyDescent="0.25">
      <c r="C12" s="83" t="str">
        <v>Retail</v>
      </c>
      <c r="D12" s="83" t="str">
        <v>Retail operating cost - regulatory cost allowance</v>
      </c>
      <c r="E12" s="128"/>
      <c r="F12" s="128"/>
      <c r="G12" s="128"/>
      <c r="H12" s="128" t="s">
        <v>597</v>
      </c>
      <c r="I12" s="37" t="s">
        <v>748</v>
      </c>
    </row>
    <row r="13" spans="1:20" x14ac:dyDescent="0.25">
      <c r="C13" s="83" t="str">
        <v>Retail</v>
      </c>
      <c r="D13" s="83" t="str">
        <v>Retail operating cost - 5 min settlement allowance</v>
      </c>
      <c r="E13" s="24" t="s">
        <v>391</v>
      </c>
      <c r="F13" s="24" t="s">
        <v>391</v>
      </c>
      <c r="G13" s="24" t="s">
        <v>391</v>
      </c>
      <c r="H13" s="128" t="s">
        <v>597</v>
      </c>
      <c r="I13" s="37" t="s">
        <v>748</v>
      </c>
    </row>
    <row r="14" spans="1:20" x14ac:dyDescent="0.25">
      <c r="C14" s="83" t="str">
        <v>Retail</v>
      </c>
      <c r="D14" s="83" t="str">
        <v>Retail operating cost - bad debt allowance</v>
      </c>
      <c r="E14" s="24" t="s">
        <v>390</v>
      </c>
      <c r="F14" s="24" t="s">
        <v>390</v>
      </c>
      <c r="G14" s="24" t="s">
        <v>390</v>
      </c>
      <c r="H14" s="128" t="s">
        <v>648</v>
      </c>
      <c r="I14" s="37" t="s">
        <v>748</v>
      </c>
    </row>
    <row r="15" spans="1:20" x14ac:dyDescent="0.25">
      <c r="C15" s="83" t="str">
        <v>Retail</v>
      </c>
      <c r="D15" s="83" t="str">
        <v>Customer acquisition and retention cost</v>
      </c>
      <c r="E15" s="24" t="s">
        <v>58</v>
      </c>
      <c r="F15" s="24" t="s">
        <v>58</v>
      </c>
      <c r="G15" s="24" t="s">
        <v>58</v>
      </c>
      <c r="H15" s="128" t="s">
        <v>629</v>
      </c>
      <c r="I15" s="282" t="s">
        <v>744</v>
      </c>
    </row>
    <row r="16" spans="1:20" x14ac:dyDescent="0.25">
      <c r="C16" s="83" t="str">
        <v>Solar</v>
      </c>
      <c r="D16" s="83" t="str">
        <v>Feed-in tariff (FiT)</v>
      </c>
      <c r="E16" s="24" t="s">
        <v>59</v>
      </c>
      <c r="F16" s="24" t="s">
        <v>59</v>
      </c>
      <c r="G16" s="24" t="s">
        <v>59</v>
      </c>
      <c r="H16" s="24" t="s">
        <v>630</v>
      </c>
      <c r="I16" s="24" t="s">
        <v>630</v>
      </c>
    </row>
    <row r="17" spans="3:9" x14ac:dyDescent="0.25">
      <c r="C17" s="83" t="str">
        <v>Other</v>
      </c>
      <c r="D17" s="83" t="str">
        <v>ESC licence fees</v>
      </c>
      <c r="E17" s="24" t="s">
        <v>60</v>
      </c>
      <c r="F17" s="24" t="s">
        <v>60</v>
      </c>
      <c r="G17" s="24" t="s">
        <v>60</v>
      </c>
      <c r="H17" s="24" t="s">
        <v>60</v>
      </c>
      <c r="I17" s="24" t="s">
        <v>700</v>
      </c>
    </row>
    <row r="18" spans="3:9" x14ac:dyDescent="0.25">
      <c r="C18" s="83" t="str">
        <v>Other</v>
      </c>
      <c r="D18" s="83" t="str">
        <v>Reliability and emergency reserve trader (RERT)</v>
      </c>
      <c r="E18" s="24" t="s">
        <v>61</v>
      </c>
      <c r="F18" s="24" t="s">
        <v>61</v>
      </c>
      <c r="G18" s="24" t="s">
        <v>61</v>
      </c>
      <c r="H18" s="24" t="s">
        <v>631</v>
      </c>
      <c r="I18" s="24" t="s">
        <v>631</v>
      </c>
    </row>
    <row r="19" spans="3:9" x14ac:dyDescent="0.25">
      <c r="C19" s="83" t="str">
        <v>Other</v>
      </c>
      <c r="D19" s="83" t="str">
        <v>Energy Consumers Australia</v>
      </c>
      <c r="E19" s="24" t="s">
        <v>62</v>
      </c>
      <c r="F19" s="24" t="s">
        <v>62</v>
      </c>
      <c r="G19" s="24" t="s">
        <v>62</v>
      </c>
      <c r="H19" s="24" t="s">
        <v>632</v>
      </c>
      <c r="I19" s="24" t="s">
        <v>632</v>
      </c>
    </row>
    <row r="20" spans="3:9" x14ac:dyDescent="0.25">
      <c r="C20" s="83" t="str">
        <v>Other</v>
      </c>
      <c r="D20" s="83" t="str">
        <v>Full retail competition (FRC) operations</v>
      </c>
      <c r="E20" s="24" t="s">
        <v>62</v>
      </c>
      <c r="F20" s="24" t="s">
        <v>62</v>
      </c>
      <c r="G20" s="24" t="s">
        <v>62</v>
      </c>
      <c r="H20" s="24" t="s">
        <v>632</v>
      </c>
      <c r="I20" s="24" t="s">
        <v>632</v>
      </c>
    </row>
    <row r="21" spans="3:9" x14ac:dyDescent="0.25">
      <c r="C21" s="83" t="str">
        <v>Network</v>
      </c>
      <c r="D21" s="83" t="str">
        <v>Metering - Ausnet</v>
      </c>
      <c r="E21" s="24" t="s">
        <v>63</v>
      </c>
      <c r="F21" s="24" t="s">
        <v>441</v>
      </c>
      <c r="G21" s="24" t="s">
        <v>441</v>
      </c>
      <c r="H21" s="24" t="s">
        <v>441</v>
      </c>
      <c r="I21" s="24" t="s">
        <v>441</v>
      </c>
    </row>
    <row r="22" spans="3:9" x14ac:dyDescent="0.25">
      <c r="C22" s="83" t="str">
        <v>Network</v>
      </c>
      <c r="D22" s="83" t="str">
        <v>Metering - Citipower</v>
      </c>
      <c r="E22" s="24" t="s">
        <v>64</v>
      </c>
      <c r="F22" s="24" t="s">
        <v>447</v>
      </c>
      <c r="G22" s="24" t="s">
        <v>447</v>
      </c>
      <c r="H22" s="24" t="s">
        <v>447</v>
      </c>
      <c r="I22" s="24" t="s">
        <v>447</v>
      </c>
    </row>
    <row r="23" spans="3:9" x14ac:dyDescent="0.25">
      <c r="C23" s="83" t="str">
        <v>Network</v>
      </c>
      <c r="D23" s="83" t="str">
        <v>Metering - Jemena</v>
      </c>
      <c r="E23" s="24" t="s">
        <v>65</v>
      </c>
      <c r="F23" s="24" t="s">
        <v>465</v>
      </c>
      <c r="G23" s="24" t="s">
        <v>465</v>
      </c>
      <c r="H23" s="24" t="s">
        <v>465</v>
      </c>
      <c r="I23" s="24" t="s">
        <v>465</v>
      </c>
    </row>
    <row r="24" spans="3:9" x14ac:dyDescent="0.25">
      <c r="C24" s="83" t="str">
        <v>Network</v>
      </c>
      <c r="D24" s="83" t="str">
        <v>Metering - Powercor</v>
      </c>
      <c r="E24" s="24" t="s">
        <v>66</v>
      </c>
      <c r="F24" s="24" t="s">
        <v>453</v>
      </c>
      <c r="G24" s="24" t="s">
        <v>453</v>
      </c>
      <c r="H24" s="24" t="s">
        <v>453</v>
      </c>
      <c r="I24" s="24" t="s">
        <v>453</v>
      </c>
    </row>
    <row r="25" spans="3:9" x14ac:dyDescent="0.25">
      <c r="C25" s="83" t="str">
        <v>Network</v>
      </c>
      <c r="D25" s="83" t="str">
        <v>Metering - United Energy</v>
      </c>
      <c r="E25" s="24" t="s">
        <v>67</v>
      </c>
      <c r="F25" s="24" t="s">
        <v>459</v>
      </c>
      <c r="G25" s="24" t="s">
        <v>459</v>
      </c>
      <c r="H25" s="24" t="s">
        <v>459</v>
      </c>
      <c r="I25" s="24" t="s">
        <v>459</v>
      </c>
    </row>
    <row r="26" spans="3:9" x14ac:dyDescent="0.25">
      <c r="C26" s="83" t="str">
        <v>Network</v>
      </c>
      <c r="D26" s="83" t="str">
        <v>Anytime - supply charge - RES - Ausnet</v>
      </c>
      <c r="E26" s="24" t="s">
        <v>68</v>
      </c>
      <c r="F26" s="24" t="s">
        <v>442</v>
      </c>
      <c r="G26" s="24" t="s">
        <v>442</v>
      </c>
      <c r="H26" s="24" t="s">
        <v>442</v>
      </c>
      <c r="I26" s="24" t="s">
        <v>442</v>
      </c>
    </row>
    <row r="27" spans="3:9" x14ac:dyDescent="0.25">
      <c r="C27" s="83" t="str">
        <v>Network</v>
      </c>
      <c r="D27" s="83" t="str">
        <v>Anytime - supply charge - RES - Citipower</v>
      </c>
      <c r="E27" s="24" t="s">
        <v>69</v>
      </c>
      <c r="F27" s="24" t="s">
        <v>448</v>
      </c>
      <c r="G27" s="24" t="s">
        <v>448</v>
      </c>
      <c r="H27" s="24" t="s">
        <v>448</v>
      </c>
      <c r="I27" s="24" t="s">
        <v>448</v>
      </c>
    </row>
    <row r="28" spans="3:9" x14ac:dyDescent="0.25">
      <c r="C28" s="83" t="str">
        <v>Network</v>
      </c>
      <c r="D28" s="83" t="str">
        <v>Anytime - supply charge - RES - Jemena</v>
      </c>
      <c r="E28" s="24" t="s">
        <v>70</v>
      </c>
      <c r="F28" s="24" t="s">
        <v>468</v>
      </c>
      <c r="G28" s="24" t="s">
        <v>468</v>
      </c>
      <c r="H28" s="24" t="s">
        <v>468</v>
      </c>
      <c r="I28" s="24" t="s">
        <v>468</v>
      </c>
    </row>
    <row r="29" spans="3:9" x14ac:dyDescent="0.25">
      <c r="C29" s="83" t="str">
        <v>Network</v>
      </c>
      <c r="D29" s="83" t="str">
        <v>Anytime - supply charge - RES - Powercor</v>
      </c>
      <c r="E29" s="24" t="s">
        <v>71</v>
      </c>
      <c r="F29" s="24" t="s">
        <v>454</v>
      </c>
      <c r="G29" s="24" t="s">
        <v>454</v>
      </c>
      <c r="H29" s="24" t="s">
        <v>454</v>
      </c>
      <c r="I29" s="24" t="s">
        <v>454</v>
      </c>
    </row>
    <row r="30" spans="3:9" x14ac:dyDescent="0.25">
      <c r="C30" s="83" t="str">
        <v>Network</v>
      </c>
      <c r="D30" s="83" t="str">
        <v>Anytime - supply charge - RES - United Energy</v>
      </c>
      <c r="E30" s="24" t="s">
        <v>72</v>
      </c>
      <c r="F30" s="24" t="s">
        <v>460</v>
      </c>
      <c r="G30" s="24" t="s">
        <v>460</v>
      </c>
      <c r="H30" s="24" t="s">
        <v>460</v>
      </c>
      <c r="I30" s="24" t="s">
        <v>460</v>
      </c>
    </row>
    <row r="31" spans="3:9" x14ac:dyDescent="0.25">
      <c r="C31" s="83" t="str">
        <v>Network</v>
      </c>
      <c r="D31" s="83" t="str">
        <v>Anytime - supply charge - SME - Ausnet</v>
      </c>
      <c r="E31" s="24" t="s">
        <v>73</v>
      </c>
      <c r="F31" s="24" t="s">
        <v>443</v>
      </c>
      <c r="G31" s="24" t="s">
        <v>443</v>
      </c>
      <c r="H31" s="24" t="s">
        <v>443</v>
      </c>
      <c r="I31" s="24" t="s">
        <v>443</v>
      </c>
    </row>
    <row r="32" spans="3:9" x14ac:dyDescent="0.25">
      <c r="C32" s="83" t="str">
        <v>Network</v>
      </c>
      <c r="D32" s="83" t="str">
        <v>Anytime - supply charge - SME - Citipower</v>
      </c>
      <c r="E32" s="24" t="s">
        <v>74</v>
      </c>
      <c r="F32" s="24" t="s">
        <v>449</v>
      </c>
      <c r="G32" s="24" t="s">
        <v>449</v>
      </c>
      <c r="H32" s="24" t="s">
        <v>449</v>
      </c>
      <c r="I32" s="24" t="s">
        <v>449</v>
      </c>
    </row>
    <row r="33" spans="3:9" x14ac:dyDescent="0.25">
      <c r="C33" s="83" t="str">
        <v>Network</v>
      </c>
      <c r="D33" s="83" t="str">
        <v>Anytime - supply charge - SME - Jemena</v>
      </c>
      <c r="E33" s="24" t="s">
        <v>75</v>
      </c>
      <c r="F33" s="24" t="s">
        <v>467</v>
      </c>
      <c r="G33" s="24" t="s">
        <v>467</v>
      </c>
      <c r="H33" s="24" t="s">
        <v>467</v>
      </c>
      <c r="I33" s="24" t="s">
        <v>467</v>
      </c>
    </row>
    <row r="34" spans="3:9" x14ac:dyDescent="0.25">
      <c r="C34" s="83" t="str">
        <v>Network</v>
      </c>
      <c r="D34" s="83" t="str">
        <v>Anytime - supply charge - SME - Powercor</v>
      </c>
      <c r="E34" s="24" t="s">
        <v>76</v>
      </c>
      <c r="F34" s="24" t="s">
        <v>455</v>
      </c>
      <c r="G34" s="24" t="s">
        <v>455</v>
      </c>
      <c r="H34" s="24" t="s">
        <v>455</v>
      </c>
      <c r="I34" s="24" t="s">
        <v>455</v>
      </c>
    </row>
    <row r="35" spans="3:9" x14ac:dyDescent="0.25">
      <c r="C35" s="83" t="str">
        <v>Network</v>
      </c>
      <c r="D35" s="83" t="str">
        <v>Anytime - supply charge - SME - United Energy</v>
      </c>
      <c r="E35" s="24" t="s">
        <v>77</v>
      </c>
      <c r="F35" s="24" t="s">
        <v>461</v>
      </c>
      <c r="G35" s="24" t="s">
        <v>461</v>
      </c>
      <c r="H35" s="24" t="s">
        <v>461</v>
      </c>
      <c r="I35" s="24" t="s">
        <v>461</v>
      </c>
    </row>
    <row r="36" spans="3:9" x14ac:dyDescent="0.25">
      <c r="C36" s="83" t="str">
        <v>Network</v>
      </c>
      <c r="D36" s="83" t="str">
        <v>TOU - supply charge - RES - Ausnet</v>
      </c>
      <c r="E36" s="24" t="s">
        <v>87</v>
      </c>
      <c r="F36" s="24" t="s">
        <v>444</v>
      </c>
      <c r="G36" s="24" t="s">
        <v>444</v>
      </c>
      <c r="H36" s="24" t="s">
        <v>444</v>
      </c>
      <c r="I36" s="24" t="s">
        <v>444</v>
      </c>
    </row>
    <row r="37" spans="3:9" x14ac:dyDescent="0.25">
      <c r="C37" s="83" t="str">
        <v>Network</v>
      </c>
      <c r="D37" s="83" t="str">
        <v>TOU - supply charge - RES - Citipower</v>
      </c>
      <c r="E37" s="24" t="s">
        <v>87</v>
      </c>
      <c r="F37" s="24" t="s">
        <v>450</v>
      </c>
      <c r="G37" s="24" t="s">
        <v>450</v>
      </c>
      <c r="H37" s="24" t="s">
        <v>450</v>
      </c>
      <c r="I37" s="24" t="s">
        <v>450</v>
      </c>
    </row>
    <row r="38" spans="3:9" x14ac:dyDescent="0.25">
      <c r="C38" s="83" t="str">
        <v>Network</v>
      </c>
      <c r="D38" s="83" t="str">
        <v>TOU - supply charge - RES - Jemena</v>
      </c>
      <c r="E38" s="24" t="s">
        <v>87</v>
      </c>
      <c r="F38" s="24" t="s">
        <v>466</v>
      </c>
      <c r="G38" s="24" t="s">
        <v>466</v>
      </c>
      <c r="H38" s="24" t="s">
        <v>466</v>
      </c>
      <c r="I38" s="24" t="s">
        <v>466</v>
      </c>
    </row>
    <row r="39" spans="3:9" x14ac:dyDescent="0.25">
      <c r="C39" s="83" t="str">
        <v>Network</v>
      </c>
      <c r="D39" s="83" t="str">
        <v>TOU - supply charge - RES - Powercor</v>
      </c>
      <c r="E39" s="24" t="s">
        <v>87</v>
      </c>
      <c r="F39" s="24" t="s">
        <v>456</v>
      </c>
      <c r="G39" s="24" t="s">
        <v>456</v>
      </c>
      <c r="H39" s="24" t="s">
        <v>456</v>
      </c>
      <c r="I39" s="24" t="s">
        <v>456</v>
      </c>
    </row>
    <row r="40" spans="3:9" x14ac:dyDescent="0.25">
      <c r="C40" s="83" t="str">
        <v>Network</v>
      </c>
      <c r="D40" s="83" t="str">
        <v>TOU - supply charge - RES - United Energy</v>
      </c>
      <c r="E40" s="24" t="s">
        <v>87</v>
      </c>
      <c r="F40" s="24" t="s">
        <v>462</v>
      </c>
      <c r="G40" s="24" t="s">
        <v>462</v>
      </c>
      <c r="H40" s="24" t="s">
        <v>462</v>
      </c>
      <c r="I40" s="24" t="s">
        <v>462</v>
      </c>
    </row>
    <row r="41" spans="3:9" x14ac:dyDescent="0.25">
      <c r="C41" s="83" t="str">
        <v>Network</v>
      </c>
      <c r="D41" s="83" t="str">
        <v>TOU - supply charge - SME - Ausnet</v>
      </c>
      <c r="E41" s="24" t="s">
        <v>87</v>
      </c>
      <c r="F41" s="24" t="s">
        <v>445</v>
      </c>
      <c r="G41" s="24" t="s">
        <v>445</v>
      </c>
      <c r="H41" s="24" t="s">
        <v>445</v>
      </c>
      <c r="I41" s="24" t="s">
        <v>445</v>
      </c>
    </row>
    <row r="42" spans="3:9" x14ac:dyDescent="0.25">
      <c r="C42" s="83" t="str">
        <v>Network</v>
      </c>
      <c r="D42" s="83" t="str">
        <v>TOU - supply charge - SME - Citipower</v>
      </c>
      <c r="E42" s="24" t="s">
        <v>87</v>
      </c>
      <c r="F42" s="24" t="s">
        <v>451</v>
      </c>
      <c r="G42" s="24" t="s">
        <v>451</v>
      </c>
      <c r="H42" s="24" t="s">
        <v>451</v>
      </c>
      <c r="I42" s="24" t="s">
        <v>451</v>
      </c>
    </row>
    <row r="43" spans="3:9" x14ac:dyDescent="0.25">
      <c r="C43" s="83" t="str">
        <v>Network</v>
      </c>
      <c r="D43" s="83" t="str">
        <v>TOU - supply charge - SME - Jemena</v>
      </c>
      <c r="E43" s="24" t="s">
        <v>87</v>
      </c>
      <c r="F43" s="24" t="s">
        <v>469</v>
      </c>
      <c r="G43" s="24" t="s">
        <v>469</v>
      </c>
      <c r="H43" s="24" t="s">
        <v>469</v>
      </c>
      <c r="I43" s="24" t="s">
        <v>469</v>
      </c>
    </row>
    <row r="44" spans="3:9" x14ac:dyDescent="0.25">
      <c r="C44" s="83" t="str">
        <v>Network</v>
      </c>
      <c r="D44" s="83" t="str">
        <v>TOU - supply charge - SME - Powercor</v>
      </c>
      <c r="E44" s="24" t="s">
        <v>87</v>
      </c>
      <c r="F44" s="24" t="s">
        <v>457</v>
      </c>
      <c r="G44" s="24" t="s">
        <v>457</v>
      </c>
      <c r="H44" s="24" t="s">
        <v>457</v>
      </c>
      <c r="I44" s="24" t="s">
        <v>457</v>
      </c>
    </row>
    <row r="45" spans="3:9" x14ac:dyDescent="0.25">
      <c r="C45" s="83" t="str">
        <v>Network</v>
      </c>
      <c r="D45" s="83" t="str">
        <v>TOU - supply charge - SME - United Energy</v>
      </c>
      <c r="E45" s="24" t="s">
        <v>87</v>
      </c>
      <c r="F45" s="24" t="s">
        <v>463</v>
      </c>
      <c r="G45" s="24" t="s">
        <v>463</v>
      </c>
      <c r="H45" s="24" t="s">
        <v>463</v>
      </c>
      <c r="I45" s="24" t="s">
        <v>463</v>
      </c>
    </row>
    <row r="46" spans="3:9" x14ac:dyDescent="0.25">
      <c r="C46" s="83" t="str">
        <v>Wholesale</v>
      </c>
      <c r="D46" s="83" t="str">
        <v>Price - RES - Ausnet</v>
      </c>
      <c r="E46" s="24" t="s">
        <v>78</v>
      </c>
      <c r="F46" s="24" t="s">
        <v>78</v>
      </c>
      <c r="G46" s="24" t="s">
        <v>78</v>
      </c>
      <c r="H46" s="24" t="s">
        <v>634</v>
      </c>
      <c r="I46" s="24" t="s">
        <v>699</v>
      </c>
    </row>
    <row r="47" spans="3:9" x14ac:dyDescent="0.25">
      <c r="C47" s="83" t="str">
        <v>Wholesale</v>
      </c>
      <c r="D47" s="83" t="str">
        <v>Price - RES - Citipower</v>
      </c>
      <c r="E47" s="24" t="s">
        <v>78</v>
      </c>
      <c r="F47" s="24" t="s">
        <v>78</v>
      </c>
      <c r="G47" s="24" t="s">
        <v>78</v>
      </c>
      <c r="H47" s="24" t="s">
        <v>634</v>
      </c>
      <c r="I47" s="24" t="s">
        <v>699</v>
      </c>
    </row>
    <row r="48" spans="3:9" x14ac:dyDescent="0.25">
      <c r="C48" s="83" t="str">
        <v>Wholesale</v>
      </c>
      <c r="D48" s="83" t="str">
        <v>Price - RES - Jemena</v>
      </c>
      <c r="E48" s="24" t="s">
        <v>78</v>
      </c>
      <c r="F48" s="24" t="s">
        <v>78</v>
      </c>
      <c r="G48" s="24" t="s">
        <v>78</v>
      </c>
      <c r="H48" s="24" t="s">
        <v>634</v>
      </c>
      <c r="I48" s="24" t="s">
        <v>699</v>
      </c>
    </row>
    <row r="49" spans="3:9" x14ac:dyDescent="0.25">
      <c r="C49" s="83" t="str">
        <v>Wholesale</v>
      </c>
      <c r="D49" s="83" t="str">
        <v>Price - RES - Powercor</v>
      </c>
      <c r="E49" s="24" t="s">
        <v>78</v>
      </c>
      <c r="F49" s="24" t="s">
        <v>78</v>
      </c>
      <c r="G49" s="24" t="s">
        <v>78</v>
      </c>
      <c r="H49" s="24" t="s">
        <v>634</v>
      </c>
      <c r="I49" s="24" t="s">
        <v>699</v>
      </c>
    </row>
    <row r="50" spans="3:9" x14ac:dyDescent="0.25">
      <c r="C50" s="83" t="str">
        <v>Wholesale</v>
      </c>
      <c r="D50" s="83" t="str">
        <v>Price - RES - United Energy</v>
      </c>
      <c r="E50" s="24" t="s">
        <v>78</v>
      </c>
      <c r="F50" s="24" t="s">
        <v>78</v>
      </c>
      <c r="G50" s="24" t="s">
        <v>78</v>
      </c>
      <c r="H50" s="24" t="s">
        <v>634</v>
      </c>
      <c r="I50" s="24" t="s">
        <v>699</v>
      </c>
    </row>
    <row r="51" spans="3:9" x14ac:dyDescent="0.25">
      <c r="C51" s="83" t="str">
        <v>Wholesale</v>
      </c>
      <c r="D51" s="83" t="str">
        <v>Volatility - RES - Ausnet</v>
      </c>
      <c r="E51" s="24" t="s">
        <v>79</v>
      </c>
      <c r="F51" s="24" t="s">
        <v>79</v>
      </c>
      <c r="G51" s="24" t="s">
        <v>79</v>
      </c>
      <c r="H51" s="24" t="s">
        <v>635</v>
      </c>
      <c r="I51" s="24" t="s">
        <v>698</v>
      </c>
    </row>
    <row r="52" spans="3:9" x14ac:dyDescent="0.25">
      <c r="C52" s="83" t="str">
        <v>Wholesale</v>
      </c>
      <c r="D52" s="83" t="str">
        <v>Volatility - RES - Citipower</v>
      </c>
      <c r="E52" s="24" t="s">
        <v>79</v>
      </c>
      <c r="F52" s="24" t="s">
        <v>79</v>
      </c>
      <c r="G52" s="24" t="s">
        <v>79</v>
      </c>
      <c r="H52" s="24" t="s">
        <v>635</v>
      </c>
      <c r="I52" s="24" t="s">
        <v>698</v>
      </c>
    </row>
    <row r="53" spans="3:9" x14ac:dyDescent="0.25">
      <c r="C53" s="83" t="str">
        <v>Wholesale</v>
      </c>
      <c r="D53" s="83" t="str">
        <v>Volatility - RES - Jemena</v>
      </c>
      <c r="E53" s="24" t="s">
        <v>79</v>
      </c>
      <c r="F53" s="24" t="s">
        <v>79</v>
      </c>
      <c r="G53" s="24" t="s">
        <v>79</v>
      </c>
      <c r="H53" s="24" t="s">
        <v>635</v>
      </c>
      <c r="I53" s="24" t="s">
        <v>698</v>
      </c>
    </row>
    <row r="54" spans="3:9" x14ac:dyDescent="0.25">
      <c r="C54" s="83" t="str">
        <v>Wholesale</v>
      </c>
      <c r="D54" s="83" t="str">
        <v>Volatility - RES - Powercor</v>
      </c>
      <c r="E54" s="24" t="s">
        <v>79</v>
      </c>
      <c r="F54" s="24" t="s">
        <v>79</v>
      </c>
      <c r="G54" s="24" t="s">
        <v>79</v>
      </c>
      <c r="H54" s="24" t="s">
        <v>635</v>
      </c>
      <c r="I54" s="24" t="s">
        <v>698</v>
      </c>
    </row>
    <row r="55" spans="3:9" x14ac:dyDescent="0.25">
      <c r="C55" s="83" t="str">
        <v>Wholesale</v>
      </c>
      <c r="D55" s="83" t="str">
        <v>Volatility - RES - United Energy</v>
      </c>
      <c r="E55" s="24" t="s">
        <v>79</v>
      </c>
      <c r="F55" s="24" t="s">
        <v>79</v>
      </c>
      <c r="G55" s="24" t="s">
        <v>79</v>
      </c>
      <c r="H55" s="24" t="s">
        <v>635</v>
      </c>
      <c r="I55" s="24" t="s">
        <v>698</v>
      </c>
    </row>
    <row r="56" spans="3:9" x14ac:dyDescent="0.25">
      <c r="C56" s="83" t="str">
        <v>Wholesale</v>
      </c>
      <c r="D56" s="83" t="str">
        <v>Price - SME - Ausnet</v>
      </c>
      <c r="E56" s="24" t="s">
        <v>78</v>
      </c>
      <c r="F56" s="24" t="s">
        <v>78</v>
      </c>
      <c r="G56" s="24" t="s">
        <v>78</v>
      </c>
      <c r="H56" s="24" t="s">
        <v>634</v>
      </c>
      <c r="I56" s="24" t="s">
        <v>699</v>
      </c>
    </row>
    <row r="57" spans="3:9" x14ac:dyDescent="0.25">
      <c r="C57" s="83" t="str">
        <v>Wholesale</v>
      </c>
      <c r="D57" s="83" t="str">
        <v>Price - SME - Citipower</v>
      </c>
      <c r="E57" s="24" t="s">
        <v>78</v>
      </c>
      <c r="F57" s="24" t="s">
        <v>78</v>
      </c>
      <c r="G57" s="24" t="s">
        <v>78</v>
      </c>
      <c r="H57" s="24" t="s">
        <v>634</v>
      </c>
      <c r="I57" s="24" t="s">
        <v>699</v>
      </c>
    </row>
    <row r="58" spans="3:9" x14ac:dyDescent="0.25">
      <c r="C58" s="83" t="str">
        <v>Wholesale</v>
      </c>
      <c r="D58" s="83" t="str">
        <v>Price - SME - Jemena</v>
      </c>
      <c r="E58" s="24" t="s">
        <v>78</v>
      </c>
      <c r="F58" s="24" t="s">
        <v>78</v>
      </c>
      <c r="G58" s="24" t="s">
        <v>78</v>
      </c>
      <c r="H58" s="24" t="s">
        <v>634</v>
      </c>
      <c r="I58" s="24" t="s">
        <v>699</v>
      </c>
    </row>
    <row r="59" spans="3:9" x14ac:dyDescent="0.25">
      <c r="C59" s="83" t="str">
        <v>Wholesale</v>
      </c>
      <c r="D59" s="83" t="str">
        <v>Price - SME - Powercor</v>
      </c>
      <c r="E59" s="24" t="s">
        <v>78</v>
      </c>
      <c r="F59" s="24" t="s">
        <v>78</v>
      </c>
      <c r="G59" s="24" t="s">
        <v>78</v>
      </c>
      <c r="H59" s="24" t="s">
        <v>634</v>
      </c>
      <c r="I59" s="24" t="s">
        <v>699</v>
      </c>
    </row>
    <row r="60" spans="3:9" x14ac:dyDescent="0.25">
      <c r="C60" s="83" t="str">
        <v>Wholesale</v>
      </c>
      <c r="D60" s="83" t="str">
        <v>Price - SME - United Energy</v>
      </c>
      <c r="E60" s="24" t="s">
        <v>78</v>
      </c>
      <c r="F60" s="24" t="s">
        <v>78</v>
      </c>
      <c r="G60" s="24" t="s">
        <v>78</v>
      </c>
      <c r="H60" s="24" t="s">
        <v>634</v>
      </c>
      <c r="I60" s="24" t="s">
        <v>699</v>
      </c>
    </row>
    <row r="61" spans="3:9" x14ac:dyDescent="0.25">
      <c r="C61" s="83" t="str">
        <v>Wholesale</v>
      </c>
      <c r="D61" s="83" t="str">
        <v>Volatility - SME - Ausnet</v>
      </c>
      <c r="E61" s="24" t="s">
        <v>79</v>
      </c>
      <c r="F61" s="24" t="s">
        <v>79</v>
      </c>
      <c r="G61" s="24" t="s">
        <v>79</v>
      </c>
      <c r="H61" s="24" t="s">
        <v>635</v>
      </c>
      <c r="I61" s="24" t="s">
        <v>698</v>
      </c>
    </row>
    <row r="62" spans="3:9" x14ac:dyDescent="0.25">
      <c r="C62" s="83" t="str">
        <v>Wholesale</v>
      </c>
      <c r="D62" s="83" t="str">
        <v>Volatility - SME - Citipower</v>
      </c>
      <c r="E62" s="24" t="s">
        <v>79</v>
      </c>
      <c r="F62" s="24" t="s">
        <v>79</v>
      </c>
      <c r="G62" s="24" t="s">
        <v>79</v>
      </c>
      <c r="H62" s="24" t="s">
        <v>635</v>
      </c>
      <c r="I62" s="24" t="s">
        <v>698</v>
      </c>
    </row>
    <row r="63" spans="3:9" x14ac:dyDescent="0.25">
      <c r="C63" s="83" t="str">
        <v>Wholesale</v>
      </c>
      <c r="D63" s="83" t="str">
        <v>Volatility - SME - Jemena</v>
      </c>
      <c r="E63" s="24" t="s">
        <v>79</v>
      </c>
      <c r="F63" s="24" t="s">
        <v>79</v>
      </c>
      <c r="G63" s="24" t="s">
        <v>79</v>
      </c>
      <c r="H63" s="24" t="s">
        <v>635</v>
      </c>
      <c r="I63" s="24" t="s">
        <v>698</v>
      </c>
    </row>
    <row r="64" spans="3:9" x14ac:dyDescent="0.25">
      <c r="C64" s="83" t="str">
        <v>Wholesale</v>
      </c>
      <c r="D64" s="83" t="str">
        <v>Volatility - SME - Powercor</v>
      </c>
      <c r="E64" s="24" t="s">
        <v>79</v>
      </c>
      <c r="F64" s="24" t="s">
        <v>79</v>
      </c>
      <c r="G64" s="24" t="s">
        <v>79</v>
      </c>
      <c r="H64" s="24" t="s">
        <v>635</v>
      </c>
      <c r="I64" s="24" t="s">
        <v>698</v>
      </c>
    </row>
    <row r="65" spans="3:9" x14ac:dyDescent="0.25">
      <c r="C65" s="83" t="str">
        <v>Wholesale</v>
      </c>
      <c r="D65" s="83" t="str">
        <v>Volatility - SME - United Energy</v>
      </c>
      <c r="E65" s="24" t="s">
        <v>79</v>
      </c>
      <c r="F65" s="24" t="s">
        <v>79</v>
      </c>
      <c r="G65" s="24" t="s">
        <v>79</v>
      </c>
      <c r="H65" s="24" t="s">
        <v>635</v>
      </c>
      <c r="I65" s="24" t="s">
        <v>698</v>
      </c>
    </row>
    <row r="66" spans="3:9" x14ac:dyDescent="0.25">
      <c r="C66" s="83" t="str">
        <v>Environmental</v>
      </c>
      <c r="D66" s="83" t="str">
        <v>Victorian energy upgrades (VEU) - Price</v>
      </c>
      <c r="E66" s="24" t="s">
        <v>80</v>
      </c>
      <c r="F66" s="24" t="s">
        <v>80</v>
      </c>
      <c r="G66" s="24" t="s">
        <v>80</v>
      </c>
      <c r="H66" s="24" t="s">
        <v>637</v>
      </c>
      <c r="I66" s="24" t="s">
        <v>705</v>
      </c>
    </row>
    <row r="67" spans="3:9" x14ac:dyDescent="0.25">
      <c r="C67" s="83" t="str">
        <v>Environmental</v>
      </c>
      <c r="D67" s="83" t="str">
        <v>Large-scale renewable energy target (LRET) - Price</v>
      </c>
      <c r="E67" s="24" t="s">
        <v>81</v>
      </c>
      <c r="F67" s="24" t="s">
        <v>81</v>
      </c>
      <c r="G67" s="24" t="s">
        <v>81</v>
      </c>
      <c r="H67" s="24" t="s">
        <v>639</v>
      </c>
      <c r="I67" s="24" t="s">
        <v>703</v>
      </c>
    </row>
    <row r="68" spans="3:9" x14ac:dyDescent="0.25">
      <c r="C68" s="83" t="str">
        <v>Environmental</v>
      </c>
      <c r="D68" s="83" t="str">
        <v>Small-scale renewable energy scheme (SRES) - Price</v>
      </c>
      <c r="E68" s="24" t="s">
        <v>82</v>
      </c>
      <c r="F68" s="24" t="s">
        <v>82</v>
      </c>
      <c r="G68" s="24" t="s">
        <v>82</v>
      </c>
      <c r="H68" s="24" t="s">
        <v>638</v>
      </c>
      <c r="I68" s="24" t="s">
        <v>704</v>
      </c>
    </row>
    <row r="69" spans="3:9" x14ac:dyDescent="0.25">
      <c r="C69" s="83" t="str">
        <v>Environmental</v>
      </c>
      <c r="D69" s="83" t="str">
        <v>Victorian energy upgrades (VEU) - Liability</v>
      </c>
      <c r="E69" s="24" t="s">
        <v>83</v>
      </c>
      <c r="F69" s="24" t="s">
        <v>83</v>
      </c>
      <c r="G69" s="24" t="s">
        <v>83</v>
      </c>
      <c r="H69" s="24" t="s">
        <v>636</v>
      </c>
      <c r="I69" s="24" t="s">
        <v>636</v>
      </c>
    </row>
    <row r="70" spans="3:9" x14ac:dyDescent="0.25">
      <c r="C70" s="83" t="str">
        <v>Environmental</v>
      </c>
      <c r="D70" s="83" t="str">
        <v>Large-scale renewable energy target (LRET) - Liability</v>
      </c>
      <c r="E70" s="128" t="s">
        <v>84</v>
      </c>
      <c r="F70" s="128" t="s">
        <v>84</v>
      </c>
      <c r="G70" s="128" t="s">
        <v>84</v>
      </c>
      <c r="H70" s="24" t="s">
        <v>640</v>
      </c>
      <c r="I70" s="24" t="s">
        <v>749</v>
      </c>
    </row>
    <row r="71" spans="3:9" x14ac:dyDescent="0.25">
      <c r="C71" s="83" t="str">
        <v>Environmental</v>
      </c>
      <c r="D71" s="83" t="str">
        <v>Large-scale renewable energy target (LRET) - Liability true up (2021 only)</v>
      </c>
      <c r="E71" s="128" t="s">
        <v>84</v>
      </c>
      <c r="F71" s="128" t="s">
        <v>84</v>
      </c>
      <c r="G71" s="128" t="s">
        <v>84</v>
      </c>
      <c r="H71" s="24" t="s">
        <v>641</v>
      </c>
      <c r="I71" s="24" t="s">
        <v>641</v>
      </c>
    </row>
    <row r="72" spans="3:9" x14ac:dyDescent="0.25">
      <c r="C72" s="83" t="str">
        <v>Environmental</v>
      </c>
      <c r="D72" s="83" t="str">
        <v>Small-scale renewable energy scheme (SRES) - Liability</v>
      </c>
      <c r="E72" s="128" t="s">
        <v>85</v>
      </c>
      <c r="F72" s="128" t="s">
        <v>85</v>
      </c>
      <c r="G72" s="128" t="s">
        <v>85</v>
      </c>
      <c r="H72" s="24" t="s">
        <v>642</v>
      </c>
      <c r="I72" s="24" t="s">
        <v>642</v>
      </c>
    </row>
    <row r="73" spans="3:9" x14ac:dyDescent="0.25">
      <c r="C73" s="83" t="str">
        <v>Environmental</v>
      </c>
      <c r="D73" s="83" t="str">
        <v>Small-scale renewable energy scheme (SRES) - Liability true up (2021 only)</v>
      </c>
      <c r="E73" s="128" t="s">
        <v>85</v>
      </c>
      <c r="F73" s="128" t="s">
        <v>85</v>
      </c>
      <c r="G73" s="128" t="s">
        <v>85</v>
      </c>
      <c r="H73" s="24" t="s">
        <v>641</v>
      </c>
      <c r="I73" s="24" t="s">
        <v>641</v>
      </c>
    </row>
    <row r="74" spans="3:9" x14ac:dyDescent="0.25">
      <c r="C74" s="83" t="str">
        <v>Other</v>
      </c>
      <c r="D74" s="83" t="str">
        <v>General NEM fees</v>
      </c>
      <c r="E74" s="24" t="s">
        <v>86</v>
      </c>
      <c r="F74" s="24" t="s">
        <v>86</v>
      </c>
      <c r="G74" s="24" t="s">
        <v>86</v>
      </c>
      <c r="H74" s="24" t="s">
        <v>632</v>
      </c>
      <c r="I74" s="24" t="s">
        <v>632</v>
      </c>
    </row>
    <row r="75" spans="3:9" x14ac:dyDescent="0.25">
      <c r="C75" s="83" t="str">
        <v>Other</v>
      </c>
      <c r="D75" s="83" t="str">
        <v>Full retail competition (FRC) operations (OBSOLETE)</v>
      </c>
      <c r="E75" s="24" t="s">
        <v>647</v>
      </c>
      <c r="F75" s="24" t="s">
        <v>647</v>
      </c>
      <c r="G75" s="24" t="s">
        <v>647</v>
      </c>
      <c r="H75" s="24" t="s">
        <v>647</v>
      </c>
      <c r="I75" s="24" t="s">
        <v>647</v>
      </c>
    </row>
    <row r="76" spans="3:9" x14ac:dyDescent="0.25">
      <c r="C76" s="83" t="str">
        <v>Other</v>
      </c>
      <c r="D76" s="83" t="str">
        <v>National transmission planner</v>
      </c>
      <c r="E76" s="24" t="s">
        <v>643</v>
      </c>
      <c r="F76" s="24" t="s">
        <v>643</v>
      </c>
      <c r="G76" s="24" t="s">
        <v>643</v>
      </c>
      <c r="H76" s="24" t="s">
        <v>643</v>
      </c>
      <c r="I76" s="24" t="s">
        <v>643</v>
      </c>
    </row>
    <row r="77" spans="3:9" x14ac:dyDescent="0.25">
      <c r="C77" s="83" t="str">
        <v>Other</v>
      </c>
      <c r="D77" s="83" t="str">
        <v>Ancillary services</v>
      </c>
      <c r="E77" s="24" t="s">
        <v>88</v>
      </c>
      <c r="F77" s="24" t="s">
        <v>88</v>
      </c>
      <c r="G77" s="24" t="s">
        <v>88</v>
      </c>
      <c r="H77" s="24" t="s">
        <v>644</v>
      </c>
      <c r="I77" s="24" t="s">
        <v>701</v>
      </c>
    </row>
    <row r="78" spans="3:9" x14ac:dyDescent="0.25">
      <c r="C78" s="83" t="str">
        <v>Other</v>
      </c>
      <c r="D78" s="83" t="str">
        <v>IT upgrade and 5MS/GS compliance</v>
      </c>
      <c r="E78" s="24" t="s">
        <v>87</v>
      </c>
      <c r="F78" s="24" t="s">
        <v>87</v>
      </c>
      <c r="G78" s="24" t="s">
        <v>87</v>
      </c>
      <c r="H78" s="24" t="s">
        <v>87</v>
      </c>
      <c r="I78" s="24" t="s">
        <v>632</v>
      </c>
    </row>
    <row r="79" spans="3:9" x14ac:dyDescent="0.25">
      <c r="C79" s="83" t="str">
        <v>Other</v>
      </c>
      <c r="D79" s="83" t="str">
        <v>Distributed Energy Resources Integration Program (DER)</v>
      </c>
      <c r="E79" s="24" t="s">
        <v>87</v>
      </c>
      <c r="F79" s="24" t="s">
        <v>87</v>
      </c>
      <c r="G79" s="24" t="s">
        <v>87</v>
      </c>
      <c r="H79" s="24" t="s">
        <v>87</v>
      </c>
      <c r="I79" s="24" t="s">
        <v>702</v>
      </c>
    </row>
    <row r="80" spans="3:9" x14ac:dyDescent="0.25">
      <c r="C80" s="83" t="str">
        <v>Network</v>
      </c>
      <c r="D80" s="83" t="str">
        <v>Anytime - Block 1 - RES - Ausnet</v>
      </c>
      <c r="E80" s="24" t="s">
        <v>68</v>
      </c>
      <c r="F80" s="24" t="s">
        <v>442</v>
      </c>
      <c r="G80" s="24" t="s">
        <v>442</v>
      </c>
      <c r="H80" s="24" t="s">
        <v>442</v>
      </c>
      <c r="I80" s="24" t="s">
        <v>442</v>
      </c>
    </row>
    <row r="81" spans="3:9" x14ac:dyDescent="0.25">
      <c r="C81" s="83" t="str">
        <v>Network</v>
      </c>
      <c r="D81" s="83" t="str">
        <v>Anytime - Balance - RES - Ausnet</v>
      </c>
      <c r="E81" s="24" t="s">
        <v>68</v>
      </c>
      <c r="F81" s="24" t="s">
        <v>442</v>
      </c>
      <c r="G81" s="24" t="s">
        <v>442</v>
      </c>
      <c r="H81" s="24" t="s">
        <v>442</v>
      </c>
      <c r="I81" s="24" t="s">
        <v>442</v>
      </c>
    </row>
    <row r="82" spans="3:9" x14ac:dyDescent="0.25">
      <c r="C82" s="83" t="str">
        <v>Network</v>
      </c>
      <c r="D82" s="83" t="str">
        <v>Anytime - Single rate - RES - Citipower</v>
      </c>
      <c r="E82" s="24" t="s">
        <v>69</v>
      </c>
      <c r="F82" s="24" t="s">
        <v>448</v>
      </c>
      <c r="G82" s="24" t="s">
        <v>448</v>
      </c>
      <c r="H82" s="24" t="s">
        <v>448</v>
      </c>
      <c r="I82" s="24" t="s">
        <v>448</v>
      </c>
    </row>
    <row r="83" spans="3:9" x14ac:dyDescent="0.25">
      <c r="C83" s="83" t="str">
        <v>Network</v>
      </c>
      <c r="D83" s="83" t="str">
        <v>Anytime - Single rate - RES - Jemena</v>
      </c>
      <c r="E83" s="24" t="s">
        <v>70</v>
      </c>
      <c r="F83" s="24" t="s">
        <v>468</v>
      </c>
      <c r="G83" s="24" t="s">
        <v>468</v>
      </c>
      <c r="H83" s="24" t="s">
        <v>468</v>
      </c>
      <c r="I83" s="24" t="s">
        <v>468</v>
      </c>
    </row>
    <row r="84" spans="3:9" x14ac:dyDescent="0.25">
      <c r="C84" s="83" t="str">
        <v>Network</v>
      </c>
      <c r="D84" s="83" t="str">
        <v>Anytime - Single rate - RES - Powercor</v>
      </c>
      <c r="E84" s="24" t="s">
        <v>71</v>
      </c>
      <c r="F84" s="24" t="s">
        <v>454</v>
      </c>
      <c r="G84" s="24" t="s">
        <v>454</v>
      </c>
      <c r="H84" s="24" t="s">
        <v>454</v>
      </c>
      <c r="I84" s="24" t="s">
        <v>454</v>
      </c>
    </row>
    <row r="85" spans="3:9" x14ac:dyDescent="0.25">
      <c r="C85" s="83" t="str">
        <v>Network</v>
      </c>
      <c r="D85" s="83" t="str">
        <v>Anytime - Single rate - RES - United Energy</v>
      </c>
      <c r="E85" s="24" t="s">
        <v>72</v>
      </c>
      <c r="F85" s="24" t="s">
        <v>460</v>
      </c>
      <c r="G85" s="24" t="s">
        <v>460</v>
      </c>
      <c r="H85" s="24" t="s">
        <v>460</v>
      </c>
      <c r="I85" s="24" t="s">
        <v>460</v>
      </c>
    </row>
    <row r="86" spans="3:9" x14ac:dyDescent="0.25">
      <c r="C86" s="83" t="str">
        <v>Network</v>
      </c>
      <c r="D86" s="83" t="str">
        <v>Anytime - Block 1 - SME - Ausnet</v>
      </c>
      <c r="E86" s="24" t="s">
        <v>73</v>
      </c>
      <c r="F86" s="24" t="s">
        <v>443</v>
      </c>
      <c r="G86" s="24" t="s">
        <v>443</v>
      </c>
      <c r="H86" s="24" t="s">
        <v>443</v>
      </c>
      <c r="I86" s="24" t="s">
        <v>443</v>
      </c>
    </row>
    <row r="87" spans="3:9" x14ac:dyDescent="0.25">
      <c r="C87" s="83" t="str">
        <v>Network</v>
      </c>
      <c r="D87" s="83" t="str">
        <v>Anytime - Balance - SME - Ausnet</v>
      </c>
      <c r="E87" s="24" t="s">
        <v>73</v>
      </c>
      <c r="F87" s="24" t="s">
        <v>443</v>
      </c>
      <c r="G87" s="24" t="s">
        <v>443</v>
      </c>
      <c r="H87" s="24" t="s">
        <v>443</v>
      </c>
      <c r="I87" s="24" t="s">
        <v>443</v>
      </c>
    </row>
    <row r="88" spans="3:9" x14ac:dyDescent="0.25">
      <c r="C88" s="83" t="str">
        <v>Network</v>
      </c>
      <c r="D88" s="83" t="str">
        <v>Anytime - Single rate - SME - Citipower</v>
      </c>
      <c r="E88" s="24" t="s">
        <v>74</v>
      </c>
      <c r="F88" s="24" t="s">
        <v>449</v>
      </c>
      <c r="G88" s="24" t="s">
        <v>449</v>
      </c>
      <c r="H88" s="24" t="s">
        <v>449</v>
      </c>
      <c r="I88" s="24" t="s">
        <v>449</v>
      </c>
    </row>
    <row r="89" spans="3:9" x14ac:dyDescent="0.25">
      <c r="C89" s="83" t="str">
        <v>Network</v>
      </c>
      <c r="D89" s="83" t="str">
        <v>Anytime - Single rate - SME - Jemena</v>
      </c>
      <c r="E89" s="24" t="s">
        <v>75</v>
      </c>
      <c r="F89" s="24" t="s">
        <v>467</v>
      </c>
      <c r="G89" s="24" t="s">
        <v>467</v>
      </c>
      <c r="H89" s="24" t="s">
        <v>467</v>
      </c>
      <c r="I89" s="24" t="s">
        <v>467</v>
      </c>
    </row>
    <row r="90" spans="3:9" x14ac:dyDescent="0.25">
      <c r="C90" s="83" t="str">
        <v>Network</v>
      </c>
      <c r="D90" s="83" t="str">
        <v>Anytime - Single rate - SME - Powercor</v>
      </c>
      <c r="E90" s="24" t="s">
        <v>76</v>
      </c>
      <c r="F90" s="24" t="s">
        <v>455</v>
      </c>
      <c r="G90" s="24" t="s">
        <v>455</v>
      </c>
      <c r="H90" s="24" t="s">
        <v>455</v>
      </c>
      <c r="I90" s="24" t="s">
        <v>455</v>
      </c>
    </row>
    <row r="91" spans="3:9" x14ac:dyDescent="0.25">
      <c r="C91" s="83" t="str">
        <v>Network</v>
      </c>
      <c r="D91" s="83" t="str">
        <v>Anytime - Single rate - SME - United Energy</v>
      </c>
      <c r="E91" s="24" t="s">
        <v>77</v>
      </c>
      <c r="F91" s="24" t="s">
        <v>461</v>
      </c>
      <c r="G91" s="24" t="s">
        <v>461</v>
      </c>
      <c r="H91" s="24" t="s">
        <v>461</v>
      </c>
      <c r="I91" s="24" t="s">
        <v>461</v>
      </c>
    </row>
    <row r="92" spans="3:9" x14ac:dyDescent="0.25">
      <c r="C92" s="83" t="str">
        <v>Network</v>
      </c>
      <c r="D92" s="83" t="str">
        <v>TOU - Peak - RES - Ausnet</v>
      </c>
      <c r="E92" s="24" t="s">
        <v>87</v>
      </c>
      <c r="F92" s="24" t="s">
        <v>444</v>
      </c>
      <c r="G92" s="24" t="s">
        <v>444</v>
      </c>
      <c r="H92" s="24" t="s">
        <v>444</v>
      </c>
      <c r="I92" s="24" t="s">
        <v>444</v>
      </c>
    </row>
    <row r="93" spans="3:9" x14ac:dyDescent="0.25">
      <c r="C93" s="83" t="str">
        <v>Network</v>
      </c>
      <c r="D93" s="83" t="str">
        <v>TOU - Peak - RES - Citipower</v>
      </c>
      <c r="E93" s="24" t="s">
        <v>87</v>
      </c>
      <c r="F93" s="24" t="s">
        <v>450</v>
      </c>
      <c r="G93" s="24" t="s">
        <v>450</v>
      </c>
      <c r="H93" s="24" t="s">
        <v>450</v>
      </c>
      <c r="I93" s="24" t="s">
        <v>450</v>
      </c>
    </row>
    <row r="94" spans="3:9" x14ac:dyDescent="0.25">
      <c r="C94" s="83" t="str">
        <v>Network</v>
      </c>
      <c r="D94" s="83" t="str">
        <v>TOU - Peak - RES - Jemena</v>
      </c>
      <c r="E94" s="24" t="s">
        <v>87</v>
      </c>
      <c r="F94" s="24" t="s">
        <v>466</v>
      </c>
      <c r="G94" s="24" t="s">
        <v>466</v>
      </c>
      <c r="H94" s="24" t="s">
        <v>466</v>
      </c>
      <c r="I94" s="24" t="s">
        <v>466</v>
      </c>
    </row>
    <row r="95" spans="3:9" x14ac:dyDescent="0.25">
      <c r="C95" s="83" t="str">
        <v>Network</v>
      </c>
      <c r="D95" s="83" t="str">
        <v>TOU - Peak - RES - Powercor</v>
      </c>
      <c r="E95" s="24" t="s">
        <v>87</v>
      </c>
      <c r="F95" s="24" t="s">
        <v>456</v>
      </c>
      <c r="G95" s="24" t="s">
        <v>456</v>
      </c>
      <c r="H95" s="24" t="s">
        <v>456</v>
      </c>
      <c r="I95" s="24" t="s">
        <v>456</v>
      </c>
    </row>
    <row r="96" spans="3:9" x14ac:dyDescent="0.25">
      <c r="C96" s="83" t="str">
        <v>Network</v>
      </c>
      <c r="D96" s="83" t="str">
        <v>TOU - Peak - RES - United Energy</v>
      </c>
      <c r="E96" s="24" t="s">
        <v>87</v>
      </c>
      <c r="F96" s="24" t="s">
        <v>462</v>
      </c>
      <c r="G96" s="24" t="s">
        <v>462</v>
      </c>
      <c r="H96" s="24" t="s">
        <v>462</v>
      </c>
      <c r="I96" s="24" t="s">
        <v>462</v>
      </c>
    </row>
    <row r="97" spans="3:9" x14ac:dyDescent="0.25">
      <c r="C97" s="83" t="str">
        <v>Network</v>
      </c>
      <c r="D97" s="83" t="str">
        <v>TOU - Off peak - RES - Ausnet</v>
      </c>
      <c r="E97" s="24" t="s">
        <v>87</v>
      </c>
      <c r="F97" s="24" t="s">
        <v>444</v>
      </c>
      <c r="G97" s="24" t="s">
        <v>444</v>
      </c>
      <c r="H97" s="24" t="s">
        <v>444</v>
      </c>
      <c r="I97" s="24" t="s">
        <v>444</v>
      </c>
    </row>
    <row r="98" spans="3:9" x14ac:dyDescent="0.25">
      <c r="C98" s="83" t="str">
        <v>Network</v>
      </c>
      <c r="D98" s="83" t="str">
        <v>TOU - Off peak - RES - Citipower</v>
      </c>
      <c r="E98" s="24" t="s">
        <v>87</v>
      </c>
      <c r="F98" s="24" t="s">
        <v>450</v>
      </c>
      <c r="G98" s="24" t="s">
        <v>450</v>
      </c>
      <c r="H98" s="24" t="s">
        <v>450</v>
      </c>
      <c r="I98" s="24" t="s">
        <v>450</v>
      </c>
    </row>
    <row r="99" spans="3:9" x14ac:dyDescent="0.25">
      <c r="C99" s="83" t="str">
        <v>Network</v>
      </c>
      <c r="D99" s="83" t="str">
        <v>TOU - Off peak - RES - Jemena</v>
      </c>
      <c r="E99" s="24" t="s">
        <v>87</v>
      </c>
      <c r="F99" s="24" t="s">
        <v>466</v>
      </c>
      <c r="G99" s="24" t="s">
        <v>466</v>
      </c>
      <c r="H99" s="24" t="s">
        <v>466</v>
      </c>
      <c r="I99" s="24" t="s">
        <v>466</v>
      </c>
    </row>
    <row r="100" spans="3:9" x14ac:dyDescent="0.25">
      <c r="C100" s="83" t="str">
        <v>Network</v>
      </c>
      <c r="D100" s="83" t="str">
        <v>TOU - Off peak - RES - Powercor</v>
      </c>
      <c r="E100" s="24" t="s">
        <v>87</v>
      </c>
      <c r="F100" s="24" t="s">
        <v>456</v>
      </c>
      <c r="G100" s="24" t="s">
        <v>456</v>
      </c>
      <c r="H100" s="24" t="s">
        <v>456</v>
      </c>
      <c r="I100" s="24" t="s">
        <v>456</v>
      </c>
    </row>
    <row r="101" spans="3:9" x14ac:dyDescent="0.25">
      <c r="C101" s="83" t="str">
        <v>Network</v>
      </c>
      <c r="D101" s="83" t="str">
        <v>TOU - Off peak - RES - United Energy</v>
      </c>
      <c r="E101" s="24" t="s">
        <v>87</v>
      </c>
      <c r="F101" s="24" t="s">
        <v>462</v>
      </c>
      <c r="G101" s="24" t="s">
        <v>462</v>
      </c>
      <c r="H101" s="24" t="s">
        <v>462</v>
      </c>
      <c r="I101" s="24" t="s">
        <v>462</v>
      </c>
    </row>
    <row r="102" spans="3:9" x14ac:dyDescent="0.25">
      <c r="C102" s="83" t="str">
        <v>Network</v>
      </c>
      <c r="D102" s="83" t="str">
        <v>TOU - Peak - SME - Ausnet</v>
      </c>
      <c r="E102" s="24" t="s">
        <v>87</v>
      </c>
      <c r="F102" s="24" t="s">
        <v>445</v>
      </c>
      <c r="G102" s="24" t="s">
        <v>445</v>
      </c>
      <c r="H102" s="24" t="s">
        <v>445</v>
      </c>
      <c r="I102" s="24" t="s">
        <v>445</v>
      </c>
    </row>
    <row r="103" spans="3:9" x14ac:dyDescent="0.25">
      <c r="C103" s="83" t="str">
        <v>Network</v>
      </c>
      <c r="D103" s="83" t="str">
        <v>TOU - Peak - SME - Citipower</v>
      </c>
      <c r="E103" s="24" t="s">
        <v>87</v>
      </c>
      <c r="F103" s="24" t="s">
        <v>451</v>
      </c>
      <c r="G103" s="24" t="s">
        <v>451</v>
      </c>
      <c r="H103" s="24" t="s">
        <v>451</v>
      </c>
      <c r="I103" s="24" t="s">
        <v>451</v>
      </c>
    </row>
    <row r="104" spans="3:9" x14ac:dyDescent="0.25">
      <c r="C104" s="83" t="str">
        <v>Network</v>
      </c>
      <c r="D104" s="83" t="str">
        <v>TOU - Peak - SME - Jemena</v>
      </c>
      <c r="E104" s="24" t="s">
        <v>87</v>
      </c>
      <c r="F104" s="24" t="s">
        <v>469</v>
      </c>
      <c r="G104" s="24" t="s">
        <v>469</v>
      </c>
      <c r="H104" s="24" t="s">
        <v>469</v>
      </c>
      <c r="I104" s="24" t="s">
        <v>469</v>
      </c>
    </row>
    <row r="105" spans="3:9" x14ac:dyDescent="0.25">
      <c r="C105" s="83" t="str">
        <v>Network</v>
      </c>
      <c r="D105" s="83" t="str">
        <v>TOU - Peak - SME - Powercor</v>
      </c>
      <c r="E105" s="24" t="s">
        <v>87</v>
      </c>
      <c r="F105" s="24" t="s">
        <v>457</v>
      </c>
      <c r="G105" s="24" t="s">
        <v>457</v>
      </c>
      <c r="H105" s="24" t="s">
        <v>457</v>
      </c>
      <c r="I105" s="24" t="s">
        <v>457</v>
      </c>
    </row>
    <row r="106" spans="3:9" x14ac:dyDescent="0.25">
      <c r="C106" s="83" t="str">
        <v>Network</v>
      </c>
      <c r="D106" s="83" t="str">
        <v>TOU - Peak - SME - United Energy</v>
      </c>
      <c r="E106" s="24" t="s">
        <v>87</v>
      </c>
      <c r="F106" s="24" t="s">
        <v>463</v>
      </c>
      <c r="G106" s="24" t="s">
        <v>463</v>
      </c>
      <c r="H106" s="24" t="s">
        <v>463</v>
      </c>
      <c r="I106" s="24" t="s">
        <v>463</v>
      </c>
    </row>
    <row r="107" spans="3:9" x14ac:dyDescent="0.25">
      <c r="C107" s="83" t="str">
        <v>Network</v>
      </c>
      <c r="D107" s="83" t="str">
        <v>TOU - Off peak - SME - Ausnet</v>
      </c>
      <c r="E107" s="24" t="s">
        <v>87</v>
      </c>
      <c r="F107" s="24" t="s">
        <v>445</v>
      </c>
      <c r="G107" s="24" t="s">
        <v>445</v>
      </c>
      <c r="H107" s="24" t="s">
        <v>445</v>
      </c>
      <c r="I107" s="24" t="s">
        <v>445</v>
      </c>
    </row>
    <row r="108" spans="3:9" x14ac:dyDescent="0.25">
      <c r="C108" s="83" t="str">
        <v>Network</v>
      </c>
      <c r="D108" s="83" t="str">
        <v>TOU - Off peak - SME - Citipower</v>
      </c>
      <c r="E108" s="24" t="s">
        <v>87</v>
      </c>
      <c r="F108" s="24" t="s">
        <v>451</v>
      </c>
      <c r="G108" s="24" t="s">
        <v>451</v>
      </c>
      <c r="H108" s="24" t="s">
        <v>451</v>
      </c>
      <c r="I108" s="24" t="s">
        <v>451</v>
      </c>
    </row>
    <row r="109" spans="3:9" x14ac:dyDescent="0.25">
      <c r="C109" s="83" t="str">
        <v>Network</v>
      </c>
      <c r="D109" s="83" t="str">
        <v>TOU - Off peak - SME - Jemena</v>
      </c>
      <c r="E109" s="24" t="s">
        <v>87</v>
      </c>
      <c r="F109" s="24" t="s">
        <v>469</v>
      </c>
      <c r="G109" s="24" t="s">
        <v>469</v>
      </c>
      <c r="H109" s="24" t="s">
        <v>469</v>
      </c>
      <c r="I109" s="24" t="s">
        <v>469</v>
      </c>
    </row>
    <row r="110" spans="3:9" x14ac:dyDescent="0.25">
      <c r="C110" s="83" t="str">
        <v>Network</v>
      </c>
      <c r="D110" s="83" t="str">
        <v>TOU - Off peak - SME - Powercor</v>
      </c>
      <c r="E110" s="24" t="s">
        <v>87</v>
      </c>
      <c r="F110" s="24" t="s">
        <v>457</v>
      </c>
      <c r="G110" s="24" t="s">
        <v>457</v>
      </c>
      <c r="H110" s="24" t="s">
        <v>457</v>
      </c>
      <c r="I110" s="24" t="s">
        <v>457</v>
      </c>
    </row>
    <row r="111" spans="3:9" x14ac:dyDescent="0.25">
      <c r="C111" s="83" t="str">
        <v>Network</v>
      </c>
      <c r="D111" s="83" t="str">
        <v>TOU - Off peak - SME - United Energy</v>
      </c>
      <c r="E111" s="24" t="s">
        <v>87</v>
      </c>
      <c r="F111" s="24" t="s">
        <v>463</v>
      </c>
      <c r="G111" s="24" t="s">
        <v>463</v>
      </c>
      <c r="H111" s="24" t="s">
        <v>463</v>
      </c>
      <c r="I111" s="24" t="s">
        <v>463</v>
      </c>
    </row>
    <row r="112" spans="3:9" x14ac:dyDescent="0.25">
      <c r="C112" s="83" t="str">
        <v>Network</v>
      </c>
      <c r="D112" s="83" t="str">
        <v>Controlled load - RES - Ausnet</v>
      </c>
      <c r="E112" s="24" t="s">
        <v>89</v>
      </c>
      <c r="F112" s="24" t="s">
        <v>446</v>
      </c>
      <c r="G112" s="24" t="s">
        <v>446</v>
      </c>
      <c r="H112" s="24" t="s">
        <v>446</v>
      </c>
      <c r="I112" s="24" t="s">
        <v>446</v>
      </c>
    </row>
    <row r="113" spans="3:9" x14ac:dyDescent="0.25">
      <c r="C113" s="83" t="str">
        <v>Network</v>
      </c>
      <c r="D113" s="83" t="str">
        <v>Controlled load - RES - Citipower</v>
      </c>
      <c r="E113" s="24" t="s">
        <v>90</v>
      </c>
      <c r="F113" s="24" t="s">
        <v>452</v>
      </c>
      <c r="G113" s="24" t="s">
        <v>452</v>
      </c>
      <c r="H113" s="24" t="s">
        <v>452</v>
      </c>
      <c r="I113" s="24" t="s">
        <v>452</v>
      </c>
    </row>
    <row r="114" spans="3:9" x14ac:dyDescent="0.25">
      <c r="C114" s="83" t="str">
        <v>Network</v>
      </c>
      <c r="D114" s="83" t="str">
        <v>Controlled load - RES - Jemena</v>
      </c>
      <c r="E114" s="24" t="s">
        <v>91</v>
      </c>
      <c r="F114" s="24" t="s">
        <v>470</v>
      </c>
      <c r="G114" s="24" t="s">
        <v>470</v>
      </c>
      <c r="H114" s="24" t="s">
        <v>470</v>
      </c>
      <c r="I114" s="24" t="s">
        <v>470</v>
      </c>
    </row>
    <row r="115" spans="3:9" x14ac:dyDescent="0.25">
      <c r="C115" s="83" t="str">
        <v>Network</v>
      </c>
      <c r="D115" s="83" t="str">
        <v>Controlled load - RES - Powercor</v>
      </c>
      <c r="E115" s="24" t="s">
        <v>92</v>
      </c>
      <c r="F115" s="24" t="s">
        <v>458</v>
      </c>
      <c r="G115" s="24" t="s">
        <v>458</v>
      </c>
      <c r="H115" s="24" t="s">
        <v>458</v>
      </c>
      <c r="I115" s="24" t="s">
        <v>458</v>
      </c>
    </row>
    <row r="116" spans="3:9" x14ac:dyDescent="0.25">
      <c r="C116" s="83" t="str">
        <v>Network</v>
      </c>
      <c r="D116" s="83" t="str">
        <v>Controlled load - RES - United Energy</v>
      </c>
      <c r="E116" s="24" t="s">
        <v>93</v>
      </c>
      <c r="F116" s="24" t="s">
        <v>464</v>
      </c>
      <c r="G116" s="24" t="s">
        <v>464</v>
      </c>
      <c r="H116" s="24" t="s">
        <v>464</v>
      </c>
      <c r="I116" s="24" t="s">
        <v>464</v>
      </c>
    </row>
    <row r="117" spans="3:9" x14ac:dyDescent="0.25">
      <c r="C117" s="83" t="str">
        <v>Retail margin</v>
      </c>
      <c r="D117" s="83" t="str">
        <v>Retail operating margin</v>
      </c>
      <c r="E117" s="24" t="s">
        <v>94</v>
      </c>
      <c r="F117" s="24" t="s">
        <v>94</v>
      </c>
      <c r="G117" s="24" t="s">
        <v>94</v>
      </c>
      <c r="H117" s="24" t="s">
        <v>94</v>
      </c>
      <c r="I117" s="24" t="s">
        <v>94</v>
      </c>
    </row>
    <row r="118" spans="3:9" x14ac:dyDescent="0.25">
      <c r="C118" s="83" t="str">
        <v>Marginal loss factors</v>
      </c>
      <c r="D118" s="83" t="str">
        <v>Marginal loss factor - Ausnet</v>
      </c>
      <c r="E118" s="24" t="s">
        <v>95</v>
      </c>
      <c r="F118" s="24" t="s">
        <v>95</v>
      </c>
      <c r="G118" s="24" t="s">
        <v>95</v>
      </c>
      <c r="H118" s="24" t="s">
        <v>646</v>
      </c>
      <c r="I118" s="24" t="s">
        <v>696</v>
      </c>
    </row>
    <row r="119" spans="3:9" x14ac:dyDescent="0.25">
      <c r="C119" s="83" t="str">
        <v>Marginal loss factors</v>
      </c>
      <c r="D119" s="83" t="str">
        <v>Marginal loss factor - Citipower</v>
      </c>
      <c r="E119" s="24" t="s">
        <v>95</v>
      </c>
      <c r="F119" s="24" t="s">
        <v>95</v>
      </c>
      <c r="G119" s="24" t="s">
        <v>95</v>
      </c>
      <c r="H119" s="24" t="s">
        <v>646</v>
      </c>
      <c r="I119" s="24" t="s">
        <v>696</v>
      </c>
    </row>
    <row r="120" spans="3:9" x14ac:dyDescent="0.25">
      <c r="C120" s="83" t="str">
        <v>Marginal loss factors</v>
      </c>
      <c r="D120" s="83" t="str">
        <v>Marginal loss factor - Jemena</v>
      </c>
      <c r="E120" s="24" t="s">
        <v>95</v>
      </c>
      <c r="F120" s="24" t="s">
        <v>95</v>
      </c>
      <c r="G120" s="24" t="s">
        <v>95</v>
      </c>
      <c r="H120" s="24" t="s">
        <v>646</v>
      </c>
      <c r="I120" s="24" t="s">
        <v>696</v>
      </c>
    </row>
    <row r="121" spans="3:9" x14ac:dyDescent="0.25">
      <c r="C121" s="83" t="str">
        <v>Marginal loss factors</v>
      </c>
      <c r="D121" s="83" t="str">
        <v>Marginal loss factor - Powercor</v>
      </c>
      <c r="E121" s="24" t="s">
        <v>95</v>
      </c>
      <c r="F121" s="24" t="s">
        <v>95</v>
      </c>
      <c r="G121" s="24" t="s">
        <v>95</v>
      </c>
      <c r="H121" s="24" t="s">
        <v>646</v>
      </c>
      <c r="I121" s="24" t="s">
        <v>696</v>
      </c>
    </row>
    <row r="122" spans="3:9" x14ac:dyDescent="0.25">
      <c r="C122" s="83" t="str">
        <v>Marginal loss factors</v>
      </c>
      <c r="D122" s="83" t="str">
        <v>Marginal loss factor - United Energy</v>
      </c>
      <c r="E122" s="24" t="s">
        <v>95</v>
      </c>
      <c r="F122" s="24" t="s">
        <v>95</v>
      </c>
      <c r="G122" s="24" t="s">
        <v>95</v>
      </c>
      <c r="H122" s="24" t="s">
        <v>646</v>
      </c>
      <c r="I122" s="24" t="s">
        <v>696</v>
      </c>
    </row>
    <row r="123" spans="3:9" x14ac:dyDescent="0.25">
      <c r="C123" s="83" t="str">
        <v>Distribution loss factors</v>
      </c>
      <c r="D123" s="83" t="str">
        <v>Distribution loss factor - Ausnet</v>
      </c>
      <c r="E123" s="24" t="s">
        <v>96</v>
      </c>
      <c r="F123" s="24" t="s">
        <v>96</v>
      </c>
      <c r="G123" s="24" t="s">
        <v>96</v>
      </c>
      <c r="H123" s="24" t="s">
        <v>645</v>
      </c>
      <c r="I123" s="24" t="s">
        <v>697</v>
      </c>
    </row>
    <row r="124" spans="3:9" x14ac:dyDescent="0.25">
      <c r="C124" s="83" t="str">
        <v>Distribution loss factors</v>
      </c>
      <c r="D124" s="83" t="str">
        <v>Distribution loss factor - Citipower</v>
      </c>
      <c r="E124" s="24" t="s">
        <v>97</v>
      </c>
      <c r="F124" s="24" t="s">
        <v>97</v>
      </c>
      <c r="G124" s="24" t="s">
        <v>97</v>
      </c>
      <c r="H124" s="24" t="s">
        <v>645</v>
      </c>
      <c r="I124" s="24" t="s">
        <v>697</v>
      </c>
    </row>
    <row r="125" spans="3:9" x14ac:dyDescent="0.25">
      <c r="C125" s="83" t="str">
        <v>Distribution loss factors</v>
      </c>
      <c r="D125" s="83" t="str">
        <v>Distribution loss factor - Jemena</v>
      </c>
      <c r="E125" s="24" t="s">
        <v>97</v>
      </c>
      <c r="F125" s="24" t="s">
        <v>97</v>
      </c>
      <c r="G125" s="24" t="s">
        <v>97</v>
      </c>
      <c r="H125" s="24" t="s">
        <v>645</v>
      </c>
      <c r="I125" s="24" t="s">
        <v>697</v>
      </c>
    </row>
    <row r="126" spans="3:9" x14ac:dyDescent="0.25">
      <c r="C126" s="83" t="str">
        <v>Distribution loss factors</v>
      </c>
      <c r="D126" s="83" t="str">
        <v>Distribution loss factor - Powercor</v>
      </c>
      <c r="E126" s="24" t="s">
        <v>96</v>
      </c>
      <c r="F126" s="24" t="s">
        <v>96</v>
      </c>
      <c r="G126" s="24" t="s">
        <v>96</v>
      </c>
      <c r="H126" s="24" t="s">
        <v>645</v>
      </c>
      <c r="I126" s="24" t="s">
        <v>697</v>
      </c>
    </row>
    <row r="127" spans="3:9" x14ac:dyDescent="0.25">
      <c r="C127" s="83" t="str">
        <v>Distribution loss factors</v>
      </c>
      <c r="D127" s="83" t="str">
        <v>Distribution loss factor - United Energy</v>
      </c>
      <c r="E127" s="24" t="s">
        <v>97</v>
      </c>
      <c r="F127" s="24" t="s">
        <v>97</v>
      </c>
      <c r="G127" s="24" t="s">
        <v>97</v>
      </c>
      <c r="H127" s="24" t="s">
        <v>645</v>
      </c>
      <c r="I127" s="24" t="s">
        <v>697</v>
      </c>
    </row>
    <row r="136" spans="1:20" ht="16.5" thickBot="1" x14ac:dyDescent="0.3">
      <c r="A136" s="1" t="s">
        <v>30</v>
      </c>
      <c r="B136" s="9">
        <f ca="1">MAX(B$3:B125)+0.1</f>
        <v>5.1999999999999993</v>
      </c>
      <c r="C136" s="29" t="s">
        <v>437</v>
      </c>
      <c r="D136" s="29"/>
      <c r="E136" s="29"/>
      <c r="F136" s="29"/>
      <c r="G136" s="29"/>
      <c r="H136" s="29"/>
      <c r="I136" s="29"/>
      <c r="J136" s="29"/>
      <c r="K136" s="29"/>
      <c r="L136" s="29"/>
      <c r="M136" s="29"/>
      <c r="N136" s="29"/>
      <c r="O136" s="29"/>
      <c r="P136" s="29"/>
      <c r="Q136" s="29"/>
      <c r="R136" s="29"/>
      <c r="S136" s="29"/>
      <c r="T136" s="29"/>
    </row>
    <row r="138" spans="1:20" ht="15.75" x14ac:dyDescent="0.25">
      <c r="D138" s="41" t="s">
        <v>108</v>
      </c>
      <c r="E138" s="42">
        <f>Inputs!I132</f>
        <v>2021</v>
      </c>
      <c r="F138" s="42">
        <f>Inputs!M132</f>
        <v>2022</v>
      </c>
      <c r="G138" s="42">
        <v>2021</v>
      </c>
      <c r="H138" s="42">
        <v>2022</v>
      </c>
      <c r="I138" s="42">
        <v>2022</v>
      </c>
    </row>
    <row r="139" spans="1:20" ht="15.75" x14ac:dyDescent="0.25">
      <c r="D139" s="41" t="s">
        <v>109</v>
      </c>
      <c r="E139" s="42" t="str">
        <f>"VDO "&amp;E138&amp;" - "&amp;IF(LEFT(E141,1)="F","Final",IF(LEFT(E141,1)="D","Draft",IF(LEFT(E141,2)="VD","Variation draft",IF(LEFT(E141,2)="VF","Variation final"))))</f>
        <v>VDO 2021 - Final</v>
      </c>
      <c r="F139" s="42" t="str">
        <f>"VDO "&amp;F138&amp;" - "&amp;IF(LEFT(F141,1)="F","Final",IF(LEFT(F141,1)="D","Draft",IF(LEFT(F141,2)="VD","Variation draft",IF(LEFT(F141,2)="VF","Variation final"))))</f>
        <v>VDO 2022 - Variation draft</v>
      </c>
      <c r="G139" s="42" t="str">
        <f>"VDO "&amp;G138&amp;" - "&amp;IF(LEFT(G141,1)="F","Final",IF(LEFT(G141,1)="D","Draft",IF(LEFT(G141,2)="VD","Variation draft",IF(LEFT(G141,2)="VF","Variation final"))))</f>
        <v>VDO 2021 - Variation final</v>
      </c>
      <c r="H139" s="42" t="str">
        <f t="shared" ref="H139:I139" si="0">"VDO "&amp;H138&amp;" - "&amp;IF(LEFT(H141,1)="F","Final",IF(LEFT(H141,1)="D","Draft",IF(LEFT(H141,2)="VD","Variation draft",IF(LEFT(H141,2)="VF","Variation final"))))</f>
        <v>VDO 2022 - Draft</v>
      </c>
      <c r="I139" s="42" t="str">
        <f t="shared" si="0"/>
        <v>VDO 2022 - Final</v>
      </c>
    </row>
    <row r="141" spans="1:20" ht="15.75" x14ac:dyDescent="0.25">
      <c r="C141" s="43" t="s">
        <v>226</v>
      </c>
      <c r="D141" s="43" t="s">
        <v>227</v>
      </c>
      <c r="E141" s="43" t="s">
        <v>55</v>
      </c>
      <c r="F141" s="43" t="s">
        <v>395</v>
      </c>
      <c r="G141" s="43" t="s">
        <v>397</v>
      </c>
      <c r="H141" s="43" t="s">
        <v>56</v>
      </c>
      <c r="I141" s="43" t="s">
        <v>57</v>
      </c>
    </row>
    <row r="142" spans="1:20" x14ac:dyDescent="0.25">
      <c r="C142" s="83" t="str" cm="1">
        <f t="array" ref="C142:C178">INDEX(Input_Usage[],0,MATCH(Sources!C$141,Input_Usage[#Headers],0))</f>
        <v>Residential - small</v>
      </c>
      <c r="D142" s="83" t="str" cm="1">
        <f t="array" ref="D142:D178">INDEX(Input_Usage[],0,MATCH(Sources!D$141,Input_Usage[#Headers],0))</f>
        <v>Block 1</v>
      </c>
      <c r="E142" s="60" t="s">
        <v>438</v>
      </c>
      <c r="F142" s="24" t="s">
        <v>438</v>
      </c>
      <c r="G142" s="112"/>
      <c r="H142" s="112"/>
      <c r="I142" s="112"/>
    </row>
    <row r="143" spans="1:20" x14ac:dyDescent="0.25">
      <c r="C143" s="83" t="str">
        <v>Residential - medium</v>
      </c>
      <c r="D143" s="83" t="str">
        <v>Block 1</v>
      </c>
      <c r="E143" s="60" t="s">
        <v>438</v>
      </c>
      <c r="F143" s="24" t="s">
        <v>438</v>
      </c>
      <c r="G143" s="112"/>
      <c r="H143" s="112"/>
      <c r="I143" s="112"/>
    </row>
    <row r="144" spans="1:20" x14ac:dyDescent="0.25">
      <c r="C144" s="83" t="str">
        <v>Residential - large</v>
      </c>
      <c r="D144" s="83" t="str">
        <v>Block 1</v>
      </c>
      <c r="E144" s="60" t="s">
        <v>438</v>
      </c>
      <c r="F144" s="24" t="s">
        <v>438</v>
      </c>
      <c r="G144" s="112"/>
      <c r="H144" s="112"/>
      <c r="I144" s="112"/>
    </row>
    <row r="145" spans="3:9" x14ac:dyDescent="0.25">
      <c r="C145" s="83" t="str">
        <v>Small business - small</v>
      </c>
      <c r="D145" s="83" t="str">
        <v>Block 1</v>
      </c>
      <c r="E145" s="60" t="s">
        <v>438</v>
      </c>
      <c r="F145" s="24" t="s">
        <v>438</v>
      </c>
      <c r="G145" s="112"/>
      <c r="H145" s="112"/>
      <c r="I145" s="112"/>
    </row>
    <row r="146" spans="3:9" x14ac:dyDescent="0.25">
      <c r="C146" s="83" t="str">
        <v>Small business - medium</v>
      </c>
      <c r="D146" s="83" t="str">
        <v>Block 1</v>
      </c>
      <c r="E146" s="60" t="s">
        <v>438</v>
      </c>
      <c r="F146" s="24" t="s">
        <v>438</v>
      </c>
      <c r="G146" s="112"/>
      <c r="H146" s="112"/>
      <c r="I146" s="112"/>
    </row>
    <row r="147" spans="3:9" x14ac:dyDescent="0.25">
      <c r="C147" s="83" t="str">
        <v>Small business - large</v>
      </c>
      <c r="D147" s="83" t="str">
        <v>Block 1</v>
      </c>
      <c r="E147" s="60" t="s">
        <v>438</v>
      </c>
      <c r="F147" s="24" t="s">
        <v>438</v>
      </c>
      <c r="G147" s="112"/>
      <c r="H147" s="112"/>
      <c r="I147" s="112"/>
    </row>
    <row r="148" spans="3:9" x14ac:dyDescent="0.25">
      <c r="C148" s="83" t="str">
        <v>Residential - small</v>
      </c>
      <c r="D148" s="83" t="str">
        <v>Balance</v>
      </c>
      <c r="E148" s="60" t="s">
        <v>438</v>
      </c>
      <c r="F148" s="24" t="s">
        <v>438</v>
      </c>
      <c r="G148" s="112"/>
      <c r="H148" s="112"/>
      <c r="I148" s="112"/>
    </row>
    <row r="149" spans="3:9" x14ac:dyDescent="0.25">
      <c r="C149" s="83" t="str">
        <v>Residential - medium</v>
      </c>
      <c r="D149" s="83" t="str">
        <v>Balance</v>
      </c>
      <c r="E149" s="60" t="s">
        <v>438</v>
      </c>
      <c r="F149" s="24" t="s">
        <v>438</v>
      </c>
      <c r="G149" s="112"/>
      <c r="H149" s="112"/>
      <c r="I149" s="112"/>
    </row>
    <row r="150" spans="3:9" x14ac:dyDescent="0.25">
      <c r="C150" s="83" t="str">
        <v>Residential - large</v>
      </c>
      <c r="D150" s="83" t="str">
        <v>Balance</v>
      </c>
      <c r="E150" s="60" t="s">
        <v>438</v>
      </c>
      <c r="F150" s="24" t="s">
        <v>438</v>
      </c>
      <c r="G150" s="112"/>
      <c r="H150" s="112"/>
      <c r="I150" s="112"/>
    </row>
    <row r="151" spans="3:9" x14ac:dyDescent="0.25">
      <c r="C151" s="83" t="str">
        <v>Small business - small</v>
      </c>
      <c r="D151" s="83" t="str">
        <v>Balance</v>
      </c>
      <c r="E151" s="60" t="s">
        <v>438</v>
      </c>
      <c r="F151" s="24" t="s">
        <v>438</v>
      </c>
      <c r="G151" s="112"/>
      <c r="H151" s="112"/>
      <c r="I151" s="112"/>
    </row>
    <row r="152" spans="3:9" x14ac:dyDescent="0.25">
      <c r="C152" s="83" t="str">
        <v>Small business - medium</v>
      </c>
      <c r="D152" s="83" t="str">
        <v>Balance</v>
      </c>
      <c r="E152" s="60" t="s">
        <v>438</v>
      </c>
      <c r="F152" s="24" t="s">
        <v>438</v>
      </c>
      <c r="G152" s="112"/>
      <c r="H152" s="112"/>
      <c r="I152" s="112"/>
    </row>
    <row r="153" spans="3:9" x14ac:dyDescent="0.25">
      <c r="C153" s="83" t="str">
        <v>Small business - large</v>
      </c>
      <c r="D153" s="83" t="str">
        <v>Balance</v>
      </c>
      <c r="E153" s="60" t="s">
        <v>438</v>
      </c>
      <c r="F153" s="24" t="s">
        <v>438</v>
      </c>
      <c r="G153" s="112"/>
      <c r="H153" s="112"/>
      <c r="I153" s="112"/>
    </row>
    <row r="154" spans="3:9" x14ac:dyDescent="0.25">
      <c r="C154" s="83" t="str">
        <v>Residential - small</v>
      </c>
      <c r="D154" s="83" t="str">
        <v>Annual</v>
      </c>
      <c r="E154" s="60" t="s">
        <v>438</v>
      </c>
      <c r="F154" s="24" t="s">
        <v>438</v>
      </c>
      <c r="G154" s="112"/>
      <c r="H154" s="112"/>
      <c r="I154" s="112"/>
    </row>
    <row r="155" spans="3:9" x14ac:dyDescent="0.25">
      <c r="C155" s="83" t="str">
        <v>Residential - medium</v>
      </c>
      <c r="D155" s="83" t="str">
        <v>Annual</v>
      </c>
      <c r="E155" s="60" t="s">
        <v>438</v>
      </c>
      <c r="F155" s="24" t="s">
        <v>438</v>
      </c>
      <c r="G155" s="112"/>
      <c r="H155" s="112"/>
      <c r="I155" s="112"/>
    </row>
    <row r="156" spans="3:9" x14ac:dyDescent="0.25">
      <c r="C156" s="83" t="str">
        <v>Residential - large</v>
      </c>
      <c r="D156" s="83" t="str">
        <v>Annual</v>
      </c>
      <c r="E156" s="60" t="s">
        <v>438</v>
      </c>
      <c r="F156" s="24" t="s">
        <v>438</v>
      </c>
      <c r="G156" s="112"/>
      <c r="H156" s="112"/>
      <c r="I156" s="112"/>
    </row>
    <row r="157" spans="3:9" x14ac:dyDescent="0.25">
      <c r="C157" s="83" t="str">
        <v>Small business - small</v>
      </c>
      <c r="D157" s="83" t="str">
        <v>Annual</v>
      </c>
      <c r="E157" s="60" t="s">
        <v>438</v>
      </c>
      <c r="F157" s="24" t="s">
        <v>438</v>
      </c>
      <c r="G157" s="112"/>
      <c r="H157" s="112"/>
      <c r="I157" s="112"/>
    </row>
    <row r="158" spans="3:9" x14ac:dyDescent="0.25">
      <c r="C158" s="83" t="str">
        <v>Small business - medium</v>
      </c>
      <c r="D158" s="83" t="str">
        <v>Annual</v>
      </c>
      <c r="E158" s="60" t="s">
        <v>438</v>
      </c>
      <c r="F158" s="24" t="s">
        <v>438</v>
      </c>
      <c r="G158" s="112"/>
      <c r="H158" s="112"/>
      <c r="I158" s="112"/>
    </row>
    <row r="159" spans="3:9" x14ac:dyDescent="0.25">
      <c r="C159" s="83" t="str">
        <v>Small business - large</v>
      </c>
      <c r="D159" s="83" t="str">
        <v>Annual</v>
      </c>
      <c r="E159" s="60" t="s">
        <v>438</v>
      </c>
      <c r="F159" s="24" t="s">
        <v>438</v>
      </c>
      <c r="G159" s="112"/>
      <c r="H159" s="112"/>
      <c r="I159" s="112"/>
    </row>
    <row r="160" spans="3:9" x14ac:dyDescent="0.25">
      <c r="C160" s="83" t="str">
        <v>Residential - small</v>
      </c>
      <c r="D160" s="83" t="str">
        <v>Single rate</v>
      </c>
      <c r="E160" s="60"/>
      <c r="F160" s="112"/>
      <c r="G160" s="112"/>
      <c r="H160" s="112"/>
      <c r="I160" s="112"/>
    </row>
    <row r="161" spans="3:9" x14ac:dyDescent="0.25">
      <c r="C161" s="83" t="str">
        <v>Residential - medium</v>
      </c>
      <c r="D161" s="83" t="str">
        <v>Single rate</v>
      </c>
      <c r="E161" s="60"/>
      <c r="F161" s="112"/>
      <c r="G161" s="112"/>
      <c r="H161" s="112"/>
      <c r="I161" s="112"/>
    </row>
    <row r="162" spans="3:9" x14ac:dyDescent="0.25">
      <c r="C162" s="83" t="str">
        <v>Residential - large</v>
      </c>
      <c r="D162" s="83" t="str">
        <v>Single rate</v>
      </c>
      <c r="E162" s="60"/>
      <c r="F162" s="112"/>
      <c r="G162" s="112"/>
      <c r="H162" s="112"/>
      <c r="I162" s="112"/>
    </row>
    <row r="163" spans="3:9" x14ac:dyDescent="0.25">
      <c r="C163" s="83" t="str">
        <v>Small business - small</v>
      </c>
      <c r="D163" s="83" t="str">
        <v>Single rate</v>
      </c>
      <c r="E163" s="60"/>
      <c r="F163" s="112"/>
      <c r="G163" s="112"/>
      <c r="H163" s="112"/>
      <c r="I163" s="112"/>
    </row>
    <row r="164" spans="3:9" x14ac:dyDescent="0.25">
      <c r="C164" s="83" t="str">
        <v>Small business - medium</v>
      </c>
      <c r="D164" s="83" t="str">
        <v>Single rate</v>
      </c>
      <c r="E164" s="60"/>
      <c r="F164" s="112"/>
      <c r="G164" s="112"/>
      <c r="H164" s="112"/>
      <c r="I164" s="112"/>
    </row>
    <row r="165" spans="3:9" x14ac:dyDescent="0.25">
      <c r="C165" s="83" t="str">
        <v>Small business - large</v>
      </c>
      <c r="D165" s="83" t="str">
        <v>Single rate</v>
      </c>
      <c r="E165" s="60"/>
      <c r="F165" s="112"/>
      <c r="G165" s="112"/>
      <c r="H165" s="112"/>
      <c r="I165" s="112"/>
    </row>
    <row r="166" spans="3:9" x14ac:dyDescent="0.25">
      <c r="C166" s="83" t="str">
        <v>Residential - medium</v>
      </c>
      <c r="D166" s="83" t="str">
        <v>Controlled load</v>
      </c>
      <c r="E166" s="60"/>
      <c r="F166" s="112"/>
      <c r="G166" s="112"/>
      <c r="H166" s="112"/>
      <c r="I166" s="112"/>
    </row>
    <row r="167" spans="3:9" x14ac:dyDescent="0.25">
      <c r="C167" s="83" t="str">
        <v>Residential - small</v>
      </c>
      <c r="D167" s="83" t="str">
        <v>Peak</v>
      </c>
      <c r="E167" s="60"/>
      <c r="F167" s="112"/>
      <c r="G167" s="112"/>
      <c r="H167" s="112"/>
      <c r="I167" s="112"/>
    </row>
    <row r="168" spans="3:9" x14ac:dyDescent="0.25">
      <c r="C168" s="83" t="str">
        <v>Residential - medium</v>
      </c>
      <c r="D168" s="83" t="str">
        <v>Peak</v>
      </c>
      <c r="E168" s="60"/>
      <c r="F168" s="112"/>
      <c r="G168" s="112"/>
      <c r="H168" s="112"/>
      <c r="I168" s="112"/>
    </row>
    <row r="169" spans="3:9" x14ac:dyDescent="0.25">
      <c r="C169" s="83" t="str">
        <v>Residential - large</v>
      </c>
      <c r="D169" s="83" t="str">
        <v>Peak</v>
      </c>
      <c r="E169" s="60"/>
      <c r="F169" s="112"/>
      <c r="G169" s="112"/>
      <c r="H169" s="112"/>
      <c r="I169" s="112"/>
    </row>
    <row r="170" spans="3:9" x14ac:dyDescent="0.25">
      <c r="C170" s="83" t="str">
        <v>Small business - small</v>
      </c>
      <c r="D170" s="83" t="str">
        <v>Peak</v>
      </c>
      <c r="E170" s="60"/>
      <c r="F170" s="112"/>
      <c r="G170" s="112"/>
      <c r="H170" s="112"/>
      <c r="I170" s="112"/>
    </row>
    <row r="171" spans="3:9" x14ac:dyDescent="0.25">
      <c r="C171" s="83" t="str">
        <v>Small business - medium</v>
      </c>
      <c r="D171" s="83" t="str">
        <v>Peak</v>
      </c>
      <c r="E171" s="60"/>
      <c r="F171" s="112"/>
      <c r="G171" s="112"/>
      <c r="H171" s="112"/>
      <c r="I171" s="112"/>
    </row>
    <row r="172" spans="3:9" x14ac:dyDescent="0.25">
      <c r="C172" s="83" t="str">
        <v>Small business - large</v>
      </c>
      <c r="D172" s="83" t="str">
        <v>Peak</v>
      </c>
      <c r="E172" s="60"/>
      <c r="F172" s="112"/>
      <c r="G172" s="112"/>
      <c r="H172" s="112"/>
      <c r="I172" s="112"/>
    </row>
    <row r="173" spans="3:9" x14ac:dyDescent="0.25">
      <c r="C173" s="83" t="str">
        <v>Residential - small</v>
      </c>
      <c r="D173" s="83" t="str">
        <v>Off peak</v>
      </c>
      <c r="E173" s="60"/>
      <c r="F173" s="112"/>
      <c r="G173" s="112"/>
      <c r="H173" s="112"/>
      <c r="I173" s="112"/>
    </row>
    <row r="174" spans="3:9" x14ac:dyDescent="0.25">
      <c r="C174" s="83" t="str">
        <v>Residential - medium</v>
      </c>
      <c r="D174" s="83" t="str">
        <v>Off peak</v>
      </c>
      <c r="E174" s="60"/>
      <c r="F174" s="112"/>
      <c r="G174" s="112"/>
      <c r="H174" s="112"/>
      <c r="I174" s="112"/>
    </row>
    <row r="175" spans="3:9" x14ac:dyDescent="0.25">
      <c r="C175" s="83" t="str">
        <v>Residential - large</v>
      </c>
      <c r="D175" s="83" t="str">
        <v>Off peak</v>
      </c>
      <c r="E175" s="60"/>
      <c r="F175" s="112"/>
      <c r="G175" s="112"/>
      <c r="H175" s="112"/>
      <c r="I175" s="112"/>
    </row>
    <row r="176" spans="3:9" x14ac:dyDescent="0.25">
      <c r="C176" s="83" t="str">
        <v>Small business - small</v>
      </c>
      <c r="D176" s="83" t="str">
        <v>Off peak</v>
      </c>
      <c r="E176" s="60"/>
      <c r="F176" s="112"/>
      <c r="G176" s="112"/>
      <c r="H176" s="112"/>
      <c r="I176" s="112"/>
    </row>
    <row r="177" spans="3:9" x14ac:dyDescent="0.25">
      <c r="C177" s="83" t="str">
        <v>Small business - medium</v>
      </c>
      <c r="D177" s="83" t="str">
        <v>Off peak</v>
      </c>
      <c r="E177" s="60"/>
      <c r="F177" s="112"/>
      <c r="G177" s="112"/>
      <c r="H177" s="112"/>
      <c r="I177" s="112"/>
    </row>
    <row r="178" spans="3:9" x14ac:dyDescent="0.25">
      <c r="C178" s="83" t="str">
        <v>Small business - large</v>
      </c>
      <c r="D178" s="83" t="str">
        <v>Off peak</v>
      </c>
      <c r="E178" s="60"/>
      <c r="F178" s="112"/>
      <c r="G178" s="112"/>
      <c r="H178" s="112"/>
      <c r="I178" s="112"/>
    </row>
  </sheetData>
  <mergeCells count="1">
    <mergeCell ref="A2:A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22A88-5CDE-4526-B060-376A3E91DE73}">
  <sheetPr codeName="Sheet20">
    <tabColor rgb="FF7F7F7F"/>
  </sheetPr>
  <dimension ref="A1:Z21"/>
  <sheetViews>
    <sheetView showGridLines="0" zoomScale="85" zoomScaleNormal="85" workbookViewId="0">
      <pane ySplit="3" topLeftCell="A4" activePane="bottomLeft" state="frozen"/>
      <selection pane="bottomLeft" activeCell="D43" sqref="D43"/>
    </sheetView>
  </sheetViews>
  <sheetFormatPr defaultColWidth="9.140625" defaultRowHeight="15" outlineLevelCol="1" x14ac:dyDescent="0.25"/>
  <cols>
    <col min="1" max="1" width="100.7109375" hidden="1" customWidth="1" outlineLevel="1"/>
    <col min="2" max="2" width="10.7109375" style="6" customWidth="1" collapsed="1"/>
    <col min="3" max="3" width="10.5703125" customWidth="1"/>
    <col min="4" max="7" width="45.7109375" customWidth="1"/>
    <col min="8" max="26" width="25.7109375" customWidth="1"/>
  </cols>
  <sheetData>
    <row r="1" spans="1:26" ht="15" customHeight="1" x14ac:dyDescent="0.25">
      <c r="A1" s="1" t="s">
        <v>27</v>
      </c>
      <c r="B1" s="22"/>
      <c r="C1" s="23"/>
      <c r="D1" s="23"/>
      <c r="E1" s="23"/>
      <c r="F1" s="23"/>
      <c r="G1" s="23"/>
      <c r="H1" s="23"/>
      <c r="I1" s="23"/>
      <c r="J1" s="23"/>
      <c r="K1" s="23"/>
      <c r="L1" s="23"/>
      <c r="M1" s="23"/>
      <c r="N1" s="23"/>
      <c r="O1" s="23"/>
      <c r="P1" s="23"/>
      <c r="Q1" s="23"/>
      <c r="R1" s="23"/>
      <c r="S1" s="23"/>
      <c r="T1" s="23"/>
      <c r="U1" s="23"/>
      <c r="V1" s="23"/>
      <c r="W1" s="23"/>
      <c r="X1" s="23"/>
      <c r="Y1" s="23"/>
      <c r="Z1" s="23"/>
    </row>
    <row r="2" spans="1:26" s="4" customFormat="1" ht="50.1" customHeight="1" x14ac:dyDescent="0.25">
      <c r="A2" s="293" t="s">
        <v>28</v>
      </c>
      <c r="B2" s="26"/>
      <c r="C2" s="26" t="str">
        <f>Disclaimer!$B$1</f>
        <v>VDO calculation model</v>
      </c>
      <c r="D2" s="26"/>
      <c r="E2" s="26"/>
      <c r="F2" s="26"/>
      <c r="G2" s="26"/>
      <c r="H2" s="26"/>
      <c r="I2" s="26"/>
      <c r="J2" s="26"/>
      <c r="K2" s="26"/>
      <c r="L2" s="26"/>
      <c r="M2" s="26"/>
      <c r="N2" s="26"/>
      <c r="O2" s="26"/>
      <c r="P2" s="26"/>
      <c r="Q2" s="26"/>
      <c r="R2" s="26"/>
      <c r="S2" s="26"/>
      <c r="T2" s="26"/>
      <c r="U2" s="26"/>
      <c r="V2" s="26"/>
      <c r="W2" s="26"/>
      <c r="X2" s="26"/>
      <c r="Y2" s="26"/>
      <c r="Z2" s="26"/>
    </row>
    <row r="3" spans="1:26" s="4" customFormat="1" ht="30" customHeight="1" x14ac:dyDescent="0.25">
      <c r="A3" s="294"/>
      <c r="B3" s="28">
        <f ca="1">_xlfn.SHEET()</f>
        <v>6</v>
      </c>
      <c r="C3" s="27" t="s">
        <v>19</v>
      </c>
      <c r="D3" s="27"/>
      <c r="E3" s="27"/>
      <c r="F3" s="27"/>
      <c r="G3" s="27"/>
      <c r="H3" s="27"/>
      <c r="I3" s="27"/>
      <c r="J3" s="27"/>
      <c r="K3" s="27"/>
      <c r="L3" s="27"/>
      <c r="M3" s="27"/>
      <c r="N3" s="27"/>
      <c r="O3" s="27"/>
      <c r="P3" s="27"/>
      <c r="Q3" s="27"/>
      <c r="R3" s="27"/>
      <c r="S3" s="27"/>
      <c r="T3" s="27"/>
      <c r="U3" s="27"/>
      <c r="V3" s="27"/>
      <c r="W3" s="27"/>
      <c r="X3" s="27"/>
      <c r="Y3" s="27"/>
      <c r="Z3" s="27"/>
    </row>
    <row r="4" spans="1:26" x14ac:dyDescent="0.25">
      <c r="B4"/>
    </row>
    <row r="5" spans="1:26" ht="16.5" thickBot="1" x14ac:dyDescent="0.3">
      <c r="A5" s="1" t="s">
        <v>30</v>
      </c>
      <c r="B5" s="9">
        <f ca="1">MAX(B$3:B4)+0.1</f>
        <v>6.1</v>
      </c>
      <c r="C5" s="29" t="s">
        <v>102</v>
      </c>
      <c r="D5" s="29"/>
      <c r="E5" s="29"/>
      <c r="F5" s="29"/>
      <c r="G5" s="29"/>
      <c r="H5" s="29"/>
      <c r="I5" s="29"/>
      <c r="J5" s="29"/>
      <c r="K5" s="29"/>
      <c r="L5" s="29"/>
      <c r="M5" s="29"/>
      <c r="N5" s="29"/>
      <c r="O5" s="29"/>
      <c r="P5" s="29"/>
      <c r="Q5" s="29"/>
      <c r="R5" s="29"/>
      <c r="S5" s="29"/>
      <c r="T5" s="29"/>
      <c r="U5" s="29"/>
      <c r="V5" s="29"/>
      <c r="W5" s="29"/>
      <c r="X5" s="29"/>
      <c r="Y5" s="29"/>
      <c r="Z5" s="29"/>
    </row>
    <row r="7" spans="1:26" ht="15.75" x14ac:dyDescent="0.25">
      <c r="C7" s="129" t="s">
        <v>377</v>
      </c>
      <c r="D7" s="129" t="s">
        <v>439</v>
      </c>
      <c r="E7" s="43" t="s">
        <v>103</v>
      </c>
      <c r="F7" s="43" t="s">
        <v>104</v>
      </c>
      <c r="G7" s="43" t="s">
        <v>105</v>
      </c>
    </row>
    <row r="8" spans="1:26" x14ac:dyDescent="0.25">
      <c r="C8" s="133">
        <v>1</v>
      </c>
      <c r="D8" s="133"/>
      <c r="E8" s="24" t="s">
        <v>430</v>
      </c>
      <c r="F8" s="24"/>
      <c r="G8" s="24" t="s">
        <v>431</v>
      </c>
    </row>
    <row r="9" spans="1:26" x14ac:dyDescent="0.25">
      <c r="C9" s="133">
        <v>1.1000000000000001</v>
      </c>
      <c r="D9" s="133"/>
      <c r="E9" s="24" t="s">
        <v>430</v>
      </c>
      <c r="F9" s="24"/>
      <c r="G9" s="24" t="s">
        <v>431</v>
      </c>
    </row>
    <row r="10" spans="1:26" x14ac:dyDescent="0.25">
      <c r="C10" s="133">
        <v>1.2</v>
      </c>
      <c r="D10" s="133"/>
      <c r="E10" s="24" t="s">
        <v>430</v>
      </c>
      <c r="F10" s="24"/>
      <c r="G10" s="24" t="s">
        <v>431</v>
      </c>
    </row>
    <row r="11" spans="1:26" x14ac:dyDescent="0.25">
      <c r="C11" s="133">
        <v>1.3</v>
      </c>
      <c r="D11" s="133"/>
      <c r="E11" s="24" t="s">
        <v>430</v>
      </c>
      <c r="F11" s="24" t="s">
        <v>545</v>
      </c>
      <c r="G11" s="24" t="s">
        <v>431</v>
      </c>
    </row>
    <row r="12" spans="1:26" x14ac:dyDescent="0.25">
      <c r="C12" s="133">
        <v>1.4</v>
      </c>
      <c r="D12" s="133"/>
      <c r="E12" s="24" t="s">
        <v>430</v>
      </c>
      <c r="F12" s="24"/>
      <c r="G12" s="24" t="s">
        <v>542</v>
      </c>
    </row>
    <row r="13" spans="1:26" x14ac:dyDescent="0.25">
      <c r="C13" s="133">
        <v>1.5</v>
      </c>
      <c r="D13" s="133"/>
      <c r="E13" s="24" t="s">
        <v>430</v>
      </c>
      <c r="F13" s="24" t="s">
        <v>543</v>
      </c>
      <c r="G13" s="24" t="s">
        <v>431</v>
      </c>
    </row>
    <row r="14" spans="1:26" x14ac:dyDescent="0.25">
      <c r="C14" s="133">
        <v>1.6</v>
      </c>
      <c r="D14" s="133"/>
      <c r="E14" s="24" t="s">
        <v>430</v>
      </c>
      <c r="F14" s="24" t="s">
        <v>544</v>
      </c>
      <c r="G14" s="24" t="s">
        <v>431</v>
      </c>
    </row>
    <row r="15" spans="1:26" x14ac:dyDescent="0.25">
      <c r="C15" s="133"/>
      <c r="D15" s="133"/>
      <c r="E15" s="24"/>
      <c r="F15" s="24"/>
      <c r="G15" s="24"/>
    </row>
    <row r="16" spans="1:26" x14ac:dyDescent="0.25">
      <c r="C16" s="133"/>
      <c r="D16" s="133"/>
      <c r="E16" s="24"/>
      <c r="F16" s="24"/>
      <c r="G16" s="24"/>
    </row>
    <row r="17" spans="3:7" x14ac:dyDescent="0.25">
      <c r="C17" s="133"/>
      <c r="D17" s="133"/>
      <c r="E17" s="24"/>
      <c r="F17" s="24"/>
      <c r="G17" s="24"/>
    </row>
    <row r="18" spans="3:7" x14ac:dyDescent="0.25">
      <c r="C18" s="133"/>
      <c r="D18" s="133"/>
      <c r="E18" s="24"/>
      <c r="F18" s="24"/>
      <c r="G18" s="24"/>
    </row>
    <row r="19" spans="3:7" x14ac:dyDescent="0.25">
      <c r="C19" s="133"/>
      <c r="D19" s="133"/>
      <c r="E19" s="24"/>
      <c r="F19" s="24"/>
      <c r="G19" s="24"/>
    </row>
    <row r="20" spans="3:7" x14ac:dyDescent="0.25">
      <c r="C20" s="133"/>
      <c r="D20" s="133"/>
      <c r="E20" s="24"/>
      <c r="F20" s="24"/>
      <c r="G20" s="24"/>
    </row>
    <row r="21" spans="3:7" x14ac:dyDescent="0.25">
      <c r="C21" s="133"/>
      <c r="D21" s="133"/>
      <c r="E21" s="24"/>
      <c r="F21" s="24"/>
      <c r="G21" s="24"/>
    </row>
  </sheetData>
  <mergeCells count="1">
    <mergeCell ref="A2:A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2EA9C-255F-4357-B355-C371171A384D}">
  <sheetPr codeName="Sheet18">
    <tabColor rgb="FF4986A0"/>
  </sheetPr>
  <dimension ref="A1:AA32"/>
  <sheetViews>
    <sheetView showGridLines="0" zoomScale="85" zoomScaleNormal="85" workbookViewId="0">
      <pane ySplit="3" topLeftCell="A4" activePane="bottomLeft" state="frozen"/>
      <selection activeCell="D10" sqref="D10"/>
      <selection pane="bottomLeft" activeCell="D48" sqref="D48"/>
    </sheetView>
  </sheetViews>
  <sheetFormatPr defaultRowHeight="15" outlineLevelCol="1" x14ac:dyDescent="0.25"/>
  <cols>
    <col min="1" max="1" width="100.7109375" hidden="1" customWidth="1" outlineLevel="1"/>
    <col min="2" max="2" width="10.7109375" style="6" customWidth="1" collapsed="1"/>
    <col min="3" max="3" width="50.7109375" customWidth="1"/>
    <col min="4" max="5" width="30.5703125" customWidth="1"/>
    <col min="6" max="9" width="20.7109375" customWidth="1"/>
    <col min="10" max="10" width="58.140625" bestFit="1" customWidth="1"/>
    <col min="11" max="13" width="20.7109375" customWidth="1"/>
  </cols>
  <sheetData>
    <row r="1" spans="1:27" s="4" customFormat="1" ht="15" customHeight="1" x14ac:dyDescent="0.25">
      <c r="A1" s="1" t="s">
        <v>27</v>
      </c>
      <c r="B1" s="22"/>
      <c r="C1" s="23"/>
      <c r="D1" s="23"/>
      <c r="E1" s="23"/>
      <c r="F1" s="23"/>
      <c r="G1" s="23"/>
      <c r="H1" s="23"/>
      <c r="I1" s="23"/>
      <c r="J1" s="23"/>
      <c r="K1" s="23"/>
      <c r="L1" s="23"/>
      <c r="M1" s="23"/>
      <c r="N1" s="23"/>
      <c r="O1" s="23"/>
      <c r="P1" s="23"/>
      <c r="Q1" s="23"/>
      <c r="R1" s="23"/>
      <c r="S1" s="23"/>
      <c r="T1" s="23"/>
      <c r="U1" s="23"/>
      <c r="V1" s="23"/>
      <c r="W1" s="23"/>
      <c r="X1" s="23"/>
      <c r="Y1" s="23"/>
      <c r="Z1" s="23"/>
      <c r="AA1"/>
    </row>
    <row r="2" spans="1:27" s="4" customFormat="1" ht="50.1" customHeight="1" x14ac:dyDescent="0.25">
      <c r="A2" s="293" t="s">
        <v>28</v>
      </c>
      <c r="B2" s="26"/>
      <c r="C2" s="26" t="str">
        <f>Disclaimer!$B$1</f>
        <v>VDO calculation model</v>
      </c>
      <c r="D2" s="26"/>
      <c r="E2" s="26"/>
      <c r="F2" s="26"/>
      <c r="G2" s="26"/>
      <c r="H2" s="26"/>
      <c r="I2" s="26"/>
      <c r="J2" s="26"/>
      <c r="K2" s="26"/>
      <c r="L2" s="26"/>
      <c r="M2" s="26"/>
      <c r="N2" s="26"/>
      <c r="O2" s="26"/>
      <c r="P2" s="26"/>
      <c r="Q2" s="26"/>
      <c r="R2" s="26"/>
      <c r="S2" s="26"/>
      <c r="T2" s="26"/>
      <c r="U2" s="26"/>
      <c r="V2" s="26"/>
      <c r="W2" s="26"/>
      <c r="X2" s="26"/>
      <c r="Y2" s="26"/>
      <c r="Z2" s="26"/>
      <c r="AA2"/>
    </row>
    <row r="3" spans="1:27" s="4" customFormat="1" ht="30" customHeight="1" x14ac:dyDescent="0.25">
      <c r="A3" s="294"/>
      <c r="B3" s="28">
        <f ca="1">_xlfn.SHEET()</f>
        <v>7</v>
      </c>
      <c r="C3" s="27" t="s">
        <v>25</v>
      </c>
      <c r="D3" s="27"/>
      <c r="E3" s="27"/>
      <c r="F3" s="27"/>
      <c r="G3" s="27"/>
      <c r="H3" s="27"/>
      <c r="I3" s="27"/>
      <c r="J3" s="27"/>
      <c r="K3" s="27"/>
      <c r="L3" s="27"/>
      <c r="M3" s="27"/>
      <c r="N3" s="27"/>
      <c r="O3" s="27"/>
      <c r="P3" s="27"/>
      <c r="Q3" s="27"/>
      <c r="R3" s="27"/>
      <c r="S3" s="27"/>
      <c r="T3" s="27"/>
      <c r="U3" s="27"/>
      <c r="V3" s="27"/>
      <c r="W3" s="27"/>
      <c r="X3" s="27"/>
      <c r="Y3" s="27"/>
      <c r="Z3" s="27"/>
      <c r="AA3"/>
    </row>
    <row r="4" spans="1:27" ht="9.75" customHeight="1" x14ac:dyDescent="0.25">
      <c r="B4" s="9"/>
    </row>
    <row r="5" spans="1:27" ht="16.5" thickBot="1" x14ac:dyDescent="0.3">
      <c r="B5" s="9">
        <f ca="1">MAX(B$3:B4)+0.1</f>
        <v>7.1</v>
      </c>
      <c r="C5" s="29" t="s">
        <v>362</v>
      </c>
      <c r="D5" s="29"/>
      <c r="E5" s="29"/>
      <c r="F5" s="29"/>
      <c r="G5" s="29"/>
      <c r="H5" s="29"/>
      <c r="I5" s="29"/>
      <c r="J5" s="29"/>
      <c r="K5" s="29"/>
      <c r="L5" s="29"/>
      <c r="M5" s="29"/>
      <c r="N5" s="29"/>
      <c r="O5" s="29"/>
      <c r="P5" s="29"/>
      <c r="Q5" s="29"/>
      <c r="R5" s="29"/>
      <c r="S5" s="29"/>
      <c r="T5" s="29"/>
      <c r="U5" s="29"/>
      <c r="V5" s="29"/>
      <c r="W5" s="29"/>
      <c r="X5" s="29"/>
      <c r="Y5" s="29"/>
      <c r="Z5" s="29"/>
      <c r="AA5" s="29"/>
    </row>
    <row r="6" spans="1:27" ht="15.75" x14ac:dyDescent="0.25">
      <c r="B6" s="9"/>
    </row>
    <row r="7" spans="1:27" ht="15.75" x14ac:dyDescent="0.25">
      <c r="B7" s="9"/>
      <c r="C7" s="43" t="s">
        <v>363</v>
      </c>
      <c r="D7" s="8"/>
      <c r="K7" s="7"/>
      <c r="L7" s="7"/>
      <c r="M7" s="7"/>
    </row>
    <row r="8" spans="1:27" ht="15.75" x14ac:dyDescent="0.25">
      <c r="B8" s="9"/>
    </row>
    <row r="9" spans="1:27" ht="15.75" x14ac:dyDescent="0.25">
      <c r="B9" s="9"/>
      <c r="C9" t="s">
        <v>364</v>
      </c>
      <c r="D9" s="258" t="str">
        <f>'Change Log'!J6</f>
        <v>YES - 4</v>
      </c>
    </row>
    <row r="10" spans="1:27" ht="15.75" x14ac:dyDescent="0.25">
      <c r="B10" s="9"/>
    </row>
    <row r="11" spans="1:27" ht="15.75" x14ac:dyDescent="0.25">
      <c r="B11" s="9"/>
    </row>
    <row r="12" spans="1:27" ht="16.5" thickBot="1" x14ac:dyDescent="0.3">
      <c r="B12" s="9">
        <f ca="1">MAX(B$3:B11)+0.1</f>
        <v>7.1999999999999993</v>
      </c>
      <c r="C12" s="29" t="s">
        <v>365</v>
      </c>
      <c r="D12" s="29"/>
      <c r="E12" s="29"/>
      <c r="F12" s="29"/>
      <c r="G12" s="29"/>
      <c r="H12" s="29"/>
      <c r="I12" s="29"/>
      <c r="J12" s="29"/>
      <c r="K12" s="29"/>
      <c r="L12" s="29"/>
      <c r="M12" s="29"/>
      <c r="N12" s="29"/>
      <c r="O12" s="29"/>
      <c r="P12" s="29"/>
      <c r="Q12" s="29"/>
      <c r="R12" s="29"/>
      <c r="S12" s="29"/>
      <c r="T12" s="29"/>
      <c r="U12" s="29"/>
      <c r="V12" s="29"/>
      <c r="W12" s="29"/>
      <c r="X12" s="29"/>
      <c r="Y12" s="29"/>
      <c r="Z12" s="29"/>
      <c r="AA12" s="29"/>
    </row>
    <row r="13" spans="1:27" ht="15.75" x14ac:dyDescent="0.25">
      <c r="B13" s="9"/>
    </row>
    <row r="14" spans="1:27" ht="15.75" x14ac:dyDescent="0.25">
      <c r="B14" s="9"/>
      <c r="C14" s="55" t="s">
        <v>684</v>
      </c>
    </row>
    <row r="15" spans="1:27" ht="15.75" x14ac:dyDescent="0.25">
      <c r="B15" s="9"/>
      <c r="C15" s="24" t="s">
        <v>685</v>
      </c>
      <c r="D15" s="24">
        <f>COUNTA(Input_ForRateCalc[Cost item])-(COUNTIF(Input_ForRateCalc[Cost item],"*Ausnet*")*4)</f>
        <v>37</v>
      </c>
    </row>
    <row r="16" spans="1:27" ht="15.75" x14ac:dyDescent="0.25">
      <c r="B16" s="9"/>
      <c r="C16" s="24" t="s">
        <v>686</v>
      </c>
      <c r="D16" s="24"/>
    </row>
    <row r="17" spans="2:13" ht="15.75" x14ac:dyDescent="0.25">
      <c r="B17" s="9"/>
    </row>
    <row r="18" spans="2:13" ht="15.75" x14ac:dyDescent="0.25">
      <c r="B18" s="9"/>
      <c r="C18" s="30" t="s">
        <v>429</v>
      </c>
    </row>
    <row r="19" spans="2:13" ht="15.75" x14ac:dyDescent="0.25">
      <c r="B19" s="9"/>
      <c r="C19" s="55" t="s">
        <v>428</v>
      </c>
      <c r="D19" s="42" t="str">
        <f>Calc_Rates!$D$5</f>
        <v>VDO 2021 - Variation final</v>
      </c>
      <c r="E19" s="42" t="str">
        <f>Calc_Rates!$D$251</f>
        <v>VDO 2022 - Final</v>
      </c>
      <c r="K19" s="7"/>
      <c r="L19" s="7"/>
      <c r="M19" s="7"/>
    </row>
    <row r="20" spans="2:13" ht="15.75" x14ac:dyDescent="0.25">
      <c r="B20" s="9"/>
    </row>
    <row r="21" spans="2:13" ht="15.75" x14ac:dyDescent="0.25">
      <c r="B21" s="9"/>
      <c r="C21" s="127" t="s">
        <v>423</v>
      </c>
      <c r="D21" s="25">
        <f>Calc_Rates!D3</f>
        <v>0</v>
      </c>
      <c r="E21" s="25">
        <f>Calc_Rates!E3</f>
        <v>0</v>
      </c>
    </row>
    <row r="22" spans="2:13" ht="15.75" x14ac:dyDescent="0.25">
      <c r="B22" s="9"/>
    </row>
    <row r="23" spans="2:13" ht="15.75" x14ac:dyDescent="0.25">
      <c r="B23" s="9"/>
      <c r="C23" s="127" t="s">
        <v>661</v>
      </c>
      <c r="D23" s="25">
        <f>Calc_TU_rates!D3</f>
        <v>0</v>
      </c>
      <c r="E23" s="25">
        <f>Calc_TU_rates!E3</f>
        <v>0</v>
      </c>
    </row>
    <row r="24" spans="2:13" ht="15.75" x14ac:dyDescent="0.25">
      <c r="B24" s="9"/>
    </row>
    <row r="25" spans="2:13" ht="15.75" x14ac:dyDescent="0.25">
      <c r="B25" s="9"/>
      <c r="C25" s="127" t="s">
        <v>424</v>
      </c>
      <c r="D25" s="25">
        <f>OP_Rates!F3</f>
        <v>0</v>
      </c>
      <c r="E25" s="25">
        <f>OP_Rates!G3</f>
        <v>0</v>
      </c>
    </row>
    <row r="26" spans="2:13" ht="15.75" x14ac:dyDescent="0.25">
      <c r="B26" s="9"/>
    </row>
    <row r="27" spans="2:13" ht="15.75" x14ac:dyDescent="0.25">
      <c r="B27" s="9"/>
      <c r="C27" s="127" t="s">
        <v>425</v>
      </c>
      <c r="D27" s="25">
        <f>OP_CMAB!G3</f>
        <v>0</v>
      </c>
      <c r="E27" s="25">
        <f>OP_CMAB!H3</f>
        <v>0</v>
      </c>
    </row>
    <row r="28" spans="2:13" ht="15.75" x14ac:dyDescent="0.25">
      <c r="B28" s="9"/>
    </row>
    <row r="29" spans="2:13" ht="15.75" x14ac:dyDescent="0.25">
      <c r="B29" s="9"/>
      <c r="C29" s="127" t="s">
        <v>426</v>
      </c>
      <c r="D29" s="25">
        <f>CH_CostStack_RES!F3</f>
        <v>0</v>
      </c>
      <c r="E29" s="25">
        <f>CH_CostStack_RES!G3</f>
        <v>0</v>
      </c>
    </row>
    <row r="30" spans="2:13" ht="15.75" x14ac:dyDescent="0.25">
      <c r="B30" s="9"/>
    </row>
    <row r="31" spans="2:13" ht="15.75" x14ac:dyDescent="0.25">
      <c r="B31" s="9"/>
      <c r="C31" s="127" t="s">
        <v>427</v>
      </c>
      <c r="D31" s="25">
        <f>CH_CostStack_SME!F3</f>
        <v>0</v>
      </c>
      <c r="E31" s="25">
        <f>CH_CostStack_SME!G3</f>
        <v>0</v>
      </c>
    </row>
    <row r="32" spans="2:13" ht="15.75" x14ac:dyDescent="0.25">
      <c r="B32" s="9"/>
    </row>
  </sheetData>
  <mergeCells count="1">
    <mergeCell ref="A2:A3"/>
  </mergeCells>
  <hyperlinks>
    <hyperlink ref="C21" location="Calc_Rates!A1" display="Calc_Rates" xr:uid="{58E1B6BE-996C-4E70-83A8-6EAE4ABCB5E9}"/>
    <hyperlink ref="C25" location="OP_Rates!A1" display="OP_Rates" xr:uid="{812C77A3-8D40-4364-B4F3-05F58B955B54}"/>
    <hyperlink ref="C27" location="OP_CMAB!A1" display="OP_CMAB!A1" xr:uid="{D00A6EE8-9FC4-4D36-AE48-BFB336B93354}"/>
    <hyperlink ref="C29" location="OP_CostStack_RES!A1" display="OP_CostStack_RES!A1" xr:uid="{EA4061F9-F92A-4772-9729-EE548DBE454D}"/>
    <hyperlink ref="C31" location="OP_CostStack_SME!A1" display="OP_CostStack_SME!A1" xr:uid="{7F11B3A9-AEB0-4EBE-80DF-A66F6FF2FAEB}"/>
    <hyperlink ref="C23" location="Calc_TU_rates!A1" display="Calc_TU_rates" xr:uid="{6A1F5FCD-B43C-449E-BE33-59CB84A4C0B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6DC8E-AE30-42D6-8AE9-E530798E25EB}">
  <sheetPr codeName="Sheet17">
    <tabColor rgb="FF4986A0"/>
  </sheetPr>
  <dimension ref="A1:Y333"/>
  <sheetViews>
    <sheetView showGridLines="0" topLeftCell="B1" zoomScale="70" zoomScaleNormal="70" workbookViewId="0">
      <pane ySplit="33" topLeftCell="A34" activePane="bottomLeft" state="frozen"/>
      <selection activeCell="B1" sqref="B1"/>
      <selection pane="bottomLeft" activeCell="H62" sqref="H62"/>
    </sheetView>
  </sheetViews>
  <sheetFormatPr defaultColWidth="9.140625" defaultRowHeight="15" outlineLevelCol="1" x14ac:dyDescent="0.25"/>
  <cols>
    <col min="1" max="1" width="100.7109375" hidden="1" customWidth="1" outlineLevel="1"/>
    <col min="2" max="2" width="10.7109375" style="6" customWidth="1" collapsed="1"/>
    <col min="3" max="3" width="15.85546875" customWidth="1"/>
    <col min="4" max="4" width="20.7109375" customWidth="1"/>
    <col min="5" max="5" width="20.7109375" style="20" customWidth="1"/>
    <col min="6" max="8" width="20.7109375" customWidth="1"/>
    <col min="9" max="10" width="77.42578125" style="177" customWidth="1"/>
    <col min="11" max="11" width="5.7109375" customWidth="1"/>
    <col min="12" max="15" width="20.7109375" style="138" customWidth="1"/>
    <col min="16" max="16" width="50.5703125" style="177" customWidth="1"/>
    <col min="17" max="17" width="10.7109375" customWidth="1"/>
    <col min="18" max="18" width="9.140625" customWidth="1"/>
  </cols>
  <sheetData>
    <row r="1" spans="1:25" s="4" customFormat="1" ht="15" customHeight="1" x14ac:dyDescent="0.25">
      <c r="A1" s="1" t="s">
        <v>27</v>
      </c>
      <c r="B1" s="22"/>
      <c r="C1" s="23"/>
      <c r="D1" s="23"/>
      <c r="E1" s="250"/>
      <c r="F1" s="23"/>
      <c r="G1" s="23"/>
      <c r="H1" s="23"/>
      <c r="I1" s="246"/>
      <c r="J1" s="246"/>
      <c r="K1" s="23"/>
      <c r="L1" s="255"/>
      <c r="M1" s="255"/>
      <c r="N1" s="255"/>
      <c r="O1" s="255"/>
      <c r="P1" s="246"/>
      <c r="Q1" s="23"/>
      <c r="R1" s="23"/>
      <c r="S1" s="23"/>
      <c r="T1" s="23"/>
      <c r="U1" s="23"/>
      <c r="V1" s="23"/>
      <c r="W1" s="23"/>
      <c r="X1" s="23"/>
      <c r="Y1" s="23"/>
    </row>
    <row r="2" spans="1:25" s="4" customFormat="1" ht="50.1" customHeight="1" x14ac:dyDescent="0.25">
      <c r="A2" s="293" t="s">
        <v>28</v>
      </c>
      <c r="B2" s="26"/>
      <c r="C2" s="26" t="str">
        <f>Disclaimer!$B$1</f>
        <v>VDO calculation model</v>
      </c>
      <c r="D2" s="26"/>
      <c r="E2" s="251"/>
      <c r="F2" s="26"/>
      <c r="G2" s="26"/>
      <c r="H2" s="26"/>
      <c r="I2" s="247"/>
      <c r="J2" s="247"/>
      <c r="K2" s="26"/>
      <c r="L2" s="31"/>
      <c r="M2" s="31"/>
      <c r="N2" s="31"/>
      <c r="O2" s="31"/>
      <c r="P2" s="247"/>
      <c r="Q2" s="26"/>
      <c r="R2" s="26"/>
      <c r="S2" s="26"/>
      <c r="T2" s="26"/>
      <c r="U2" s="26"/>
      <c r="V2" s="26"/>
      <c r="W2" s="26"/>
      <c r="X2" s="26"/>
      <c r="Y2" s="26"/>
    </row>
    <row r="3" spans="1:25" ht="30" customHeight="1" x14ac:dyDescent="0.25">
      <c r="A3" s="293"/>
      <c r="B3" s="28">
        <f ca="1">_xlfn.SHEET()</f>
        <v>8</v>
      </c>
      <c r="C3" s="27" t="s">
        <v>366</v>
      </c>
      <c r="D3" s="27"/>
      <c r="E3" s="252"/>
      <c r="F3" s="27"/>
      <c r="G3" s="27"/>
      <c r="H3" s="27"/>
      <c r="I3" s="248"/>
      <c r="J3" s="248"/>
      <c r="K3" s="27"/>
      <c r="L3" s="28"/>
      <c r="M3" s="28"/>
      <c r="N3" s="28"/>
      <c r="O3" s="28"/>
      <c r="P3" s="248"/>
      <c r="Q3" s="27"/>
      <c r="R3" s="27"/>
      <c r="S3" s="27"/>
      <c r="T3" s="27"/>
      <c r="U3" s="27"/>
      <c r="V3" s="27"/>
      <c r="W3" s="27"/>
      <c r="X3" s="27"/>
      <c r="Y3" s="27"/>
    </row>
    <row r="4" spans="1:25" ht="15.75" x14ac:dyDescent="0.25">
      <c r="B4" s="9"/>
      <c r="C4" s="36" t="s">
        <v>367</v>
      </c>
    </row>
    <row r="5" spans="1:25" ht="15.75" x14ac:dyDescent="0.25">
      <c r="B5" s="9"/>
      <c r="C5" s="138">
        <v>1</v>
      </c>
      <c r="D5" s="245" t="s">
        <v>676</v>
      </c>
      <c r="J5" s="55" t="s">
        <v>368</v>
      </c>
      <c r="K5" s="138"/>
    </row>
    <row r="6" spans="1:25" ht="15.75" x14ac:dyDescent="0.25">
      <c r="B6" s="9"/>
      <c r="C6" s="138">
        <v>2</v>
      </c>
      <c r="D6" s="245" t="s">
        <v>677</v>
      </c>
      <c r="J6" s="259" t="str">
        <f>IF(COUNTA(D34:D1048576)=COUNTA(L34:L1048576),0,"YES - "&amp;COUNTA(D34:D1048576)-COUNTA(L34:L1048576))</f>
        <v>YES - 4</v>
      </c>
    </row>
    <row r="7" spans="1:25" ht="15.75" x14ac:dyDescent="0.25">
      <c r="B7" s="9"/>
      <c r="C7" s="138">
        <v>3</v>
      </c>
      <c r="D7" s="245" t="s">
        <v>678</v>
      </c>
    </row>
    <row r="8" spans="1:25" ht="15.75" x14ac:dyDescent="0.25">
      <c r="B8" s="9"/>
      <c r="C8" s="138">
        <v>4</v>
      </c>
      <c r="D8" s="245" t="s">
        <v>663</v>
      </c>
    </row>
    <row r="9" spans="1:25" ht="15.75" x14ac:dyDescent="0.25">
      <c r="B9" s="9"/>
    </row>
    <row r="10" spans="1:25" ht="16.5" thickBot="1" x14ac:dyDescent="0.3">
      <c r="B10" s="9">
        <f ca="1">MAX(B$3:B9)+0.1</f>
        <v>8.1</v>
      </c>
      <c r="C10" s="29" t="s">
        <v>673</v>
      </c>
      <c r="D10" s="29"/>
      <c r="E10" s="253"/>
      <c r="F10" s="29"/>
      <c r="G10" s="29"/>
      <c r="H10" s="29"/>
      <c r="I10" s="249"/>
      <c r="J10" s="249"/>
      <c r="K10" s="29"/>
      <c r="L10" s="256"/>
      <c r="M10" s="256"/>
      <c r="N10" s="256"/>
      <c r="O10" s="256"/>
      <c r="P10" s="249"/>
    </row>
    <row r="11" spans="1:25" ht="15.75" x14ac:dyDescent="0.25">
      <c r="B11" s="9"/>
    </row>
    <row r="12" spans="1:25" ht="15.75" x14ac:dyDescent="0.25">
      <c r="B12" s="9"/>
      <c r="C12" s="43" t="s">
        <v>369</v>
      </c>
      <c r="D12" s="43" t="s">
        <v>370</v>
      </c>
      <c r="E12" s="43" t="s">
        <v>261</v>
      </c>
      <c r="F12" s="55" t="s">
        <v>371</v>
      </c>
      <c r="G12" s="55" t="s">
        <v>372</v>
      </c>
      <c r="H12" s="55" t="s">
        <v>3</v>
      </c>
      <c r="I12" s="55" t="s">
        <v>373</v>
      </c>
      <c r="J12" s="55" t="s">
        <v>374</v>
      </c>
      <c r="L12" s="55" t="s">
        <v>683</v>
      </c>
    </row>
    <row r="13" spans="1:25" ht="15.75" x14ac:dyDescent="0.25">
      <c r="B13" s="9"/>
      <c r="C13" s="18">
        <v>1</v>
      </c>
      <c r="D13" s="105"/>
      <c r="E13" s="254"/>
      <c r="F13" s="98"/>
      <c r="G13" s="98"/>
      <c r="H13" s="98"/>
      <c r="I13" s="37"/>
      <c r="J13" s="37"/>
      <c r="L13" s="37" t="str">
        <f>IF(ISBLANK(D13),"-",IF(ISNUMBER(MATCH(I13,$I$34:$I$333,0)),"Yes","No"))</f>
        <v>-</v>
      </c>
    </row>
    <row r="14" spans="1:25" ht="15.75" x14ac:dyDescent="0.25">
      <c r="B14" s="9"/>
      <c r="C14" s="18">
        <v>2</v>
      </c>
      <c r="D14" s="105"/>
      <c r="E14" s="254"/>
      <c r="F14" s="98"/>
      <c r="G14" s="98"/>
      <c r="H14" s="98"/>
      <c r="I14" s="37"/>
      <c r="J14" s="37"/>
      <c r="L14" s="37" t="str">
        <f t="shared" ref="L14:L27" si="0">IF(ISBLANK(D14),"-",IF(ISNUMBER(MATCH(I14,$I$34:$I$333,0)),"Yes","No"))</f>
        <v>-</v>
      </c>
    </row>
    <row r="15" spans="1:25" ht="15.75" x14ac:dyDescent="0.25">
      <c r="B15" s="9"/>
      <c r="C15" s="18">
        <v>3</v>
      </c>
      <c r="D15" s="105"/>
      <c r="E15" s="254"/>
      <c r="F15" s="98"/>
      <c r="G15" s="98"/>
      <c r="H15" s="98"/>
      <c r="I15" s="37"/>
      <c r="J15" s="37"/>
      <c r="L15" s="37" t="str">
        <f t="shared" si="0"/>
        <v>-</v>
      </c>
    </row>
    <row r="16" spans="1:25" ht="15.75" x14ac:dyDescent="0.25">
      <c r="B16" s="9"/>
      <c r="C16" s="18">
        <v>4</v>
      </c>
      <c r="D16" s="105"/>
      <c r="E16" s="254"/>
      <c r="F16" s="98"/>
      <c r="G16" s="98"/>
      <c r="H16" s="98"/>
      <c r="I16" s="37"/>
      <c r="J16" s="37"/>
      <c r="L16" s="37" t="str">
        <f t="shared" si="0"/>
        <v>-</v>
      </c>
    </row>
    <row r="17" spans="2:16" ht="15.75" x14ac:dyDescent="0.25">
      <c r="B17" s="9"/>
      <c r="C17" s="18">
        <v>5</v>
      </c>
      <c r="D17" s="105"/>
      <c r="E17" s="254"/>
      <c r="F17" s="98"/>
      <c r="G17" s="98"/>
      <c r="H17" s="98"/>
      <c r="I17" s="37"/>
      <c r="J17" s="37"/>
      <c r="L17" s="37" t="str">
        <f t="shared" si="0"/>
        <v>-</v>
      </c>
    </row>
    <row r="18" spans="2:16" ht="15.75" x14ac:dyDescent="0.25">
      <c r="B18" s="9"/>
      <c r="C18" s="18">
        <v>6</v>
      </c>
      <c r="D18" s="105"/>
      <c r="E18" s="254"/>
      <c r="F18" s="98"/>
      <c r="G18" s="98"/>
      <c r="H18" s="98"/>
      <c r="I18" s="37"/>
      <c r="J18" s="37"/>
      <c r="L18" s="37" t="str">
        <f t="shared" si="0"/>
        <v>-</v>
      </c>
    </row>
    <row r="19" spans="2:16" ht="15.75" x14ac:dyDescent="0.25">
      <c r="B19" s="9"/>
      <c r="C19" s="18">
        <v>7</v>
      </c>
      <c r="D19" s="105"/>
      <c r="E19" s="254"/>
      <c r="F19" s="98"/>
      <c r="G19" s="98"/>
      <c r="H19" s="98"/>
      <c r="I19" s="37"/>
      <c r="J19" s="37"/>
      <c r="L19" s="37" t="str">
        <f t="shared" si="0"/>
        <v>-</v>
      </c>
    </row>
    <row r="20" spans="2:16" ht="15.75" x14ac:dyDescent="0.25">
      <c r="B20" s="9"/>
      <c r="C20" s="18">
        <v>8</v>
      </c>
      <c r="D20" s="105"/>
      <c r="E20" s="254"/>
      <c r="F20" s="98"/>
      <c r="G20" s="98"/>
      <c r="H20" s="98"/>
      <c r="I20" s="37"/>
      <c r="J20" s="37"/>
      <c r="L20" s="37" t="str">
        <f t="shared" si="0"/>
        <v>-</v>
      </c>
    </row>
    <row r="21" spans="2:16" ht="15.75" x14ac:dyDescent="0.25">
      <c r="B21" s="9"/>
      <c r="C21" s="18">
        <v>9</v>
      </c>
      <c r="D21" s="105"/>
      <c r="E21" s="254"/>
      <c r="F21" s="98"/>
      <c r="G21" s="98"/>
      <c r="H21" s="98"/>
      <c r="I21" s="37"/>
      <c r="J21" s="37"/>
      <c r="L21" s="37" t="str">
        <f t="shared" si="0"/>
        <v>-</v>
      </c>
    </row>
    <row r="22" spans="2:16" ht="15.75" x14ac:dyDescent="0.25">
      <c r="B22" s="9"/>
      <c r="C22" s="18">
        <v>10</v>
      </c>
      <c r="D22" s="105"/>
      <c r="E22" s="254"/>
      <c r="F22" s="98"/>
      <c r="G22" s="98"/>
      <c r="H22" s="98"/>
      <c r="I22" s="37"/>
      <c r="J22" s="37"/>
      <c r="L22" s="37" t="str">
        <f t="shared" si="0"/>
        <v>-</v>
      </c>
    </row>
    <row r="23" spans="2:16" ht="15.75" x14ac:dyDescent="0.25">
      <c r="B23" s="9"/>
      <c r="C23" s="18">
        <v>11</v>
      </c>
      <c r="D23" s="105"/>
      <c r="E23" s="254"/>
      <c r="F23" s="98"/>
      <c r="G23" s="98"/>
      <c r="H23" s="98"/>
      <c r="I23" s="37"/>
      <c r="J23" s="37"/>
      <c r="L23" s="37" t="str">
        <f t="shared" si="0"/>
        <v>-</v>
      </c>
    </row>
    <row r="24" spans="2:16" ht="15.75" x14ac:dyDescent="0.25">
      <c r="B24" s="9"/>
      <c r="C24" s="18">
        <v>12</v>
      </c>
      <c r="D24" s="105"/>
      <c r="E24" s="254"/>
      <c r="F24" s="98"/>
      <c r="G24" s="98"/>
      <c r="H24" s="98"/>
      <c r="I24" s="37"/>
      <c r="J24" s="37"/>
      <c r="L24" s="37" t="str">
        <f t="shared" si="0"/>
        <v>-</v>
      </c>
    </row>
    <row r="25" spans="2:16" ht="15.75" x14ac:dyDescent="0.25">
      <c r="B25" s="9"/>
      <c r="C25" s="18">
        <v>13</v>
      </c>
      <c r="D25" s="105"/>
      <c r="E25" s="254"/>
      <c r="F25" s="98"/>
      <c r="G25" s="98"/>
      <c r="H25" s="98"/>
      <c r="I25" s="37"/>
      <c r="J25" s="37"/>
      <c r="L25" s="37" t="str">
        <f t="shared" si="0"/>
        <v>-</v>
      </c>
    </row>
    <row r="26" spans="2:16" ht="15.75" x14ac:dyDescent="0.25">
      <c r="B26" s="9"/>
      <c r="C26" s="18">
        <v>14</v>
      </c>
      <c r="D26" s="105"/>
      <c r="E26" s="254"/>
      <c r="F26" s="98"/>
      <c r="G26" s="98"/>
      <c r="H26" s="98"/>
      <c r="I26" s="37"/>
      <c r="J26" s="37"/>
      <c r="L26" s="37" t="str">
        <f t="shared" si="0"/>
        <v>-</v>
      </c>
    </row>
    <row r="27" spans="2:16" ht="15.75" x14ac:dyDescent="0.25">
      <c r="B27" s="9"/>
      <c r="C27" s="18">
        <v>15</v>
      </c>
      <c r="D27" s="105"/>
      <c r="E27" s="254"/>
      <c r="F27" s="98"/>
      <c r="G27" s="98"/>
      <c r="H27" s="98"/>
      <c r="I27" s="37"/>
      <c r="J27" s="37"/>
      <c r="L27" s="37" t="str">
        <f t="shared" si="0"/>
        <v>-</v>
      </c>
    </row>
    <row r="28" spans="2:16" ht="15.75" x14ac:dyDescent="0.25">
      <c r="B28" s="9"/>
    </row>
    <row r="29" spans="2:16" ht="15.75" x14ac:dyDescent="0.25">
      <c r="B29" s="9"/>
    </row>
    <row r="30" spans="2:16" ht="15.75" x14ac:dyDescent="0.25">
      <c r="B30" s="9"/>
    </row>
    <row r="31" spans="2:16" ht="16.5" thickBot="1" x14ac:dyDescent="0.3">
      <c r="B31" s="9">
        <f ca="1">MAX(B$3:B30)+0.1</f>
        <v>8.1999999999999993</v>
      </c>
      <c r="C31" s="29" t="s">
        <v>363</v>
      </c>
      <c r="D31" s="29"/>
      <c r="E31" s="253"/>
      <c r="F31" s="29"/>
      <c r="G31" s="29"/>
      <c r="H31" s="29"/>
      <c r="I31" s="249"/>
      <c r="J31" s="249"/>
      <c r="K31" s="29"/>
      <c r="L31" s="256" t="s">
        <v>662</v>
      </c>
      <c r="M31" s="256"/>
      <c r="N31" s="256"/>
      <c r="O31" s="256"/>
      <c r="P31" s="249"/>
    </row>
    <row r="32" spans="2:16" ht="15.75" x14ac:dyDescent="0.25">
      <c r="B32" s="9"/>
    </row>
    <row r="33" spans="2:16" ht="15.75" x14ac:dyDescent="0.25">
      <c r="B33" s="9"/>
      <c r="C33" s="43" t="s">
        <v>369</v>
      </c>
      <c r="D33" s="43" t="s">
        <v>370</v>
      </c>
      <c r="E33" s="43" t="s">
        <v>261</v>
      </c>
      <c r="F33" s="55" t="s">
        <v>371</v>
      </c>
      <c r="G33" s="55" t="s">
        <v>372</v>
      </c>
      <c r="H33" s="55" t="s">
        <v>3</v>
      </c>
      <c r="I33" s="55" t="s">
        <v>373</v>
      </c>
      <c r="J33" s="55" t="s">
        <v>26</v>
      </c>
      <c r="L33" s="129" t="s">
        <v>375</v>
      </c>
      <c r="M33" s="129" t="s">
        <v>261</v>
      </c>
      <c r="N33" s="129" t="s">
        <v>376</v>
      </c>
      <c r="O33" s="129" t="s">
        <v>377</v>
      </c>
      <c r="P33" s="55" t="s">
        <v>740</v>
      </c>
    </row>
    <row r="34" spans="2:16" x14ac:dyDescent="0.25">
      <c r="C34" s="18">
        <v>1</v>
      </c>
      <c r="D34" s="105">
        <v>1.7</v>
      </c>
      <c r="E34" s="254">
        <v>44493</v>
      </c>
      <c r="F34" s="98" t="s">
        <v>664</v>
      </c>
      <c r="G34" s="98" t="s">
        <v>665</v>
      </c>
      <c r="H34" s="98" t="s">
        <v>423</v>
      </c>
      <c r="I34" s="37" t="s">
        <v>667</v>
      </c>
      <c r="J34" s="37" t="s">
        <v>666</v>
      </c>
      <c r="L34" s="105" t="s">
        <v>570</v>
      </c>
      <c r="M34" s="257">
        <v>44494</v>
      </c>
      <c r="N34" s="105" t="s">
        <v>687</v>
      </c>
      <c r="O34" s="105">
        <v>1.7</v>
      </c>
      <c r="P34" s="98"/>
    </row>
    <row r="35" spans="2:16" x14ac:dyDescent="0.25">
      <c r="C35" s="18">
        <v>2</v>
      </c>
      <c r="D35" s="105">
        <v>1.7</v>
      </c>
      <c r="E35" s="254">
        <v>44493</v>
      </c>
      <c r="F35" s="98" t="s">
        <v>664</v>
      </c>
      <c r="G35" s="98" t="s">
        <v>668</v>
      </c>
      <c r="H35" s="98" t="s">
        <v>423</v>
      </c>
      <c r="I35" s="37" t="s">
        <v>667</v>
      </c>
      <c r="J35" s="37" t="s">
        <v>666</v>
      </c>
      <c r="L35" s="105" t="s">
        <v>570</v>
      </c>
      <c r="M35" s="257">
        <v>44494</v>
      </c>
      <c r="N35" s="105" t="s">
        <v>687</v>
      </c>
      <c r="O35" s="105">
        <v>1.7</v>
      </c>
      <c r="P35" s="98"/>
    </row>
    <row r="36" spans="2:16" ht="30" x14ac:dyDescent="0.25">
      <c r="C36" s="18">
        <v>3</v>
      </c>
      <c r="D36" s="105">
        <v>1.7</v>
      </c>
      <c r="E36" s="254">
        <v>44493</v>
      </c>
      <c r="F36" s="98" t="s">
        <v>664</v>
      </c>
      <c r="G36" s="98" t="s">
        <v>670</v>
      </c>
      <c r="H36" s="98" t="s">
        <v>423</v>
      </c>
      <c r="I36" s="37" t="s">
        <v>671</v>
      </c>
      <c r="J36" s="37" t="s">
        <v>672</v>
      </c>
      <c r="L36" s="105" t="s">
        <v>570</v>
      </c>
      <c r="M36" s="257">
        <v>44494</v>
      </c>
      <c r="N36" s="105" t="s">
        <v>687</v>
      </c>
      <c r="O36" s="105">
        <v>1.7</v>
      </c>
      <c r="P36" s="98"/>
    </row>
    <row r="37" spans="2:16" ht="30" x14ac:dyDescent="0.25">
      <c r="C37" s="18">
        <v>4</v>
      </c>
      <c r="D37" s="105">
        <v>1.7</v>
      </c>
      <c r="E37" s="254">
        <v>44493</v>
      </c>
      <c r="F37" s="98" t="s">
        <v>664</v>
      </c>
      <c r="G37" s="98" t="s">
        <v>669</v>
      </c>
      <c r="H37" s="98" t="s">
        <v>423</v>
      </c>
      <c r="I37" s="37" t="s">
        <v>671</v>
      </c>
      <c r="J37" s="37" t="s">
        <v>672</v>
      </c>
      <c r="L37" s="105" t="s">
        <v>570</v>
      </c>
      <c r="M37" s="257">
        <v>44494</v>
      </c>
      <c r="N37" s="105" t="s">
        <v>687</v>
      </c>
      <c r="O37" s="105">
        <v>1.7</v>
      </c>
      <c r="P37" s="98"/>
    </row>
    <row r="38" spans="2:16" x14ac:dyDescent="0.25">
      <c r="C38" s="18">
        <v>5</v>
      </c>
      <c r="D38" s="105">
        <v>1.7</v>
      </c>
      <c r="E38" s="254">
        <v>44494</v>
      </c>
      <c r="F38" s="98" t="s">
        <v>687</v>
      </c>
      <c r="G38" s="98" t="s">
        <v>688</v>
      </c>
      <c r="H38" s="98" t="s">
        <v>52</v>
      </c>
      <c r="I38" s="37" t="s">
        <v>689</v>
      </c>
      <c r="J38" s="37" t="s">
        <v>690</v>
      </c>
      <c r="L38" s="105" t="s">
        <v>570</v>
      </c>
      <c r="M38" s="257">
        <v>44494</v>
      </c>
      <c r="N38" s="105" t="s">
        <v>664</v>
      </c>
      <c r="O38" s="105">
        <v>1.7</v>
      </c>
      <c r="P38" s="98"/>
    </row>
    <row r="39" spans="2:16" x14ac:dyDescent="0.25">
      <c r="C39" s="18">
        <v>6</v>
      </c>
      <c r="D39" s="105">
        <v>1.7</v>
      </c>
      <c r="E39" s="254">
        <v>44494</v>
      </c>
      <c r="F39" s="98" t="s">
        <v>687</v>
      </c>
      <c r="G39" s="98" t="s">
        <v>720</v>
      </c>
      <c r="H39" s="98" t="s">
        <v>12</v>
      </c>
      <c r="I39" s="37" t="s">
        <v>694</v>
      </c>
      <c r="J39" s="37" t="s">
        <v>695</v>
      </c>
      <c r="L39" s="105" t="s">
        <v>570</v>
      </c>
      <c r="M39" s="257">
        <v>44495</v>
      </c>
      <c r="N39" s="105" t="s">
        <v>664</v>
      </c>
      <c r="O39" s="105">
        <v>1.7</v>
      </c>
      <c r="P39" s="98"/>
    </row>
    <row r="40" spans="2:16" ht="30" x14ac:dyDescent="0.25">
      <c r="C40" s="18">
        <v>7</v>
      </c>
      <c r="D40" s="105">
        <v>1.7</v>
      </c>
      <c r="E40" s="254">
        <v>44494</v>
      </c>
      <c r="F40" s="98" t="s">
        <v>664</v>
      </c>
      <c r="G40" s="98" t="s">
        <v>674</v>
      </c>
      <c r="H40" s="98" t="s">
        <v>52</v>
      </c>
      <c r="I40" s="37" t="s">
        <v>675</v>
      </c>
      <c r="J40" s="37" t="s">
        <v>708</v>
      </c>
      <c r="L40" s="105" t="s">
        <v>570</v>
      </c>
      <c r="M40" s="257">
        <v>44496</v>
      </c>
      <c r="N40" s="105" t="s">
        <v>687</v>
      </c>
      <c r="O40" s="105">
        <v>1.7</v>
      </c>
      <c r="P40" s="98"/>
    </row>
    <row r="41" spans="2:16" x14ac:dyDescent="0.25">
      <c r="C41" s="18">
        <v>8</v>
      </c>
      <c r="D41" s="105">
        <v>1.7</v>
      </c>
      <c r="E41" s="254">
        <v>44495</v>
      </c>
      <c r="F41" s="98" t="s">
        <v>664</v>
      </c>
      <c r="G41" s="98" t="s">
        <v>714</v>
      </c>
      <c r="H41" s="98" t="s">
        <v>52</v>
      </c>
      <c r="I41" s="37" t="s">
        <v>713</v>
      </c>
      <c r="J41" s="37" t="s">
        <v>715</v>
      </c>
      <c r="L41" s="105" t="s">
        <v>570</v>
      </c>
      <c r="M41" s="257">
        <v>44496</v>
      </c>
      <c r="N41" s="105" t="s">
        <v>687</v>
      </c>
      <c r="O41" s="105">
        <v>1.7</v>
      </c>
      <c r="P41" s="98"/>
    </row>
    <row r="42" spans="2:16" ht="30" x14ac:dyDescent="0.25">
      <c r="C42" s="18">
        <v>9</v>
      </c>
      <c r="D42" s="105">
        <v>1.7</v>
      </c>
      <c r="E42" s="254">
        <v>44496</v>
      </c>
      <c r="F42" s="98" t="s">
        <v>664</v>
      </c>
      <c r="G42" s="98" t="s">
        <v>709</v>
      </c>
      <c r="H42" s="98" t="s">
        <v>710</v>
      </c>
      <c r="I42" s="37" t="s">
        <v>711</v>
      </c>
      <c r="J42" s="37" t="s">
        <v>712</v>
      </c>
      <c r="L42" s="105" t="s">
        <v>570</v>
      </c>
      <c r="M42" s="257">
        <v>44496</v>
      </c>
      <c r="N42" s="105" t="s">
        <v>687</v>
      </c>
      <c r="O42" s="105">
        <v>1.7</v>
      </c>
      <c r="P42" s="98"/>
    </row>
    <row r="43" spans="2:16" x14ac:dyDescent="0.25">
      <c r="C43" s="18">
        <v>10</v>
      </c>
      <c r="D43" s="105">
        <v>1.7</v>
      </c>
      <c r="E43" s="254">
        <v>44496</v>
      </c>
      <c r="F43" s="98" t="s">
        <v>687</v>
      </c>
      <c r="G43" s="98" t="s">
        <v>721</v>
      </c>
      <c r="H43" s="98" t="s">
        <v>52</v>
      </c>
      <c r="I43" s="37" t="s">
        <v>734</v>
      </c>
      <c r="J43" s="37" t="s">
        <v>730</v>
      </c>
      <c r="L43" s="105" t="s">
        <v>570</v>
      </c>
      <c r="M43" s="257">
        <v>44496</v>
      </c>
      <c r="N43" s="105" t="s">
        <v>664</v>
      </c>
      <c r="O43" s="105">
        <v>1.7</v>
      </c>
      <c r="P43" s="98"/>
    </row>
    <row r="44" spans="2:16" x14ac:dyDescent="0.25">
      <c r="C44" s="18">
        <v>11</v>
      </c>
      <c r="D44" s="105">
        <v>1.7</v>
      </c>
      <c r="E44" s="254">
        <v>44496</v>
      </c>
      <c r="F44" s="98" t="s">
        <v>687</v>
      </c>
      <c r="G44" s="98" t="s">
        <v>724</v>
      </c>
      <c r="H44" s="98" t="s">
        <v>722</v>
      </c>
      <c r="I44" s="37" t="s">
        <v>734</v>
      </c>
      <c r="J44" s="37" t="s">
        <v>732</v>
      </c>
      <c r="L44" s="105" t="s">
        <v>570</v>
      </c>
      <c r="M44" s="257">
        <v>44498</v>
      </c>
      <c r="N44" s="105" t="s">
        <v>664</v>
      </c>
      <c r="O44" s="105">
        <v>1.7</v>
      </c>
      <c r="P44" s="98"/>
    </row>
    <row r="45" spans="2:16" x14ac:dyDescent="0.25">
      <c r="C45" s="18">
        <v>12</v>
      </c>
      <c r="D45" s="105">
        <v>1.7</v>
      </c>
      <c r="E45" s="254">
        <v>44496</v>
      </c>
      <c r="F45" s="98" t="s">
        <v>687</v>
      </c>
      <c r="G45" s="98" t="s">
        <v>725</v>
      </c>
      <c r="H45" s="98" t="s">
        <v>722</v>
      </c>
      <c r="I45" s="37" t="s">
        <v>734</v>
      </c>
      <c r="J45" s="37" t="s">
        <v>733</v>
      </c>
      <c r="L45" s="105" t="s">
        <v>570</v>
      </c>
      <c r="M45" s="257">
        <v>44498</v>
      </c>
      <c r="N45" s="105" t="s">
        <v>664</v>
      </c>
      <c r="O45" s="105">
        <v>1.7</v>
      </c>
      <c r="P45" s="98"/>
    </row>
    <row r="46" spans="2:16" x14ac:dyDescent="0.25">
      <c r="C46" s="18">
        <v>13</v>
      </c>
      <c r="D46" s="105">
        <v>1.7</v>
      </c>
      <c r="E46" s="254">
        <v>44496</v>
      </c>
      <c r="F46" s="98" t="s">
        <v>687</v>
      </c>
      <c r="G46" s="98" t="s">
        <v>726</v>
      </c>
      <c r="H46" s="98" t="s">
        <v>661</v>
      </c>
      <c r="I46" s="37" t="s">
        <v>734</v>
      </c>
      <c r="J46" s="37" t="s">
        <v>731</v>
      </c>
      <c r="L46" s="105" t="s">
        <v>570</v>
      </c>
      <c r="M46" s="257">
        <v>44498</v>
      </c>
      <c r="N46" s="105" t="s">
        <v>664</v>
      </c>
      <c r="O46" s="105">
        <v>1.7</v>
      </c>
      <c r="P46" s="98"/>
    </row>
    <row r="47" spans="2:16" x14ac:dyDescent="0.25">
      <c r="C47" s="18">
        <v>14</v>
      </c>
      <c r="D47" s="105">
        <v>1.7</v>
      </c>
      <c r="E47" s="254">
        <v>44496</v>
      </c>
      <c r="F47" s="98" t="s">
        <v>687</v>
      </c>
      <c r="G47" s="98" t="s">
        <v>729</v>
      </c>
      <c r="H47" s="98" t="s">
        <v>661</v>
      </c>
      <c r="I47" s="37" t="s">
        <v>734</v>
      </c>
      <c r="J47" s="37" t="s">
        <v>733</v>
      </c>
      <c r="L47" s="105" t="s">
        <v>570</v>
      </c>
      <c r="M47" s="257">
        <v>44498</v>
      </c>
      <c r="N47" s="105" t="s">
        <v>664</v>
      </c>
      <c r="O47" s="105">
        <v>1.7</v>
      </c>
      <c r="P47" s="98"/>
    </row>
    <row r="48" spans="2:16" x14ac:dyDescent="0.25">
      <c r="C48" s="18">
        <v>15</v>
      </c>
      <c r="D48" s="105">
        <v>1.7</v>
      </c>
      <c r="E48" s="254">
        <v>44493</v>
      </c>
      <c r="F48" s="98" t="s">
        <v>664</v>
      </c>
      <c r="G48" s="98" t="s">
        <v>681</v>
      </c>
      <c r="H48" s="98" t="s">
        <v>258</v>
      </c>
      <c r="I48" s="37" t="s">
        <v>682</v>
      </c>
      <c r="J48" s="37" t="s">
        <v>736</v>
      </c>
      <c r="L48" s="105"/>
      <c r="M48" s="105"/>
      <c r="N48" s="105"/>
      <c r="O48" s="105"/>
      <c r="P48" s="98"/>
    </row>
    <row r="49" spans="3:16" x14ac:dyDescent="0.25">
      <c r="C49" s="18">
        <v>16</v>
      </c>
      <c r="D49" s="105">
        <v>1.7</v>
      </c>
      <c r="E49" s="254">
        <v>44503</v>
      </c>
      <c r="F49" s="98" t="s">
        <v>664</v>
      </c>
      <c r="G49" s="98" t="s">
        <v>750</v>
      </c>
      <c r="H49" s="98" t="s">
        <v>258</v>
      </c>
      <c r="I49" s="37" t="s">
        <v>752</v>
      </c>
      <c r="J49" s="37" t="s">
        <v>753</v>
      </c>
      <c r="L49" s="105"/>
      <c r="M49" s="105"/>
      <c r="N49" s="105"/>
      <c r="O49" s="105"/>
      <c r="P49" s="98"/>
    </row>
    <row r="50" spans="3:16" ht="30" x14ac:dyDescent="0.25">
      <c r="C50" s="18">
        <v>17</v>
      </c>
      <c r="D50" s="105">
        <v>1.7</v>
      </c>
      <c r="E50" s="254">
        <v>44503</v>
      </c>
      <c r="F50" s="98" t="s">
        <v>664</v>
      </c>
      <c r="G50" s="98" t="s">
        <v>751</v>
      </c>
      <c r="H50" s="98" t="s">
        <v>423</v>
      </c>
      <c r="I50" s="37" t="s">
        <v>752</v>
      </c>
      <c r="J50" s="37" t="s">
        <v>754</v>
      </c>
      <c r="L50" s="105"/>
      <c r="M50" s="105"/>
      <c r="N50" s="105"/>
      <c r="O50" s="105"/>
      <c r="P50" s="98"/>
    </row>
    <row r="51" spans="3:16" x14ac:dyDescent="0.25">
      <c r="C51" s="18">
        <v>18</v>
      </c>
      <c r="D51" s="105">
        <v>1.7</v>
      </c>
      <c r="E51" s="254">
        <v>44510</v>
      </c>
      <c r="F51" s="98" t="s">
        <v>664</v>
      </c>
      <c r="G51" s="98" t="s">
        <v>756</v>
      </c>
      <c r="H51" s="98" t="s">
        <v>258</v>
      </c>
      <c r="I51" s="37" t="s">
        <v>758</v>
      </c>
      <c r="J51" s="37" t="s">
        <v>757</v>
      </c>
      <c r="L51" s="105"/>
      <c r="M51" s="105"/>
      <c r="N51" s="105"/>
      <c r="O51" s="105"/>
      <c r="P51" s="98"/>
    </row>
    <row r="52" spans="3:16" x14ac:dyDescent="0.25">
      <c r="C52" s="18">
        <v>19</v>
      </c>
      <c r="D52" s="105"/>
      <c r="E52" s="254"/>
      <c r="F52" s="98"/>
      <c r="G52" s="98"/>
      <c r="H52" s="98"/>
      <c r="I52" s="37"/>
      <c r="J52" s="37"/>
      <c r="L52" s="105"/>
      <c r="M52" s="105"/>
      <c r="N52" s="105"/>
      <c r="O52" s="105"/>
      <c r="P52" s="98"/>
    </row>
    <row r="53" spans="3:16" x14ac:dyDescent="0.25">
      <c r="C53" s="18">
        <v>20</v>
      </c>
      <c r="D53" s="105"/>
      <c r="E53" s="254"/>
      <c r="F53" s="98"/>
      <c r="G53" s="98"/>
      <c r="H53" s="98"/>
      <c r="I53" s="37"/>
      <c r="J53" s="37"/>
      <c r="L53" s="105"/>
      <c r="M53" s="105"/>
      <c r="N53" s="105"/>
      <c r="O53" s="105"/>
      <c r="P53" s="98"/>
    </row>
    <row r="54" spans="3:16" x14ac:dyDescent="0.25">
      <c r="C54" s="18">
        <v>21</v>
      </c>
      <c r="D54" s="105"/>
      <c r="E54" s="254"/>
      <c r="F54" s="98"/>
      <c r="G54" s="98"/>
      <c r="H54" s="98"/>
      <c r="I54" s="37"/>
      <c r="J54" s="37"/>
      <c r="L54" s="105"/>
      <c r="M54" s="105"/>
      <c r="N54" s="105"/>
      <c r="O54" s="105"/>
      <c r="P54" s="98"/>
    </row>
    <row r="55" spans="3:16" x14ac:dyDescent="0.25">
      <c r="C55" s="18">
        <v>22</v>
      </c>
      <c r="D55" s="105"/>
      <c r="E55" s="254"/>
      <c r="F55" s="98"/>
      <c r="G55" s="98"/>
      <c r="H55" s="98"/>
      <c r="I55" s="37"/>
      <c r="J55" s="37"/>
      <c r="L55" s="105"/>
      <c r="M55" s="105"/>
      <c r="N55" s="105"/>
      <c r="O55" s="105"/>
      <c r="P55" s="98"/>
    </row>
    <row r="56" spans="3:16" x14ac:dyDescent="0.25">
      <c r="C56" s="18">
        <v>23</v>
      </c>
      <c r="D56" s="105"/>
      <c r="E56" s="254"/>
      <c r="F56" s="98"/>
      <c r="G56" s="98"/>
      <c r="H56" s="98"/>
      <c r="I56" s="37"/>
      <c r="J56" s="37"/>
      <c r="L56" s="105"/>
      <c r="M56" s="105"/>
      <c r="N56" s="105"/>
      <c r="O56" s="105"/>
      <c r="P56" s="98"/>
    </row>
    <row r="57" spans="3:16" x14ac:dyDescent="0.25">
      <c r="C57" s="18">
        <v>24</v>
      </c>
      <c r="D57" s="105"/>
      <c r="E57" s="254"/>
      <c r="F57" s="98"/>
      <c r="G57" s="98"/>
      <c r="H57" s="98"/>
      <c r="I57" s="37"/>
      <c r="J57" s="37"/>
      <c r="L57" s="105"/>
      <c r="M57" s="105"/>
      <c r="N57" s="105"/>
      <c r="O57" s="105"/>
      <c r="P57" s="98"/>
    </row>
    <row r="58" spans="3:16" x14ac:dyDescent="0.25">
      <c r="C58" s="18">
        <v>25</v>
      </c>
      <c r="D58" s="105"/>
      <c r="E58" s="254"/>
      <c r="F58" s="98"/>
      <c r="G58" s="98"/>
      <c r="H58" s="98"/>
      <c r="I58" s="37"/>
      <c r="J58" s="37"/>
      <c r="L58" s="105"/>
      <c r="M58" s="105"/>
      <c r="N58" s="105"/>
      <c r="O58" s="105"/>
      <c r="P58" s="98"/>
    </row>
    <row r="59" spans="3:16" x14ac:dyDescent="0.25">
      <c r="C59" s="18">
        <v>26</v>
      </c>
      <c r="D59" s="105"/>
      <c r="E59" s="254"/>
      <c r="F59" s="98"/>
      <c r="G59" s="98"/>
      <c r="H59" s="98"/>
      <c r="I59" s="37"/>
      <c r="J59" s="37"/>
      <c r="L59" s="105"/>
      <c r="M59" s="105"/>
      <c r="N59" s="105"/>
      <c r="O59" s="105"/>
      <c r="P59" s="98"/>
    </row>
    <row r="60" spans="3:16" x14ac:dyDescent="0.25">
      <c r="C60" s="18">
        <v>27</v>
      </c>
      <c r="D60" s="105"/>
      <c r="E60" s="254"/>
      <c r="F60" s="98"/>
      <c r="G60" s="98"/>
      <c r="H60" s="98"/>
      <c r="I60" s="37"/>
      <c r="J60" s="37"/>
      <c r="L60" s="105"/>
      <c r="M60" s="105"/>
      <c r="N60" s="105"/>
      <c r="O60" s="105"/>
      <c r="P60" s="98"/>
    </row>
    <row r="61" spans="3:16" x14ac:dyDescent="0.25">
      <c r="C61" s="18">
        <v>28</v>
      </c>
      <c r="D61" s="105"/>
      <c r="E61" s="254"/>
      <c r="F61" s="98"/>
      <c r="G61" s="98"/>
      <c r="H61" s="98"/>
      <c r="I61" s="37"/>
      <c r="J61" s="37"/>
      <c r="L61" s="105"/>
      <c r="M61" s="105"/>
      <c r="N61" s="105"/>
      <c r="O61" s="105"/>
      <c r="P61" s="98"/>
    </row>
    <row r="62" spans="3:16" x14ac:dyDescent="0.25">
      <c r="C62" s="18">
        <v>29</v>
      </c>
      <c r="D62" s="105"/>
      <c r="E62" s="254"/>
      <c r="F62" s="98"/>
      <c r="G62" s="98"/>
      <c r="H62" s="98"/>
      <c r="I62" s="37"/>
      <c r="J62" s="37"/>
      <c r="L62" s="105"/>
      <c r="M62" s="105"/>
      <c r="N62" s="105"/>
      <c r="O62" s="105"/>
      <c r="P62" s="98"/>
    </row>
    <row r="63" spans="3:16" x14ac:dyDescent="0.25">
      <c r="C63" s="18">
        <v>30</v>
      </c>
      <c r="D63" s="105"/>
      <c r="E63" s="254"/>
      <c r="F63" s="98"/>
      <c r="G63" s="98"/>
      <c r="H63" s="98"/>
      <c r="I63" s="37"/>
      <c r="J63" s="37"/>
      <c r="L63" s="105"/>
      <c r="M63" s="105"/>
      <c r="N63" s="105"/>
      <c r="O63" s="105"/>
      <c r="P63" s="98"/>
    </row>
    <row r="64" spans="3:16" x14ac:dyDescent="0.25">
      <c r="C64" s="18">
        <v>31</v>
      </c>
      <c r="D64" s="105"/>
      <c r="E64" s="254"/>
      <c r="F64" s="98"/>
      <c r="G64" s="98"/>
      <c r="H64" s="98"/>
      <c r="I64" s="37"/>
      <c r="J64" s="37"/>
      <c r="L64" s="105"/>
      <c r="M64" s="105"/>
      <c r="N64" s="105"/>
      <c r="O64" s="105"/>
      <c r="P64" s="98"/>
    </row>
    <row r="65" spans="3:16" x14ac:dyDescent="0.25">
      <c r="C65" s="18">
        <v>32</v>
      </c>
      <c r="D65" s="105"/>
      <c r="E65" s="254"/>
      <c r="F65" s="98"/>
      <c r="G65" s="98"/>
      <c r="H65" s="98"/>
      <c r="I65" s="37"/>
      <c r="J65" s="37"/>
      <c r="L65" s="105"/>
      <c r="M65" s="105"/>
      <c r="N65" s="105"/>
      <c r="O65" s="105"/>
      <c r="P65" s="98"/>
    </row>
    <row r="66" spans="3:16" x14ac:dyDescent="0.25">
      <c r="C66" s="18">
        <v>33</v>
      </c>
      <c r="D66" s="105"/>
      <c r="E66" s="254"/>
      <c r="F66" s="98"/>
      <c r="G66" s="98"/>
      <c r="H66" s="98"/>
      <c r="I66" s="37"/>
      <c r="J66" s="37"/>
      <c r="L66" s="105"/>
      <c r="M66" s="105"/>
      <c r="N66" s="105"/>
      <c r="O66" s="105"/>
      <c r="P66" s="98"/>
    </row>
    <row r="67" spans="3:16" x14ac:dyDescent="0.25">
      <c r="C67" s="18">
        <v>34</v>
      </c>
      <c r="D67" s="105"/>
      <c r="E67" s="254"/>
      <c r="F67" s="98"/>
      <c r="G67" s="98"/>
      <c r="H67" s="98"/>
      <c r="I67" s="37"/>
      <c r="J67" s="37"/>
      <c r="L67" s="105"/>
      <c r="M67" s="105"/>
      <c r="N67" s="105"/>
      <c r="O67" s="105"/>
      <c r="P67" s="98"/>
    </row>
    <row r="68" spans="3:16" x14ac:dyDescent="0.25">
      <c r="C68" s="18">
        <v>35</v>
      </c>
      <c r="D68" s="105"/>
      <c r="E68" s="254"/>
      <c r="F68" s="98"/>
      <c r="G68" s="98"/>
      <c r="H68" s="98"/>
      <c r="I68" s="37"/>
      <c r="J68" s="37"/>
      <c r="L68" s="105"/>
      <c r="M68" s="105"/>
      <c r="N68" s="105"/>
      <c r="O68" s="105"/>
      <c r="P68" s="98"/>
    </row>
    <row r="69" spans="3:16" x14ac:dyDescent="0.25">
      <c r="C69" s="18">
        <v>36</v>
      </c>
      <c r="D69" s="105"/>
      <c r="E69" s="254"/>
      <c r="F69" s="98"/>
      <c r="G69" s="98"/>
      <c r="H69" s="98"/>
      <c r="I69" s="37"/>
      <c r="J69" s="37"/>
      <c r="L69" s="105"/>
      <c r="M69" s="105"/>
      <c r="N69" s="105"/>
      <c r="O69" s="105"/>
      <c r="P69" s="98"/>
    </row>
    <row r="70" spans="3:16" x14ac:dyDescent="0.25">
      <c r="C70" s="18">
        <v>37</v>
      </c>
      <c r="D70" s="105"/>
      <c r="E70" s="254"/>
      <c r="F70" s="98"/>
      <c r="G70" s="98"/>
      <c r="H70" s="98"/>
      <c r="I70" s="37"/>
      <c r="J70" s="37"/>
      <c r="L70" s="105"/>
      <c r="M70" s="105"/>
      <c r="N70" s="105"/>
      <c r="O70" s="105"/>
      <c r="P70" s="98"/>
    </row>
    <row r="71" spans="3:16" x14ac:dyDescent="0.25">
      <c r="C71" s="18">
        <v>38</v>
      </c>
      <c r="D71" s="105"/>
      <c r="E71" s="254"/>
      <c r="F71" s="98"/>
      <c r="G71" s="98"/>
      <c r="H71" s="98"/>
      <c r="I71" s="37"/>
      <c r="J71" s="37"/>
      <c r="L71" s="105"/>
      <c r="M71" s="105"/>
      <c r="N71" s="105"/>
      <c r="O71" s="105"/>
      <c r="P71" s="98"/>
    </row>
    <row r="72" spans="3:16" x14ac:dyDescent="0.25">
      <c r="C72" s="18">
        <v>39</v>
      </c>
      <c r="D72" s="105"/>
      <c r="E72" s="254"/>
      <c r="F72" s="98"/>
      <c r="G72" s="98"/>
      <c r="H72" s="98"/>
      <c r="I72" s="37"/>
      <c r="J72" s="37"/>
      <c r="L72" s="105"/>
      <c r="M72" s="105"/>
      <c r="N72" s="105"/>
      <c r="O72" s="105"/>
      <c r="P72" s="98"/>
    </row>
    <row r="73" spans="3:16" x14ac:dyDescent="0.25">
      <c r="C73" s="18">
        <v>40</v>
      </c>
      <c r="D73" s="105"/>
      <c r="E73" s="254"/>
      <c r="F73" s="98"/>
      <c r="G73" s="98"/>
      <c r="H73" s="98"/>
      <c r="I73" s="37"/>
      <c r="J73" s="37"/>
      <c r="L73" s="105"/>
      <c r="M73" s="105"/>
      <c r="N73" s="105"/>
      <c r="O73" s="105"/>
      <c r="P73" s="98"/>
    </row>
    <row r="74" spans="3:16" x14ac:dyDescent="0.25">
      <c r="C74" s="18">
        <v>41</v>
      </c>
      <c r="D74" s="105"/>
      <c r="E74" s="254"/>
      <c r="F74" s="98"/>
      <c r="G74" s="98"/>
      <c r="H74" s="98"/>
      <c r="I74" s="37"/>
      <c r="J74" s="37"/>
      <c r="L74" s="105"/>
      <c r="M74" s="105"/>
      <c r="N74" s="105"/>
      <c r="O74" s="105"/>
      <c r="P74" s="98"/>
    </row>
    <row r="75" spans="3:16" x14ac:dyDescent="0.25">
      <c r="C75" s="18">
        <v>42</v>
      </c>
      <c r="D75" s="105"/>
      <c r="E75" s="254"/>
      <c r="F75" s="98"/>
      <c r="G75" s="98"/>
      <c r="H75" s="98"/>
      <c r="I75" s="37"/>
      <c r="J75" s="37"/>
      <c r="L75" s="105"/>
      <c r="M75" s="105"/>
      <c r="N75" s="105"/>
      <c r="O75" s="105"/>
      <c r="P75" s="98"/>
    </row>
    <row r="76" spans="3:16" x14ac:dyDescent="0.25">
      <c r="C76" s="18">
        <v>43</v>
      </c>
      <c r="D76" s="105"/>
      <c r="E76" s="254"/>
      <c r="F76" s="98"/>
      <c r="G76" s="98"/>
      <c r="H76" s="98"/>
      <c r="I76" s="37"/>
      <c r="J76" s="37"/>
      <c r="L76" s="105"/>
      <c r="M76" s="105"/>
      <c r="N76" s="105"/>
      <c r="O76" s="105"/>
      <c r="P76" s="98"/>
    </row>
    <row r="77" spans="3:16" x14ac:dyDescent="0.25">
      <c r="C77" s="18">
        <v>44</v>
      </c>
      <c r="D77" s="105"/>
      <c r="E77" s="254"/>
      <c r="F77" s="98"/>
      <c r="G77" s="98"/>
      <c r="H77" s="98"/>
      <c r="I77" s="37"/>
      <c r="J77" s="37"/>
      <c r="L77" s="105"/>
      <c r="M77" s="105"/>
      <c r="N77" s="105"/>
      <c r="O77" s="105"/>
      <c r="P77" s="98"/>
    </row>
    <row r="78" spans="3:16" x14ac:dyDescent="0.25">
      <c r="C78" s="18">
        <v>45</v>
      </c>
      <c r="D78" s="105"/>
      <c r="E78" s="254"/>
      <c r="F78" s="98"/>
      <c r="G78" s="98"/>
      <c r="H78" s="98"/>
      <c r="I78" s="37"/>
      <c r="J78" s="37"/>
      <c r="L78" s="105"/>
      <c r="M78" s="105"/>
      <c r="N78" s="105"/>
      <c r="O78" s="105"/>
      <c r="P78" s="98"/>
    </row>
    <row r="79" spans="3:16" x14ac:dyDescent="0.25">
      <c r="C79" s="18">
        <v>46</v>
      </c>
      <c r="D79" s="105"/>
      <c r="E79" s="254"/>
      <c r="F79" s="98"/>
      <c r="G79" s="98"/>
      <c r="H79" s="98"/>
      <c r="I79" s="37"/>
      <c r="J79" s="37"/>
      <c r="L79" s="105"/>
      <c r="M79" s="105"/>
      <c r="N79" s="105"/>
      <c r="O79" s="105"/>
      <c r="P79" s="98"/>
    </row>
    <row r="80" spans="3:16" x14ac:dyDescent="0.25">
      <c r="C80" s="18">
        <v>47</v>
      </c>
      <c r="D80" s="105"/>
      <c r="E80" s="254"/>
      <c r="F80" s="98"/>
      <c r="G80" s="98"/>
      <c r="H80" s="98"/>
      <c r="I80" s="37"/>
      <c r="J80" s="37"/>
      <c r="L80" s="105"/>
      <c r="M80" s="105"/>
      <c r="N80" s="105"/>
      <c r="O80" s="105"/>
      <c r="P80" s="98"/>
    </row>
    <row r="81" spans="3:16" x14ac:dyDescent="0.25">
      <c r="C81" s="18">
        <v>48</v>
      </c>
      <c r="D81" s="105"/>
      <c r="E81" s="254"/>
      <c r="F81" s="98"/>
      <c r="G81" s="98"/>
      <c r="H81" s="98"/>
      <c r="I81" s="37"/>
      <c r="J81" s="37"/>
      <c r="L81" s="105"/>
      <c r="M81" s="105"/>
      <c r="N81" s="105"/>
      <c r="O81" s="105"/>
      <c r="P81" s="98"/>
    </row>
    <row r="82" spans="3:16" x14ac:dyDescent="0.25">
      <c r="C82" s="18">
        <v>49</v>
      </c>
      <c r="D82" s="105"/>
      <c r="E82" s="254"/>
      <c r="F82" s="98"/>
      <c r="G82" s="98"/>
      <c r="H82" s="98"/>
      <c r="I82" s="37"/>
      <c r="J82" s="37"/>
      <c r="L82" s="105"/>
      <c r="M82" s="105"/>
      <c r="N82" s="105"/>
      <c r="O82" s="105"/>
      <c r="P82" s="98"/>
    </row>
    <row r="83" spans="3:16" x14ac:dyDescent="0.25">
      <c r="C83" s="18">
        <v>50</v>
      </c>
      <c r="D83" s="105"/>
      <c r="E83" s="254"/>
      <c r="F83" s="98"/>
      <c r="G83" s="98"/>
      <c r="H83" s="98"/>
      <c r="I83" s="37"/>
      <c r="J83" s="37"/>
      <c r="L83" s="105"/>
      <c r="M83" s="105"/>
      <c r="N83" s="105"/>
      <c r="O83" s="105"/>
      <c r="P83" s="98"/>
    </row>
    <row r="84" spans="3:16" x14ac:dyDescent="0.25">
      <c r="C84" s="18">
        <v>51</v>
      </c>
      <c r="D84" s="105"/>
      <c r="E84" s="254"/>
      <c r="F84" s="98"/>
      <c r="G84" s="98"/>
      <c r="H84" s="98"/>
      <c r="I84" s="37"/>
      <c r="J84" s="37"/>
      <c r="L84" s="105"/>
      <c r="M84" s="105"/>
      <c r="N84" s="105"/>
      <c r="O84" s="105"/>
      <c r="P84" s="98"/>
    </row>
    <row r="85" spans="3:16" x14ac:dyDescent="0.25">
      <c r="C85" s="18">
        <v>52</v>
      </c>
      <c r="D85" s="105"/>
      <c r="E85" s="254"/>
      <c r="F85" s="98"/>
      <c r="G85" s="98"/>
      <c r="H85" s="98"/>
      <c r="I85" s="37"/>
      <c r="J85" s="37"/>
      <c r="L85" s="105"/>
      <c r="M85" s="105"/>
      <c r="N85" s="105"/>
      <c r="O85" s="105"/>
      <c r="P85" s="98"/>
    </row>
    <row r="86" spans="3:16" x14ac:dyDescent="0.25">
      <c r="C86" s="18">
        <v>53</v>
      </c>
      <c r="D86" s="105"/>
      <c r="E86" s="254"/>
      <c r="F86" s="98"/>
      <c r="G86" s="98"/>
      <c r="H86" s="98"/>
      <c r="I86" s="37"/>
      <c r="J86" s="37"/>
      <c r="L86" s="105"/>
      <c r="M86" s="105"/>
      <c r="N86" s="105"/>
      <c r="O86" s="105"/>
      <c r="P86" s="98"/>
    </row>
    <row r="87" spans="3:16" x14ac:dyDescent="0.25">
      <c r="C87" s="18">
        <v>54</v>
      </c>
      <c r="D87" s="105"/>
      <c r="E87" s="254"/>
      <c r="F87" s="98"/>
      <c r="G87" s="98"/>
      <c r="H87" s="98"/>
      <c r="I87" s="37"/>
      <c r="J87" s="37"/>
      <c r="L87" s="105"/>
      <c r="M87" s="105"/>
      <c r="N87" s="105"/>
      <c r="O87" s="105"/>
      <c r="P87" s="98"/>
    </row>
    <row r="88" spans="3:16" x14ac:dyDescent="0.25">
      <c r="C88" s="18">
        <v>55</v>
      </c>
      <c r="D88" s="105"/>
      <c r="E88" s="254"/>
      <c r="F88" s="98"/>
      <c r="G88" s="98"/>
      <c r="H88" s="98"/>
      <c r="I88" s="37"/>
      <c r="J88" s="37"/>
      <c r="L88" s="105"/>
      <c r="M88" s="105"/>
      <c r="N88" s="105"/>
      <c r="O88" s="105"/>
      <c r="P88" s="98"/>
    </row>
    <row r="89" spans="3:16" x14ac:dyDescent="0.25">
      <c r="C89" s="18">
        <v>56</v>
      </c>
      <c r="D89" s="105"/>
      <c r="E89" s="254"/>
      <c r="F89" s="98"/>
      <c r="G89" s="98"/>
      <c r="H89" s="98"/>
      <c r="I89" s="37"/>
      <c r="J89" s="37"/>
      <c r="L89" s="105"/>
      <c r="M89" s="105"/>
      <c r="N89" s="105"/>
      <c r="O89" s="105"/>
      <c r="P89" s="98"/>
    </row>
    <row r="90" spans="3:16" x14ac:dyDescent="0.25">
      <c r="C90" s="18">
        <v>57</v>
      </c>
      <c r="D90" s="105"/>
      <c r="E90" s="254"/>
      <c r="F90" s="98"/>
      <c r="G90" s="98"/>
      <c r="H90" s="98"/>
      <c r="I90" s="37"/>
      <c r="J90" s="37"/>
      <c r="L90" s="105"/>
      <c r="M90" s="105"/>
      <c r="N90" s="105"/>
      <c r="O90" s="105"/>
      <c r="P90" s="98"/>
    </row>
    <row r="91" spans="3:16" x14ac:dyDescent="0.25">
      <c r="C91" s="18">
        <v>58</v>
      </c>
      <c r="D91" s="105"/>
      <c r="E91" s="254"/>
      <c r="F91" s="98"/>
      <c r="G91" s="98"/>
      <c r="H91" s="98"/>
      <c r="I91" s="37"/>
      <c r="J91" s="37"/>
      <c r="L91" s="105"/>
      <c r="M91" s="105"/>
      <c r="N91" s="105"/>
      <c r="O91" s="105"/>
      <c r="P91" s="98"/>
    </row>
    <row r="92" spans="3:16" x14ac:dyDescent="0.25">
      <c r="C92" s="18">
        <v>59</v>
      </c>
      <c r="D92" s="105"/>
      <c r="E92" s="254"/>
      <c r="F92" s="98"/>
      <c r="G92" s="98"/>
      <c r="H92" s="98"/>
      <c r="I92" s="37"/>
      <c r="J92" s="37"/>
      <c r="L92" s="105"/>
      <c r="M92" s="105"/>
      <c r="N92" s="105"/>
      <c r="O92" s="105"/>
      <c r="P92" s="98"/>
    </row>
    <row r="93" spans="3:16" x14ac:dyDescent="0.25">
      <c r="C93" s="18">
        <v>60</v>
      </c>
      <c r="D93" s="105"/>
      <c r="E93" s="254"/>
      <c r="F93" s="98"/>
      <c r="G93" s="98"/>
      <c r="H93" s="98"/>
      <c r="I93" s="37"/>
      <c r="J93" s="37"/>
      <c r="L93" s="105"/>
      <c r="M93" s="105"/>
      <c r="N93" s="105"/>
      <c r="O93" s="105"/>
      <c r="P93" s="98"/>
    </row>
    <row r="94" spans="3:16" x14ac:dyDescent="0.25">
      <c r="C94" s="18">
        <v>61</v>
      </c>
      <c r="D94" s="105"/>
      <c r="E94" s="254"/>
      <c r="F94" s="98"/>
      <c r="G94" s="98"/>
      <c r="H94" s="98"/>
      <c r="I94" s="37"/>
      <c r="J94" s="37"/>
      <c r="L94" s="105"/>
      <c r="M94" s="105"/>
      <c r="N94" s="105"/>
      <c r="O94" s="105"/>
      <c r="P94" s="98"/>
    </row>
    <row r="95" spans="3:16" x14ac:dyDescent="0.25">
      <c r="C95" s="18">
        <v>62</v>
      </c>
      <c r="D95" s="105"/>
      <c r="E95" s="254"/>
      <c r="F95" s="98"/>
      <c r="G95" s="98"/>
      <c r="H95" s="98"/>
      <c r="I95" s="37"/>
      <c r="J95" s="37"/>
      <c r="L95" s="105"/>
      <c r="M95" s="105"/>
      <c r="N95" s="105"/>
      <c r="O95" s="105"/>
      <c r="P95" s="98"/>
    </row>
    <row r="96" spans="3:16" x14ac:dyDescent="0.25">
      <c r="C96" s="18">
        <v>63</v>
      </c>
      <c r="D96" s="105"/>
      <c r="E96" s="254"/>
      <c r="F96" s="98"/>
      <c r="G96" s="98"/>
      <c r="H96" s="98"/>
      <c r="I96" s="37"/>
      <c r="J96" s="37"/>
      <c r="L96" s="105"/>
      <c r="M96" s="105"/>
      <c r="N96" s="105"/>
      <c r="O96" s="105"/>
      <c r="P96" s="98"/>
    </row>
    <row r="97" spans="3:16" x14ac:dyDescent="0.25">
      <c r="C97" s="18">
        <v>64</v>
      </c>
      <c r="D97" s="105"/>
      <c r="E97" s="254"/>
      <c r="F97" s="98"/>
      <c r="G97" s="98"/>
      <c r="H97" s="98"/>
      <c r="I97" s="37"/>
      <c r="J97" s="37"/>
      <c r="L97" s="105"/>
      <c r="M97" s="105"/>
      <c r="N97" s="105"/>
      <c r="O97" s="105"/>
      <c r="P97" s="98"/>
    </row>
    <row r="98" spans="3:16" x14ac:dyDescent="0.25">
      <c r="C98" s="18">
        <v>65</v>
      </c>
      <c r="D98" s="105"/>
      <c r="E98" s="254"/>
      <c r="F98" s="98"/>
      <c r="G98" s="98"/>
      <c r="H98" s="98"/>
      <c r="I98" s="37"/>
      <c r="J98" s="37"/>
      <c r="L98" s="105"/>
      <c r="M98" s="105"/>
      <c r="N98" s="105"/>
      <c r="O98" s="105"/>
      <c r="P98" s="98"/>
    </row>
    <row r="99" spans="3:16" x14ac:dyDescent="0.25">
      <c r="C99" s="18">
        <v>66</v>
      </c>
      <c r="D99" s="105"/>
      <c r="E99" s="254"/>
      <c r="F99" s="98"/>
      <c r="G99" s="98"/>
      <c r="H99" s="98"/>
      <c r="I99" s="37"/>
      <c r="J99" s="37"/>
      <c r="L99" s="105"/>
      <c r="M99" s="105"/>
      <c r="N99" s="105"/>
      <c r="O99" s="105"/>
      <c r="P99" s="98"/>
    </row>
    <row r="100" spans="3:16" x14ac:dyDescent="0.25">
      <c r="C100" s="18">
        <v>67</v>
      </c>
      <c r="D100" s="105"/>
      <c r="E100" s="254"/>
      <c r="F100" s="98"/>
      <c r="G100" s="98"/>
      <c r="H100" s="98"/>
      <c r="I100" s="37"/>
      <c r="J100" s="37"/>
      <c r="L100" s="105"/>
      <c r="M100" s="105"/>
      <c r="N100" s="105"/>
      <c r="O100" s="105"/>
      <c r="P100" s="98"/>
    </row>
    <row r="101" spans="3:16" x14ac:dyDescent="0.25">
      <c r="C101" s="18">
        <v>68</v>
      </c>
      <c r="D101" s="105"/>
      <c r="E101" s="254"/>
      <c r="F101" s="98"/>
      <c r="G101" s="98"/>
      <c r="H101" s="98"/>
      <c r="I101" s="37"/>
      <c r="J101" s="37"/>
      <c r="L101" s="105"/>
      <c r="M101" s="105"/>
      <c r="N101" s="105"/>
      <c r="O101" s="105"/>
      <c r="P101" s="98"/>
    </row>
    <row r="102" spans="3:16" x14ac:dyDescent="0.25">
      <c r="C102" s="18">
        <v>69</v>
      </c>
      <c r="D102" s="105"/>
      <c r="E102" s="254"/>
      <c r="F102" s="98"/>
      <c r="G102" s="98"/>
      <c r="H102" s="98"/>
      <c r="I102" s="37"/>
      <c r="J102" s="37"/>
      <c r="L102" s="105"/>
      <c r="M102" s="105"/>
      <c r="N102" s="105"/>
      <c r="O102" s="105"/>
      <c r="P102" s="98"/>
    </row>
    <row r="103" spans="3:16" x14ac:dyDescent="0.25">
      <c r="C103" s="18">
        <v>70</v>
      </c>
      <c r="D103" s="105"/>
      <c r="E103" s="254"/>
      <c r="F103" s="98"/>
      <c r="G103" s="98"/>
      <c r="H103" s="98"/>
      <c r="I103" s="37"/>
      <c r="J103" s="37"/>
      <c r="L103" s="105"/>
      <c r="M103" s="105"/>
      <c r="N103" s="105"/>
      <c r="O103" s="105"/>
      <c r="P103" s="98"/>
    </row>
    <row r="104" spans="3:16" x14ac:dyDescent="0.25">
      <c r="C104" s="18">
        <v>71</v>
      </c>
      <c r="D104" s="105"/>
      <c r="E104" s="254"/>
      <c r="F104" s="98"/>
      <c r="G104" s="98"/>
      <c r="H104" s="98"/>
      <c r="I104" s="37"/>
      <c r="J104" s="37"/>
      <c r="L104" s="105"/>
      <c r="M104" s="105"/>
      <c r="N104" s="105"/>
      <c r="O104" s="105"/>
      <c r="P104" s="98"/>
    </row>
    <row r="105" spans="3:16" x14ac:dyDescent="0.25">
      <c r="C105" s="18">
        <v>72</v>
      </c>
      <c r="D105" s="105"/>
      <c r="E105" s="254"/>
      <c r="F105" s="98"/>
      <c r="G105" s="98"/>
      <c r="H105" s="98"/>
      <c r="I105" s="37"/>
      <c r="J105" s="37"/>
      <c r="L105" s="105"/>
      <c r="M105" s="105"/>
      <c r="N105" s="105"/>
      <c r="O105" s="105"/>
      <c r="P105" s="98"/>
    </row>
    <row r="106" spans="3:16" x14ac:dyDescent="0.25">
      <c r="C106" s="18">
        <v>73</v>
      </c>
      <c r="D106" s="105"/>
      <c r="E106" s="254"/>
      <c r="F106" s="98"/>
      <c r="G106" s="98"/>
      <c r="H106" s="98"/>
      <c r="I106" s="37"/>
      <c r="J106" s="37"/>
      <c r="L106" s="105"/>
      <c r="M106" s="105"/>
      <c r="N106" s="105"/>
      <c r="O106" s="105"/>
      <c r="P106" s="98"/>
    </row>
    <row r="107" spans="3:16" x14ac:dyDescent="0.25">
      <c r="C107" s="18">
        <v>74</v>
      </c>
      <c r="D107" s="105"/>
      <c r="E107" s="254"/>
      <c r="F107" s="98"/>
      <c r="G107" s="98"/>
      <c r="H107" s="98"/>
      <c r="I107" s="37"/>
      <c r="J107" s="37"/>
      <c r="L107" s="105"/>
      <c r="M107" s="105"/>
      <c r="N107" s="105"/>
      <c r="O107" s="105"/>
      <c r="P107" s="98"/>
    </row>
    <row r="108" spans="3:16" x14ac:dyDescent="0.25">
      <c r="C108" s="18">
        <v>75</v>
      </c>
      <c r="D108" s="105"/>
      <c r="E108" s="254"/>
      <c r="F108" s="98"/>
      <c r="G108" s="98"/>
      <c r="H108" s="98"/>
      <c r="I108" s="37"/>
      <c r="J108" s="37"/>
      <c r="L108" s="105"/>
      <c r="M108" s="105"/>
      <c r="N108" s="105"/>
      <c r="O108" s="105"/>
      <c r="P108" s="98"/>
    </row>
    <row r="109" spans="3:16" x14ac:dyDescent="0.25">
      <c r="C109" s="18">
        <v>76</v>
      </c>
      <c r="D109" s="105"/>
      <c r="E109" s="254"/>
      <c r="F109" s="98"/>
      <c r="G109" s="98"/>
      <c r="H109" s="98"/>
      <c r="I109" s="37"/>
      <c r="J109" s="37"/>
      <c r="L109" s="105"/>
      <c r="M109" s="105"/>
      <c r="N109" s="105"/>
      <c r="O109" s="105"/>
      <c r="P109" s="98"/>
    </row>
    <row r="110" spans="3:16" x14ac:dyDescent="0.25">
      <c r="C110" s="18">
        <v>77</v>
      </c>
      <c r="D110" s="105"/>
      <c r="E110" s="254"/>
      <c r="F110" s="98"/>
      <c r="G110" s="98"/>
      <c r="H110" s="98"/>
      <c r="I110" s="37"/>
      <c r="J110" s="37"/>
      <c r="L110" s="105"/>
      <c r="M110" s="105"/>
      <c r="N110" s="105"/>
      <c r="O110" s="105"/>
      <c r="P110" s="98"/>
    </row>
    <row r="111" spans="3:16" x14ac:dyDescent="0.25">
      <c r="C111" s="18">
        <v>78</v>
      </c>
      <c r="D111" s="105"/>
      <c r="E111" s="254"/>
      <c r="F111" s="98"/>
      <c r="G111" s="98"/>
      <c r="H111" s="98"/>
      <c r="I111" s="37"/>
      <c r="J111" s="37"/>
      <c r="L111" s="105"/>
      <c r="M111" s="105"/>
      <c r="N111" s="105"/>
      <c r="O111" s="105"/>
      <c r="P111" s="98"/>
    </row>
    <row r="112" spans="3:16" x14ac:dyDescent="0.25">
      <c r="C112" s="18">
        <v>79</v>
      </c>
      <c r="D112" s="105"/>
      <c r="E112" s="254"/>
      <c r="F112" s="98"/>
      <c r="G112" s="98"/>
      <c r="H112" s="98"/>
      <c r="I112" s="37"/>
      <c r="J112" s="37"/>
      <c r="L112" s="105"/>
      <c r="M112" s="105"/>
      <c r="N112" s="105"/>
      <c r="O112" s="105"/>
      <c r="P112" s="98"/>
    </row>
    <row r="113" spans="3:16" x14ac:dyDescent="0.25">
      <c r="C113" s="18">
        <v>80</v>
      </c>
      <c r="D113" s="105"/>
      <c r="E113" s="254"/>
      <c r="F113" s="98"/>
      <c r="G113" s="98"/>
      <c r="H113" s="98"/>
      <c r="I113" s="37"/>
      <c r="J113" s="37"/>
      <c r="L113" s="105"/>
      <c r="M113" s="105"/>
      <c r="N113" s="105"/>
      <c r="O113" s="105"/>
      <c r="P113" s="98"/>
    </row>
    <row r="114" spans="3:16" x14ac:dyDescent="0.25">
      <c r="C114" s="18">
        <v>81</v>
      </c>
      <c r="D114" s="105"/>
      <c r="E114" s="254"/>
      <c r="F114" s="98"/>
      <c r="G114" s="98"/>
      <c r="H114" s="98"/>
      <c r="I114" s="37"/>
      <c r="J114" s="37"/>
      <c r="L114" s="105"/>
      <c r="M114" s="105"/>
      <c r="N114" s="105"/>
      <c r="O114" s="105"/>
      <c r="P114" s="98"/>
    </row>
    <row r="115" spans="3:16" x14ac:dyDescent="0.25">
      <c r="C115" s="18">
        <v>82</v>
      </c>
      <c r="D115" s="105"/>
      <c r="E115" s="254"/>
      <c r="F115" s="98"/>
      <c r="G115" s="98"/>
      <c r="H115" s="98"/>
      <c r="I115" s="37"/>
      <c r="J115" s="37"/>
      <c r="L115" s="105"/>
      <c r="M115" s="105"/>
      <c r="N115" s="105"/>
      <c r="O115" s="105"/>
      <c r="P115" s="98"/>
    </row>
    <row r="116" spans="3:16" x14ac:dyDescent="0.25">
      <c r="C116" s="18">
        <v>83</v>
      </c>
      <c r="D116" s="105"/>
      <c r="E116" s="254"/>
      <c r="F116" s="98"/>
      <c r="G116" s="98"/>
      <c r="H116" s="98"/>
      <c r="I116" s="37"/>
      <c r="J116" s="37"/>
      <c r="L116" s="105"/>
      <c r="M116" s="105"/>
      <c r="N116" s="105"/>
      <c r="O116" s="105"/>
      <c r="P116" s="98"/>
    </row>
    <row r="117" spans="3:16" x14ac:dyDescent="0.25">
      <c r="C117" s="18">
        <v>84</v>
      </c>
      <c r="D117" s="105"/>
      <c r="E117" s="254"/>
      <c r="F117" s="98"/>
      <c r="G117" s="98"/>
      <c r="H117" s="98"/>
      <c r="I117" s="37"/>
      <c r="J117" s="37"/>
      <c r="L117" s="105"/>
      <c r="M117" s="105"/>
      <c r="N117" s="105"/>
      <c r="O117" s="105"/>
      <c r="P117" s="98"/>
    </row>
    <row r="118" spans="3:16" x14ac:dyDescent="0.25">
      <c r="C118" s="18">
        <v>85</v>
      </c>
      <c r="D118" s="105"/>
      <c r="E118" s="254"/>
      <c r="F118" s="98"/>
      <c r="G118" s="98"/>
      <c r="H118" s="98"/>
      <c r="I118" s="37"/>
      <c r="J118" s="37"/>
      <c r="L118" s="105"/>
      <c r="M118" s="105"/>
      <c r="N118" s="105"/>
      <c r="O118" s="105"/>
      <c r="P118" s="98"/>
    </row>
    <row r="119" spans="3:16" x14ac:dyDescent="0.25">
      <c r="C119" s="18">
        <v>86</v>
      </c>
      <c r="D119" s="105"/>
      <c r="E119" s="254"/>
      <c r="F119" s="98"/>
      <c r="G119" s="98"/>
      <c r="H119" s="98"/>
      <c r="I119" s="37"/>
      <c r="J119" s="37"/>
      <c r="L119" s="105"/>
      <c r="M119" s="105"/>
      <c r="N119" s="105"/>
      <c r="O119" s="105"/>
      <c r="P119" s="98"/>
    </row>
    <row r="120" spans="3:16" x14ac:dyDescent="0.25">
      <c r="C120" s="18">
        <v>87</v>
      </c>
      <c r="D120" s="105"/>
      <c r="E120" s="254"/>
      <c r="F120" s="98"/>
      <c r="G120" s="98"/>
      <c r="H120" s="98"/>
      <c r="I120" s="37"/>
      <c r="J120" s="37"/>
      <c r="L120" s="105"/>
      <c r="M120" s="105"/>
      <c r="N120" s="105"/>
      <c r="O120" s="105"/>
      <c r="P120" s="98"/>
    </row>
    <row r="121" spans="3:16" x14ac:dyDescent="0.25">
      <c r="C121" s="18">
        <v>88</v>
      </c>
      <c r="D121" s="105"/>
      <c r="E121" s="254"/>
      <c r="F121" s="98"/>
      <c r="G121" s="98"/>
      <c r="H121" s="98"/>
      <c r="I121" s="37"/>
      <c r="J121" s="37"/>
      <c r="L121" s="105"/>
      <c r="M121" s="105"/>
      <c r="N121" s="105"/>
      <c r="O121" s="105"/>
      <c r="P121" s="98"/>
    </row>
    <row r="122" spans="3:16" x14ac:dyDescent="0.25">
      <c r="C122" s="18">
        <v>89</v>
      </c>
      <c r="D122" s="105"/>
      <c r="E122" s="254"/>
      <c r="F122" s="98"/>
      <c r="G122" s="98"/>
      <c r="H122" s="98"/>
      <c r="I122" s="37"/>
      <c r="J122" s="37"/>
      <c r="L122" s="105"/>
      <c r="M122" s="105"/>
      <c r="N122" s="105"/>
      <c r="O122" s="105"/>
      <c r="P122" s="98"/>
    </row>
    <row r="123" spans="3:16" x14ac:dyDescent="0.25">
      <c r="C123" s="18">
        <v>90</v>
      </c>
      <c r="D123" s="105"/>
      <c r="E123" s="254"/>
      <c r="F123" s="98"/>
      <c r="G123" s="98"/>
      <c r="H123" s="98"/>
      <c r="I123" s="37"/>
      <c r="J123" s="37"/>
      <c r="L123" s="105"/>
      <c r="M123" s="105"/>
      <c r="N123" s="105"/>
      <c r="O123" s="105"/>
      <c r="P123" s="98"/>
    </row>
    <row r="124" spans="3:16" x14ac:dyDescent="0.25">
      <c r="C124" s="18">
        <v>91</v>
      </c>
      <c r="D124" s="105"/>
      <c r="E124" s="254"/>
      <c r="F124" s="98"/>
      <c r="G124" s="98"/>
      <c r="H124" s="98"/>
      <c r="I124" s="37"/>
      <c r="J124" s="37"/>
      <c r="L124" s="105"/>
      <c r="M124" s="105"/>
      <c r="N124" s="105"/>
      <c r="O124" s="105"/>
      <c r="P124" s="98"/>
    </row>
    <row r="125" spans="3:16" x14ac:dyDescent="0.25">
      <c r="C125" s="18">
        <v>92</v>
      </c>
      <c r="D125" s="105"/>
      <c r="E125" s="254"/>
      <c r="F125" s="98"/>
      <c r="G125" s="98"/>
      <c r="H125" s="98"/>
      <c r="I125" s="37"/>
      <c r="J125" s="37"/>
      <c r="L125" s="105"/>
      <c r="M125" s="105"/>
      <c r="N125" s="105"/>
      <c r="O125" s="105"/>
      <c r="P125" s="98"/>
    </row>
    <row r="126" spans="3:16" x14ac:dyDescent="0.25">
      <c r="C126" s="18">
        <v>93</v>
      </c>
      <c r="D126" s="105"/>
      <c r="E126" s="254"/>
      <c r="F126" s="98"/>
      <c r="G126" s="98"/>
      <c r="H126" s="98"/>
      <c r="I126" s="37"/>
      <c r="J126" s="37"/>
      <c r="L126" s="105"/>
      <c r="M126" s="105"/>
      <c r="N126" s="105"/>
      <c r="O126" s="105"/>
      <c r="P126" s="98"/>
    </row>
    <row r="127" spans="3:16" x14ac:dyDescent="0.25">
      <c r="C127" s="18">
        <v>94</v>
      </c>
      <c r="D127" s="105"/>
      <c r="E127" s="254"/>
      <c r="F127" s="98"/>
      <c r="G127" s="98"/>
      <c r="H127" s="98"/>
      <c r="I127" s="37"/>
      <c r="J127" s="37"/>
      <c r="L127" s="105"/>
      <c r="M127" s="105"/>
      <c r="N127" s="105"/>
      <c r="O127" s="105"/>
      <c r="P127" s="98"/>
    </row>
    <row r="128" spans="3:16" x14ac:dyDescent="0.25">
      <c r="C128" s="18">
        <v>95</v>
      </c>
      <c r="D128" s="105"/>
      <c r="E128" s="254"/>
      <c r="F128" s="98"/>
      <c r="G128" s="98"/>
      <c r="H128" s="98"/>
      <c r="I128" s="37"/>
      <c r="J128" s="37"/>
      <c r="L128" s="105"/>
      <c r="M128" s="105"/>
      <c r="N128" s="105"/>
      <c r="O128" s="105"/>
      <c r="P128" s="98"/>
    </row>
    <row r="129" spans="3:16" x14ac:dyDescent="0.25">
      <c r="C129" s="18">
        <v>96</v>
      </c>
      <c r="D129" s="105"/>
      <c r="E129" s="254"/>
      <c r="F129" s="98"/>
      <c r="G129" s="98"/>
      <c r="H129" s="98"/>
      <c r="I129" s="37"/>
      <c r="J129" s="37"/>
      <c r="L129" s="105"/>
      <c r="M129" s="105"/>
      <c r="N129" s="105"/>
      <c r="O129" s="105"/>
      <c r="P129" s="98"/>
    </row>
    <row r="130" spans="3:16" x14ac:dyDescent="0.25">
      <c r="C130" s="18">
        <v>97</v>
      </c>
      <c r="D130" s="105"/>
      <c r="E130" s="254"/>
      <c r="F130" s="98"/>
      <c r="G130" s="98"/>
      <c r="H130" s="98"/>
      <c r="I130" s="37"/>
      <c r="J130" s="37"/>
      <c r="L130" s="105"/>
      <c r="M130" s="105"/>
      <c r="N130" s="105"/>
      <c r="O130" s="105"/>
      <c r="P130" s="98"/>
    </row>
    <row r="131" spans="3:16" x14ac:dyDescent="0.25">
      <c r="C131" s="18">
        <v>98</v>
      </c>
      <c r="D131" s="105"/>
      <c r="E131" s="254"/>
      <c r="F131" s="98"/>
      <c r="G131" s="98"/>
      <c r="H131" s="98"/>
      <c r="I131" s="37"/>
      <c r="J131" s="37"/>
      <c r="L131" s="105"/>
      <c r="M131" s="105"/>
      <c r="N131" s="105"/>
      <c r="O131" s="105"/>
      <c r="P131" s="98"/>
    </row>
    <row r="132" spans="3:16" x14ac:dyDescent="0.25">
      <c r="C132" s="18">
        <v>99</v>
      </c>
      <c r="D132" s="105"/>
      <c r="E132" s="254"/>
      <c r="F132" s="98"/>
      <c r="G132" s="98"/>
      <c r="H132" s="98"/>
      <c r="I132" s="37"/>
      <c r="J132" s="37"/>
      <c r="L132" s="105"/>
      <c r="M132" s="105"/>
      <c r="N132" s="105"/>
      <c r="O132" s="105"/>
      <c r="P132" s="98"/>
    </row>
    <row r="133" spans="3:16" x14ac:dyDescent="0.25">
      <c r="C133" s="18">
        <v>100</v>
      </c>
      <c r="D133" s="105"/>
      <c r="E133" s="254"/>
      <c r="F133" s="98"/>
      <c r="G133" s="98"/>
      <c r="H133" s="98"/>
      <c r="I133" s="37"/>
      <c r="J133" s="37"/>
      <c r="L133" s="105"/>
      <c r="M133" s="105"/>
      <c r="N133" s="105"/>
      <c r="O133" s="105"/>
      <c r="P133" s="98"/>
    </row>
    <row r="134" spans="3:16" x14ac:dyDescent="0.25">
      <c r="C134" s="18">
        <v>101</v>
      </c>
      <c r="D134" s="105"/>
      <c r="E134" s="254"/>
      <c r="F134" s="98"/>
      <c r="G134" s="98"/>
      <c r="H134" s="98"/>
      <c r="I134" s="37"/>
      <c r="J134" s="37"/>
      <c r="L134" s="105"/>
      <c r="M134" s="105"/>
      <c r="N134" s="105"/>
      <c r="O134" s="105"/>
      <c r="P134" s="98"/>
    </row>
    <row r="135" spans="3:16" x14ac:dyDescent="0.25">
      <c r="C135" s="18">
        <v>102</v>
      </c>
      <c r="D135" s="105"/>
      <c r="E135" s="254"/>
      <c r="F135" s="98"/>
      <c r="G135" s="98"/>
      <c r="H135" s="98"/>
      <c r="I135" s="37"/>
      <c r="J135" s="37"/>
      <c r="L135" s="105"/>
      <c r="M135" s="105"/>
      <c r="N135" s="105"/>
      <c r="O135" s="105"/>
      <c r="P135" s="98"/>
    </row>
    <row r="136" spans="3:16" x14ac:dyDescent="0.25">
      <c r="C136" s="18">
        <v>103</v>
      </c>
      <c r="D136" s="105"/>
      <c r="E136" s="254"/>
      <c r="F136" s="98"/>
      <c r="G136" s="98"/>
      <c r="H136" s="98"/>
      <c r="I136" s="37"/>
      <c r="J136" s="37"/>
      <c r="L136" s="105"/>
      <c r="M136" s="105"/>
      <c r="N136" s="105"/>
      <c r="O136" s="105"/>
      <c r="P136" s="98"/>
    </row>
    <row r="137" spans="3:16" x14ac:dyDescent="0.25">
      <c r="C137" s="18">
        <v>104</v>
      </c>
      <c r="D137" s="105"/>
      <c r="E137" s="254"/>
      <c r="F137" s="98"/>
      <c r="G137" s="98"/>
      <c r="H137" s="98"/>
      <c r="I137" s="37"/>
      <c r="J137" s="37"/>
      <c r="L137" s="105"/>
      <c r="M137" s="105"/>
      <c r="N137" s="105"/>
      <c r="O137" s="105"/>
      <c r="P137" s="98"/>
    </row>
    <row r="138" spans="3:16" x14ac:dyDescent="0.25">
      <c r="C138" s="18">
        <v>105</v>
      </c>
      <c r="D138" s="105"/>
      <c r="E138" s="254"/>
      <c r="F138" s="98"/>
      <c r="G138" s="98"/>
      <c r="H138" s="98"/>
      <c r="I138" s="37"/>
      <c r="J138" s="37"/>
      <c r="L138" s="105"/>
      <c r="M138" s="105"/>
      <c r="N138" s="105"/>
      <c r="O138" s="105"/>
      <c r="P138" s="98"/>
    </row>
    <row r="139" spans="3:16" x14ac:dyDescent="0.25">
      <c r="C139" s="18">
        <v>106</v>
      </c>
      <c r="D139" s="105"/>
      <c r="E139" s="254"/>
      <c r="F139" s="98"/>
      <c r="G139" s="98"/>
      <c r="H139" s="98"/>
      <c r="I139" s="37"/>
      <c r="J139" s="37"/>
      <c r="L139" s="105"/>
      <c r="M139" s="105"/>
      <c r="N139" s="105"/>
      <c r="O139" s="105"/>
      <c r="P139" s="98"/>
    </row>
    <row r="140" spans="3:16" x14ac:dyDescent="0.25">
      <c r="C140" s="18">
        <v>107</v>
      </c>
      <c r="D140" s="105"/>
      <c r="E140" s="254"/>
      <c r="F140" s="98"/>
      <c r="G140" s="98"/>
      <c r="H140" s="98"/>
      <c r="I140" s="37"/>
      <c r="J140" s="37"/>
      <c r="L140" s="105"/>
      <c r="M140" s="105"/>
      <c r="N140" s="105"/>
      <c r="O140" s="105"/>
      <c r="P140" s="98"/>
    </row>
    <row r="141" spans="3:16" x14ac:dyDescent="0.25">
      <c r="C141" s="18">
        <v>108</v>
      </c>
      <c r="D141" s="105"/>
      <c r="E141" s="254"/>
      <c r="F141" s="98"/>
      <c r="G141" s="98"/>
      <c r="H141" s="98"/>
      <c r="I141" s="37"/>
      <c r="J141" s="37"/>
      <c r="L141" s="105"/>
      <c r="M141" s="105"/>
      <c r="N141" s="105"/>
      <c r="O141" s="105"/>
      <c r="P141" s="98"/>
    </row>
    <row r="142" spans="3:16" x14ac:dyDescent="0.25">
      <c r="C142" s="18">
        <v>109</v>
      </c>
      <c r="D142" s="105"/>
      <c r="E142" s="254"/>
      <c r="F142" s="98"/>
      <c r="G142" s="98"/>
      <c r="H142" s="98"/>
      <c r="I142" s="37"/>
      <c r="J142" s="37"/>
      <c r="L142" s="105"/>
      <c r="M142" s="105"/>
      <c r="N142" s="105"/>
      <c r="O142" s="105"/>
      <c r="P142" s="98"/>
    </row>
    <row r="143" spans="3:16" x14ac:dyDescent="0.25">
      <c r="C143" s="18">
        <v>110</v>
      </c>
      <c r="D143" s="105"/>
      <c r="E143" s="254"/>
      <c r="F143" s="98"/>
      <c r="G143" s="98"/>
      <c r="H143" s="98"/>
      <c r="I143" s="37"/>
      <c r="J143" s="37"/>
      <c r="L143" s="105"/>
      <c r="M143" s="105"/>
      <c r="N143" s="105"/>
      <c r="O143" s="105"/>
      <c r="P143" s="98"/>
    </row>
    <row r="144" spans="3:16" x14ac:dyDescent="0.25">
      <c r="C144" s="18">
        <v>111</v>
      </c>
      <c r="D144" s="105"/>
      <c r="E144" s="254"/>
      <c r="F144" s="98"/>
      <c r="G144" s="98"/>
      <c r="H144" s="98"/>
      <c r="I144" s="37"/>
      <c r="J144" s="37"/>
      <c r="L144" s="105"/>
      <c r="M144" s="105"/>
      <c r="N144" s="105"/>
      <c r="O144" s="105"/>
      <c r="P144" s="98"/>
    </row>
    <row r="145" spans="3:16" x14ac:dyDescent="0.25">
      <c r="C145" s="18">
        <v>112</v>
      </c>
      <c r="D145" s="105"/>
      <c r="E145" s="254"/>
      <c r="F145" s="98"/>
      <c r="G145" s="98"/>
      <c r="H145" s="98"/>
      <c r="I145" s="37"/>
      <c r="J145" s="37"/>
      <c r="L145" s="105"/>
      <c r="M145" s="105"/>
      <c r="N145" s="105"/>
      <c r="O145" s="105"/>
      <c r="P145" s="98"/>
    </row>
    <row r="146" spans="3:16" x14ac:dyDescent="0.25">
      <c r="C146" s="18">
        <v>113</v>
      </c>
      <c r="D146" s="105"/>
      <c r="E146" s="254"/>
      <c r="F146" s="98"/>
      <c r="G146" s="98"/>
      <c r="H146" s="98"/>
      <c r="I146" s="37"/>
      <c r="J146" s="37"/>
      <c r="L146" s="105"/>
      <c r="M146" s="105"/>
      <c r="N146" s="105"/>
      <c r="O146" s="105"/>
      <c r="P146" s="98"/>
    </row>
    <row r="147" spans="3:16" x14ac:dyDescent="0.25">
      <c r="C147" s="18">
        <v>114</v>
      </c>
      <c r="D147" s="105"/>
      <c r="E147" s="254"/>
      <c r="F147" s="98"/>
      <c r="G147" s="98"/>
      <c r="H147" s="98"/>
      <c r="I147" s="37"/>
      <c r="J147" s="37"/>
      <c r="L147" s="105"/>
      <c r="M147" s="105"/>
      <c r="N147" s="105"/>
      <c r="O147" s="105"/>
      <c r="P147" s="98"/>
    </row>
    <row r="148" spans="3:16" x14ac:dyDescent="0.25">
      <c r="C148" s="18">
        <v>115</v>
      </c>
      <c r="D148" s="105"/>
      <c r="E148" s="254"/>
      <c r="F148" s="98"/>
      <c r="G148" s="98"/>
      <c r="H148" s="98"/>
      <c r="I148" s="37"/>
      <c r="J148" s="37"/>
      <c r="L148" s="105"/>
      <c r="M148" s="105"/>
      <c r="N148" s="105"/>
      <c r="O148" s="105"/>
      <c r="P148" s="98"/>
    </row>
    <row r="149" spans="3:16" x14ac:dyDescent="0.25">
      <c r="C149" s="18">
        <v>116</v>
      </c>
      <c r="D149" s="105"/>
      <c r="E149" s="254"/>
      <c r="F149" s="98"/>
      <c r="G149" s="98"/>
      <c r="H149" s="98"/>
      <c r="I149" s="37"/>
      <c r="J149" s="37"/>
      <c r="L149" s="105"/>
      <c r="M149" s="105"/>
      <c r="N149" s="105"/>
      <c r="O149" s="105"/>
      <c r="P149" s="98"/>
    </row>
    <row r="150" spans="3:16" x14ac:dyDescent="0.25">
      <c r="C150" s="18">
        <v>117</v>
      </c>
      <c r="D150" s="105"/>
      <c r="E150" s="254"/>
      <c r="F150" s="98"/>
      <c r="G150" s="98"/>
      <c r="H150" s="98"/>
      <c r="I150" s="37"/>
      <c r="J150" s="37"/>
      <c r="L150" s="105"/>
      <c r="M150" s="105"/>
      <c r="N150" s="105"/>
      <c r="O150" s="105"/>
      <c r="P150" s="98"/>
    </row>
    <row r="151" spans="3:16" x14ac:dyDescent="0.25">
      <c r="C151" s="18">
        <v>118</v>
      </c>
      <c r="D151" s="105"/>
      <c r="E151" s="254"/>
      <c r="F151" s="98"/>
      <c r="G151" s="98"/>
      <c r="H151" s="98"/>
      <c r="I151" s="37"/>
      <c r="J151" s="37"/>
      <c r="L151" s="105"/>
      <c r="M151" s="105"/>
      <c r="N151" s="105"/>
      <c r="O151" s="105"/>
      <c r="P151" s="98"/>
    </row>
    <row r="152" spans="3:16" x14ac:dyDescent="0.25">
      <c r="C152" s="18">
        <v>119</v>
      </c>
      <c r="D152" s="105"/>
      <c r="E152" s="254"/>
      <c r="F152" s="98"/>
      <c r="G152" s="98"/>
      <c r="H152" s="98"/>
      <c r="I152" s="37"/>
      <c r="J152" s="37"/>
      <c r="L152" s="105"/>
      <c r="M152" s="105"/>
      <c r="N152" s="105"/>
      <c r="O152" s="105"/>
      <c r="P152" s="98"/>
    </row>
    <row r="153" spans="3:16" x14ac:dyDescent="0.25">
      <c r="C153" s="18">
        <v>120</v>
      </c>
      <c r="D153" s="105"/>
      <c r="E153" s="254"/>
      <c r="F153" s="98"/>
      <c r="G153" s="98"/>
      <c r="H153" s="98"/>
      <c r="I153" s="37"/>
      <c r="J153" s="37"/>
      <c r="L153" s="105"/>
      <c r="M153" s="105"/>
      <c r="N153" s="105"/>
      <c r="O153" s="105"/>
      <c r="P153" s="98"/>
    </row>
    <row r="154" spans="3:16" x14ac:dyDescent="0.25">
      <c r="C154" s="18">
        <v>121</v>
      </c>
      <c r="D154" s="105"/>
      <c r="E154" s="254"/>
      <c r="F154" s="98"/>
      <c r="G154" s="98"/>
      <c r="H154" s="98"/>
      <c r="I154" s="37"/>
      <c r="J154" s="37"/>
      <c r="L154" s="105"/>
      <c r="M154" s="105"/>
      <c r="N154" s="105"/>
      <c r="O154" s="105"/>
      <c r="P154" s="98"/>
    </row>
    <row r="155" spans="3:16" x14ac:dyDescent="0.25">
      <c r="C155" s="18">
        <v>122</v>
      </c>
      <c r="D155" s="105"/>
      <c r="E155" s="254"/>
      <c r="F155" s="98"/>
      <c r="G155" s="98"/>
      <c r="H155" s="98"/>
      <c r="I155" s="37"/>
      <c r="J155" s="37"/>
      <c r="L155" s="105"/>
      <c r="M155" s="105"/>
      <c r="N155" s="105"/>
      <c r="O155" s="105"/>
      <c r="P155" s="98"/>
    </row>
    <row r="156" spans="3:16" x14ac:dyDescent="0.25">
      <c r="C156" s="18">
        <v>123</v>
      </c>
      <c r="D156" s="105"/>
      <c r="E156" s="254"/>
      <c r="F156" s="98"/>
      <c r="G156" s="98"/>
      <c r="H156" s="98"/>
      <c r="I156" s="37"/>
      <c r="J156" s="37"/>
      <c r="L156" s="105"/>
      <c r="M156" s="105"/>
      <c r="N156" s="105"/>
      <c r="O156" s="105"/>
      <c r="P156" s="98"/>
    </row>
    <row r="157" spans="3:16" x14ac:dyDescent="0.25">
      <c r="C157" s="18">
        <v>124</v>
      </c>
      <c r="D157" s="105"/>
      <c r="E157" s="254"/>
      <c r="F157" s="98"/>
      <c r="G157" s="98"/>
      <c r="H157" s="98"/>
      <c r="I157" s="37"/>
      <c r="J157" s="37"/>
      <c r="L157" s="105"/>
      <c r="M157" s="105"/>
      <c r="N157" s="105"/>
      <c r="O157" s="105"/>
      <c r="P157" s="98"/>
    </row>
    <row r="158" spans="3:16" x14ac:dyDescent="0.25">
      <c r="C158" s="18">
        <v>125</v>
      </c>
      <c r="D158" s="105"/>
      <c r="E158" s="254"/>
      <c r="F158" s="98"/>
      <c r="G158" s="98"/>
      <c r="H158" s="98"/>
      <c r="I158" s="37"/>
      <c r="J158" s="37"/>
      <c r="L158" s="105"/>
      <c r="M158" s="105"/>
      <c r="N158" s="105"/>
      <c r="O158" s="105"/>
      <c r="P158" s="98"/>
    </row>
    <row r="159" spans="3:16" x14ac:dyDescent="0.25">
      <c r="C159" s="18">
        <v>126</v>
      </c>
      <c r="D159" s="105"/>
      <c r="E159" s="254"/>
      <c r="F159" s="98"/>
      <c r="G159" s="98"/>
      <c r="H159" s="98"/>
      <c r="I159" s="37"/>
      <c r="J159" s="37"/>
      <c r="L159" s="105"/>
      <c r="M159" s="105"/>
      <c r="N159" s="105"/>
      <c r="O159" s="105"/>
      <c r="P159" s="98"/>
    </row>
    <row r="160" spans="3:16" x14ac:dyDescent="0.25">
      <c r="C160" s="18">
        <v>127</v>
      </c>
      <c r="D160" s="105"/>
      <c r="E160" s="254"/>
      <c r="F160" s="98"/>
      <c r="G160" s="98"/>
      <c r="H160" s="98"/>
      <c r="I160" s="37"/>
      <c r="J160" s="37"/>
      <c r="L160" s="105"/>
      <c r="M160" s="105"/>
      <c r="N160" s="105"/>
      <c r="O160" s="105"/>
      <c r="P160" s="98"/>
    </row>
    <row r="161" spans="3:16" x14ac:dyDescent="0.25">
      <c r="C161" s="18">
        <v>128</v>
      </c>
      <c r="D161" s="105"/>
      <c r="E161" s="254"/>
      <c r="F161" s="98"/>
      <c r="G161" s="98"/>
      <c r="H161" s="98"/>
      <c r="I161" s="37"/>
      <c r="J161" s="37"/>
      <c r="L161" s="105"/>
      <c r="M161" s="105"/>
      <c r="N161" s="105"/>
      <c r="O161" s="105"/>
      <c r="P161" s="98"/>
    </row>
    <row r="162" spans="3:16" x14ac:dyDescent="0.25">
      <c r="C162" s="18">
        <v>129</v>
      </c>
      <c r="D162" s="105"/>
      <c r="E162" s="254"/>
      <c r="F162" s="98"/>
      <c r="G162" s="98"/>
      <c r="H162" s="98"/>
      <c r="I162" s="37"/>
      <c r="J162" s="37"/>
      <c r="L162" s="105"/>
      <c r="M162" s="105"/>
      <c r="N162" s="105"/>
      <c r="O162" s="105"/>
      <c r="P162" s="98"/>
    </row>
    <row r="163" spans="3:16" x14ac:dyDescent="0.25">
      <c r="C163" s="18">
        <v>130</v>
      </c>
      <c r="D163" s="105"/>
      <c r="E163" s="254"/>
      <c r="F163" s="98"/>
      <c r="G163" s="98"/>
      <c r="H163" s="98"/>
      <c r="I163" s="37"/>
      <c r="J163" s="37"/>
      <c r="L163" s="105"/>
      <c r="M163" s="105"/>
      <c r="N163" s="105"/>
      <c r="O163" s="105"/>
      <c r="P163" s="98"/>
    </row>
    <row r="164" spans="3:16" x14ac:dyDescent="0.25">
      <c r="C164" s="18">
        <v>131</v>
      </c>
      <c r="D164" s="105"/>
      <c r="E164" s="254"/>
      <c r="F164" s="98"/>
      <c r="G164" s="98"/>
      <c r="H164" s="98"/>
      <c r="I164" s="37"/>
      <c r="J164" s="37"/>
      <c r="L164" s="105"/>
      <c r="M164" s="105"/>
      <c r="N164" s="105"/>
      <c r="O164" s="105"/>
      <c r="P164" s="98"/>
    </row>
    <row r="165" spans="3:16" x14ac:dyDescent="0.25">
      <c r="C165" s="18">
        <v>132</v>
      </c>
      <c r="D165" s="105"/>
      <c r="E165" s="254"/>
      <c r="F165" s="98"/>
      <c r="G165" s="98"/>
      <c r="H165" s="98"/>
      <c r="I165" s="37"/>
      <c r="J165" s="37"/>
      <c r="L165" s="105"/>
      <c r="M165" s="105"/>
      <c r="N165" s="105"/>
      <c r="O165" s="105"/>
      <c r="P165" s="98"/>
    </row>
    <row r="166" spans="3:16" x14ac:dyDescent="0.25">
      <c r="C166" s="18">
        <v>133</v>
      </c>
      <c r="D166" s="105"/>
      <c r="E166" s="254"/>
      <c r="F166" s="98"/>
      <c r="G166" s="98"/>
      <c r="H166" s="98"/>
      <c r="I166" s="37"/>
      <c r="J166" s="37"/>
      <c r="L166" s="105"/>
      <c r="M166" s="105"/>
      <c r="N166" s="105"/>
      <c r="O166" s="105"/>
      <c r="P166" s="98"/>
    </row>
    <row r="167" spans="3:16" x14ac:dyDescent="0.25">
      <c r="C167" s="18">
        <v>134</v>
      </c>
      <c r="D167" s="105"/>
      <c r="E167" s="254"/>
      <c r="F167" s="98"/>
      <c r="G167" s="98"/>
      <c r="H167" s="98"/>
      <c r="I167" s="37"/>
      <c r="J167" s="37"/>
      <c r="L167" s="105"/>
      <c r="M167" s="105"/>
      <c r="N167" s="105"/>
      <c r="O167" s="105"/>
      <c r="P167" s="98"/>
    </row>
    <row r="168" spans="3:16" x14ac:dyDescent="0.25">
      <c r="C168" s="18">
        <v>135</v>
      </c>
      <c r="D168" s="105"/>
      <c r="E168" s="254"/>
      <c r="F168" s="98"/>
      <c r="G168" s="98"/>
      <c r="H168" s="98"/>
      <c r="I168" s="37"/>
      <c r="J168" s="37"/>
      <c r="L168" s="105"/>
      <c r="M168" s="105"/>
      <c r="N168" s="105"/>
      <c r="O168" s="105"/>
      <c r="P168" s="98"/>
    </row>
    <row r="169" spans="3:16" x14ac:dyDescent="0.25">
      <c r="C169" s="18">
        <v>136</v>
      </c>
      <c r="D169" s="105"/>
      <c r="E169" s="254"/>
      <c r="F169" s="98"/>
      <c r="G169" s="98"/>
      <c r="H169" s="98"/>
      <c r="I169" s="37"/>
      <c r="J169" s="37"/>
      <c r="L169" s="105"/>
      <c r="M169" s="105"/>
      <c r="N169" s="105"/>
      <c r="O169" s="105"/>
      <c r="P169" s="98"/>
    </row>
    <row r="170" spans="3:16" x14ac:dyDescent="0.25">
      <c r="C170" s="18">
        <v>137</v>
      </c>
      <c r="D170" s="105"/>
      <c r="E170" s="254"/>
      <c r="F170" s="98"/>
      <c r="G170" s="98"/>
      <c r="H170" s="98"/>
      <c r="I170" s="37"/>
      <c r="J170" s="37"/>
      <c r="L170" s="105"/>
      <c r="M170" s="105"/>
      <c r="N170" s="105"/>
      <c r="O170" s="105"/>
      <c r="P170" s="98"/>
    </row>
    <row r="171" spans="3:16" x14ac:dyDescent="0.25">
      <c r="C171" s="18">
        <v>138</v>
      </c>
      <c r="D171" s="105"/>
      <c r="E171" s="254"/>
      <c r="F171" s="98"/>
      <c r="G171" s="98"/>
      <c r="H171" s="98"/>
      <c r="I171" s="37"/>
      <c r="J171" s="37"/>
      <c r="L171" s="105"/>
      <c r="M171" s="105"/>
      <c r="N171" s="105"/>
      <c r="O171" s="105"/>
      <c r="P171" s="98"/>
    </row>
    <row r="172" spans="3:16" x14ac:dyDescent="0.25">
      <c r="C172" s="18">
        <v>139</v>
      </c>
      <c r="D172" s="105"/>
      <c r="E172" s="254"/>
      <c r="F172" s="98"/>
      <c r="G172" s="98"/>
      <c r="H172" s="98"/>
      <c r="I172" s="37"/>
      <c r="J172" s="37"/>
      <c r="L172" s="105"/>
      <c r="M172" s="105"/>
      <c r="N172" s="105"/>
      <c r="O172" s="105"/>
      <c r="P172" s="98"/>
    </row>
    <row r="173" spans="3:16" x14ac:dyDescent="0.25">
      <c r="C173" s="18">
        <v>140</v>
      </c>
      <c r="D173" s="105"/>
      <c r="E173" s="254"/>
      <c r="F173" s="98"/>
      <c r="G173" s="98"/>
      <c r="H173" s="98"/>
      <c r="I173" s="37"/>
      <c r="J173" s="37"/>
      <c r="L173" s="105"/>
      <c r="M173" s="105"/>
      <c r="N173" s="105"/>
      <c r="O173" s="105"/>
      <c r="P173" s="98"/>
    </row>
    <row r="174" spans="3:16" x14ac:dyDescent="0.25">
      <c r="C174" s="18">
        <v>141</v>
      </c>
      <c r="D174" s="105"/>
      <c r="E174" s="254"/>
      <c r="F174" s="98"/>
      <c r="G174" s="98"/>
      <c r="H174" s="98"/>
      <c r="I174" s="37"/>
      <c r="J174" s="37"/>
      <c r="L174" s="105"/>
      <c r="M174" s="105"/>
      <c r="N174" s="105"/>
      <c r="O174" s="105"/>
      <c r="P174" s="98"/>
    </row>
    <row r="175" spans="3:16" x14ac:dyDescent="0.25">
      <c r="C175" s="18">
        <v>142</v>
      </c>
      <c r="D175" s="105"/>
      <c r="E175" s="254"/>
      <c r="F175" s="98"/>
      <c r="G175" s="98"/>
      <c r="H175" s="98"/>
      <c r="I175" s="37"/>
      <c r="J175" s="37"/>
      <c r="L175" s="105"/>
      <c r="M175" s="105"/>
      <c r="N175" s="105"/>
      <c r="O175" s="105"/>
      <c r="P175" s="98"/>
    </row>
    <row r="176" spans="3:16" x14ac:dyDescent="0.25">
      <c r="C176" s="18">
        <v>143</v>
      </c>
      <c r="D176" s="105"/>
      <c r="E176" s="254"/>
      <c r="F176" s="98"/>
      <c r="G176" s="98"/>
      <c r="H176" s="98"/>
      <c r="I176" s="37"/>
      <c r="J176" s="37"/>
      <c r="L176" s="105"/>
      <c r="M176" s="105"/>
      <c r="N176" s="105"/>
      <c r="O176" s="105"/>
      <c r="P176" s="98"/>
    </row>
    <row r="177" spans="3:16" x14ac:dyDescent="0.25">
      <c r="C177" s="18">
        <v>144</v>
      </c>
      <c r="D177" s="105"/>
      <c r="E177" s="254"/>
      <c r="F177" s="98"/>
      <c r="G177" s="98"/>
      <c r="H177" s="98"/>
      <c r="I177" s="37"/>
      <c r="J177" s="37"/>
      <c r="L177" s="105"/>
      <c r="M177" s="105"/>
      <c r="N177" s="105"/>
      <c r="O177" s="105"/>
      <c r="P177" s="98"/>
    </row>
    <row r="178" spans="3:16" x14ac:dyDescent="0.25">
      <c r="C178" s="18">
        <v>145</v>
      </c>
      <c r="D178" s="105"/>
      <c r="E178" s="254"/>
      <c r="F178" s="98"/>
      <c r="G178" s="98"/>
      <c r="H178" s="98"/>
      <c r="I178" s="37"/>
      <c r="J178" s="37"/>
      <c r="L178" s="105"/>
      <c r="M178" s="105"/>
      <c r="N178" s="105"/>
      <c r="O178" s="105"/>
      <c r="P178" s="98"/>
    </row>
    <row r="179" spans="3:16" x14ac:dyDescent="0.25">
      <c r="C179" s="18">
        <v>146</v>
      </c>
      <c r="D179" s="105"/>
      <c r="E179" s="254"/>
      <c r="F179" s="98"/>
      <c r="G179" s="98"/>
      <c r="H179" s="98"/>
      <c r="I179" s="37"/>
      <c r="J179" s="37"/>
      <c r="L179" s="105"/>
      <c r="M179" s="105"/>
      <c r="N179" s="105"/>
      <c r="O179" s="105"/>
      <c r="P179" s="98"/>
    </row>
    <row r="180" spans="3:16" x14ac:dyDescent="0.25">
      <c r="C180" s="18">
        <v>147</v>
      </c>
      <c r="D180" s="105"/>
      <c r="E180" s="254"/>
      <c r="F180" s="98"/>
      <c r="G180" s="98"/>
      <c r="H180" s="98"/>
      <c r="I180" s="37"/>
      <c r="J180" s="37"/>
      <c r="L180" s="105"/>
      <c r="M180" s="105"/>
      <c r="N180" s="105"/>
      <c r="O180" s="105"/>
      <c r="P180" s="98"/>
    </row>
    <row r="181" spans="3:16" x14ac:dyDescent="0.25">
      <c r="C181" s="18">
        <v>148</v>
      </c>
      <c r="D181" s="105"/>
      <c r="E181" s="254"/>
      <c r="F181" s="98"/>
      <c r="G181" s="98"/>
      <c r="H181" s="98"/>
      <c r="I181" s="37"/>
      <c r="J181" s="37"/>
      <c r="L181" s="105"/>
      <c r="M181" s="105"/>
      <c r="N181" s="105"/>
      <c r="O181" s="105"/>
      <c r="P181" s="98"/>
    </row>
    <row r="182" spans="3:16" x14ac:dyDescent="0.25">
      <c r="C182" s="18">
        <v>149</v>
      </c>
      <c r="D182" s="105"/>
      <c r="E182" s="254"/>
      <c r="F182" s="98"/>
      <c r="G182" s="98"/>
      <c r="H182" s="98"/>
      <c r="I182" s="37"/>
      <c r="J182" s="37"/>
      <c r="L182" s="105"/>
      <c r="M182" s="105"/>
      <c r="N182" s="105"/>
      <c r="O182" s="105"/>
      <c r="P182" s="98"/>
    </row>
    <row r="183" spans="3:16" x14ac:dyDescent="0.25">
      <c r="C183" s="18">
        <v>150</v>
      </c>
      <c r="D183" s="105"/>
      <c r="E183" s="254"/>
      <c r="F183" s="98"/>
      <c r="G183" s="98"/>
      <c r="H183" s="98"/>
      <c r="I183" s="37"/>
      <c r="J183" s="37"/>
      <c r="L183" s="105"/>
      <c r="M183" s="105"/>
      <c r="N183" s="105"/>
      <c r="O183" s="105"/>
      <c r="P183" s="98"/>
    </row>
    <row r="184" spans="3:16" x14ac:dyDescent="0.25">
      <c r="C184" s="18">
        <v>151</v>
      </c>
      <c r="D184" s="105"/>
      <c r="E184" s="254"/>
      <c r="F184" s="98"/>
      <c r="G184" s="98"/>
      <c r="H184" s="98"/>
      <c r="I184" s="37"/>
      <c r="J184" s="37"/>
      <c r="L184" s="105"/>
      <c r="M184" s="105"/>
      <c r="N184" s="105"/>
      <c r="O184" s="105"/>
      <c r="P184" s="98"/>
    </row>
    <row r="185" spans="3:16" x14ac:dyDescent="0.25">
      <c r="C185" s="18">
        <v>152</v>
      </c>
      <c r="D185" s="105"/>
      <c r="E185" s="254"/>
      <c r="F185" s="98"/>
      <c r="G185" s="98"/>
      <c r="H185" s="98"/>
      <c r="I185" s="37"/>
      <c r="J185" s="37"/>
      <c r="L185" s="105"/>
      <c r="M185" s="105"/>
      <c r="N185" s="105"/>
      <c r="O185" s="105"/>
      <c r="P185" s="98"/>
    </row>
    <row r="186" spans="3:16" x14ac:dyDescent="0.25">
      <c r="C186" s="18">
        <v>153</v>
      </c>
      <c r="D186" s="105"/>
      <c r="E186" s="254"/>
      <c r="F186" s="98"/>
      <c r="G186" s="98"/>
      <c r="H186" s="98"/>
      <c r="I186" s="37"/>
      <c r="J186" s="37"/>
      <c r="L186" s="105"/>
      <c r="M186" s="105"/>
      <c r="N186" s="105"/>
      <c r="O186" s="105"/>
      <c r="P186" s="98"/>
    </row>
    <row r="187" spans="3:16" x14ac:dyDescent="0.25">
      <c r="C187" s="18">
        <v>154</v>
      </c>
      <c r="D187" s="105"/>
      <c r="E187" s="254"/>
      <c r="F187" s="98"/>
      <c r="G187" s="98"/>
      <c r="H187" s="98"/>
      <c r="I187" s="37"/>
      <c r="J187" s="37"/>
      <c r="L187" s="105"/>
      <c r="M187" s="105"/>
      <c r="N187" s="105"/>
      <c r="O187" s="105"/>
      <c r="P187" s="98"/>
    </row>
    <row r="188" spans="3:16" x14ac:dyDescent="0.25">
      <c r="C188" s="18">
        <v>155</v>
      </c>
      <c r="D188" s="105"/>
      <c r="E188" s="254"/>
      <c r="F188" s="98"/>
      <c r="G188" s="98"/>
      <c r="H188" s="98"/>
      <c r="I188" s="37"/>
      <c r="J188" s="37"/>
      <c r="L188" s="105"/>
      <c r="M188" s="105"/>
      <c r="N188" s="105"/>
      <c r="O188" s="105"/>
      <c r="P188" s="98"/>
    </row>
    <row r="189" spans="3:16" x14ac:dyDescent="0.25">
      <c r="C189" s="18">
        <v>156</v>
      </c>
      <c r="D189" s="105"/>
      <c r="E189" s="254"/>
      <c r="F189" s="98"/>
      <c r="G189" s="98"/>
      <c r="H189" s="98"/>
      <c r="I189" s="37"/>
      <c r="J189" s="37"/>
      <c r="L189" s="105"/>
      <c r="M189" s="105"/>
      <c r="N189" s="105"/>
      <c r="O189" s="105"/>
      <c r="P189" s="98"/>
    </row>
    <row r="190" spans="3:16" x14ac:dyDescent="0.25">
      <c r="C190" s="18">
        <v>157</v>
      </c>
      <c r="D190" s="105"/>
      <c r="E190" s="254"/>
      <c r="F190" s="98"/>
      <c r="G190" s="98"/>
      <c r="H190" s="98"/>
      <c r="I190" s="37"/>
      <c r="J190" s="37"/>
      <c r="L190" s="105"/>
      <c r="M190" s="105"/>
      <c r="N190" s="105"/>
      <c r="O190" s="105"/>
      <c r="P190" s="98"/>
    </row>
    <row r="191" spans="3:16" x14ac:dyDescent="0.25">
      <c r="C191" s="18">
        <v>158</v>
      </c>
      <c r="D191" s="105"/>
      <c r="E191" s="254"/>
      <c r="F191" s="98"/>
      <c r="G191" s="98"/>
      <c r="H191" s="98"/>
      <c r="I191" s="37"/>
      <c r="J191" s="37"/>
      <c r="L191" s="105"/>
      <c r="M191" s="105"/>
      <c r="N191" s="105"/>
      <c r="O191" s="105"/>
      <c r="P191" s="98"/>
    </row>
    <row r="192" spans="3:16" x14ac:dyDescent="0.25">
      <c r="C192" s="18">
        <v>159</v>
      </c>
      <c r="D192" s="105"/>
      <c r="E192" s="254"/>
      <c r="F192" s="98"/>
      <c r="G192" s="98"/>
      <c r="H192" s="98"/>
      <c r="I192" s="37"/>
      <c r="J192" s="37"/>
      <c r="L192" s="105"/>
      <c r="M192" s="105"/>
      <c r="N192" s="105"/>
      <c r="O192" s="105"/>
      <c r="P192" s="98"/>
    </row>
    <row r="193" spans="3:16" x14ac:dyDescent="0.25">
      <c r="C193" s="18">
        <v>160</v>
      </c>
      <c r="D193" s="105"/>
      <c r="E193" s="254"/>
      <c r="F193" s="98"/>
      <c r="G193" s="98"/>
      <c r="H193" s="98"/>
      <c r="I193" s="37"/>
      <c r="J193" s="37"/>
      <c r="L193" s="105"/>
      <c r="M193" s="105"/>
      <c r="N193" s="105"/>
      <c r="O193" s="105"/>
      <c r="P193" s="98"/>
    </row>
    <row r="194" spans="3:16" x14ac:dyDescent="0.25">
      <c r="C194" s="18">
        <v>161</v>
      </c>
      <c r="D194" s="105"/>
      <c r="E194" s="254"/>
      <c r="F194" s="98"/>
      <c r="G194" s="98"/>
      <c r="H194" s="98"/>
      <c r="I194" s="37"/>
      <c r="J194" s="37"/>
      <c r="L194" s="105"/>
      <c r="M194" s="105"/>
      <c r="N194" s="105"/>
      <c r="O194" s="105"/>
      <c r="P194" s="98"/>
    </row>
    <row r="195" spans="3:16" x14ac:dyDescent="0.25">
      <c r="C195" s="18">
        <v>162</v>
      </c>
      <c r="D195" s="105"/>
      <c r="E195" s="254"/>
      <c r="F195" s="98"/>
      <c r="G195" s="98"/>
      <c r="H195" s="98"/>
      <c r="I195" s="37"/>
      <c r="J195" s="37"/>
      <c r="L195" s="105"/>
      <c r="M195" s="105"/>
      <c r="N195" s="105"/>
      <c r="O195" s="105"/>
      <c r="P195" s="98"/>
    </row>
    <row r="196" spans="3:16" x14ac:dyDescent="0.25">
      <c r="C196" s="18">
        <v>163</v>
      </c>
      <c r="D196" s="105"/>
      <c r="E196" s="254"/>
      <c r="F196" s="98"/>
      <c r="G196" s="98"/>
      <c r="H196" s="98"/>
      <c r="I196" s="37"/>
      <c r="J196" s="37"/>
      <c r="L196" s="105"/>
      <c r="M196" s="105"/>
      <c r="N196" s="105"/>
      <c r="O196" s="105"/>
      <c r="P196" s="98"/>
    </row>
    <row r="197" spans="3:16" x14ac:dyDescent="0.25">
      <c r="C197" s="18">
        <v>164</v>
      </c>
      <c r="D197" s="105"/>
      <c r="E197" s="254"/>
      <c r="F197" s="98"/>
      <c r="G197" s="98"/>
      <c r="H197" s="98"/>
      <c r="I197" s="37"/>
      <c r="J197" s="37"/>
      <c r="L197" s="105"/>
      <c r="M197" s="105"/>
      <c r="N197" s="105"/>
      <c r="O197" s="105"/>
      <c r="P197" s="98"/>
    </row>
    <row r="198" spans="3:16" x14ac:dyDescent="0.25">
      <c r="C198" s="18">
        <v>165</v>
      </c>
      <c r="D198" s="105"/>
      <c r="E198" s="254"/>
      <c r="F198" s="98"/>
      <c r="G198" s="98"/>
      <c r="H198" s="98"/>
      <c r="I198" s="37"/>
      <c r="J198" s="37"/>
      <c r="L198" s="105"/>
      <c r="M198" s="105"/>
      <c r="N198" s="105"/>
      <c r="O198" s="105"/>
      <c r="P198" s="98"/>
    </row>
    <row r="199" spans="3:16" x14ac:dyDescent="0.25">
      <c r="C199" s="18">
        <v>166</v>
      </c>
      <c r="D199" s="105"/>
      <c r="E199" s="254"/>
      <c r="F199" s="98"/>
      <c r="G199" s="98"/>
      <c r="H199" s="98"/>
      <c r="I199" s="37"/>
      <c r="J199" s="37"/>
      <c r="L199" s="105"/>
      <c r="M199" s="105"/>
      <c r="N199" s="105"/>
      <c r="O199" s="105"/>
      <c r="P199" s="98"/>
    </row>
    <row r="200" spans="3:16" x14ac:dyDescent="0.25">
      <c r="C200" s="18">
        <v>167</v>
      </c>
      <c r="D200" s="105"/>
      <c r="E200" s="254"/>
      <c r="F200" s="98"/>
      <c r="G200" s="98"/>
      <c r="H200" s="98"/>
      <c r="I200" s="37"/>
      <c r="J200" s="37"/>
      <c r="L200" s="105"/>
      <c r="M200" s="105"/>
      <c r="N200" s="105"/>
      <c r="O200" s="105"/>
      <c r="P200" s="98"/>
    </row>
    <row r="201" spans="3:16" x14ac:dyDescent="0.25">
      <c r="C201" s="18">
        <v>168</v>
      </c>
      <c r="D201" s="105"/>
      <c r="E201" s="254"/>
      <c r="F201" s="98"/>
      <c r="G201" s="98"/>
      <c r="H201" s="98"/>
      <c r="I201" s="37"/>
      <c r="J201" s="37"/>
      <c r="L201" s="105"/>
      <c r="M201" s="105"/>
      <c r="N201" s="105"/>
      <c r="O201" s="105"/>
      <c r="P201" s="98"/>
    </row>
    <row r="202" spans="3:16" x14ac:dyDescent="0.25">
      <c r="C202" s="18">
        <v>169</v>
      </c>
      <c r="D202" s="105"/>
      <c r="E202" s="254"/>
      <c r="F202" s="98"/>
      <c r="G202" s="98"/>
      <c r="H202" s="98"/>
      <c r="I202" s="37"/>
      <c r="J202" s="37"/>
      <c r="L202" s="105"/>
      <c r="M202" s="105"/>
      <c r="N202" s="105"/>
      <c r="O202" s="105"/>
      <c r="P202" s="98"/>
    </row>
    <row r="203" spans="3:16" x14ac:dyDescent="0.25">
      <c r="C203" s="18">
        <v>170</v>
      </c>
      <c r="D203" s="105"/>
      <c r="E203" s="254"/>
      <c r="F203" s="98"/>
      <c r="G203" s="98"/>
      <c r="H203" s="98"/>
      <c r="I203" s="37"/>
      <c r="J203" s="37"/>
      <c r="L203" s="105"/>
      <c r="M203" s="105"/>
      <c r="N203" s="105"/>
      <c r="O203" s="105"/>
      <c r="P203" s="98"/>
    </row>
    <row r="204" spans="3:16" x14ac:dyDescent="0.25">
      <c r="C204" s="18">
        <v>171</v>
      </c>
      <c r="D204" s="105"/>
      <c r="E204" s="254"/>
      <c r="F204" s="98"/>
      <c r="G204" s="98"/>
      <c r="H204" s="98"/>
      <c r="I204" s="37"/>
      <c r="J204" s="37"/>
      <c r="L204" s="105"/>
      <c r="M204" s="105"/>
      <c r="N204" s="105"/>
      <c r="O204" s="105"/>
      <c r="P204" s="98"/>
    </row>
    <row r="205" spans="3:16" x14ac:dyDescent="0.25">
      <c r="C205" s="18">
        <v>172</v>
      </c>
      <c r="D205" s="105"/>
      <c r="E205" s="254"/>
      <c r="F205" s="98"/>
      <c r="G205" s="98"/>
      <c r="H205" s="98"/>
      <c r="I205" s="37"/>
      <c r="J205" s="37"/>
      <c r="L205" s="105"/>
      <c r="M205" s="105"/>
      <c r="N205" s="105"/>
      <c r="O205" s="105"/>
      <c r="P205" s="98"/>
    </row>
    <row r="206" spans="3:16" x14ac:dyDescent="0.25">
      <c r="C206" s="18">
        <v>173</v>
      </c>
      <c r="D206" s="105"/>
      <c r="E206" s="254"/>
      <c r="F206" s="98"/>
      <c r="G206" s="98"/>
      <c r="H206" s="98"/>
      <c r="I206" s="37"/>
      <c r="J206" s="37"/>
      <c r="L206" s="105"/>
      <c r="M206" s="105"/>
      <c r="N206" s="105"/>
      <c r="O206" s="105"/>
      <c r="P206" s="98"/>
    </row>
    <row r="207" spans="3:16" x14ac:dyDescent="0.25">
      <c r="C207" s="18">
        <v>174</v>
      </c>
      <c r="D207" s="105"/>
      <c r="E207" s="254"/>
      <c r="F207" s="98"/>
      <c r="G207" s="98"/>
      <c r="H207" s="98"/>
      <c r="I207" s="37"/>
      <c r="J207" s="37"/>
      <c r="L207" s="105"/>
      <c r="M207" s="105"/>
      <c r="N207" s="105"/>
      <c r="O207" s="105"/>
      <c r="P207" s="98"/>
    </row>
    <row r="208" spans="3:16" x14ac:dyDescent="0.25">
      <c r="C208" s="18">
        <v>175</v>
      </c>
      <c r="D208" s="105"/>
      <c r="E208" s="254"/>
      <c r="F208" s="98"/>
      <c r="G208" s="98"/>
      <c r="H208" s="98"/>
      <c r="I208" s="37"/>
      <c r="J208" s="37"/>
      <c r="L208" s="105"/>
      <c r="M208" s="105"/>
      <c r="N208" s="105"/>
      <c r="O208" s="105"/>
      <c r="P208" s="98"/>
    </row>
    <row r="209" spans="3:16" x14ac:dyDescent="0.25">
      <c r="C209" s="18">
        <v>176</v>
      </c>
      <c r="D209" s="105"/>
      <c r="E209" s="254"/>
      <c r="F209" s="98"/>
      <c r="G209" s="98"/>
      <c r="H209" s="98"/>
      <c r="I209" s="37"/>
      <c r="J209" s="37"/>
      <c r="L209" s="105"/>
      <c r="M209" s="105"/>
      <c r="N209" s="105"/>
      <c r="O209" s="105"/>
      <c r="P209" s="98"/>
    </row>
    <row r="210" spans="3:16" x14ac:dyDescent="0.25">
      <c r="C210" s="18">
        <v>177</v>
      </c>
      <c r="D210" s="105"/>
      <c r="E210" s="254"/>
      <c r="F210" s="98"/>
      <c r="G210" s="98"/>
      <c r="H210" s="98"/>
      <c r="I210" s="37"/>
      <c r="J210" s="37"/>
      <c r="L210" s="105"/>
      <c r="M210" s="105"/>
      <c r="N210" s="105"/>
      <c r="O210" s="105"/>
      <c r="P210" s="98"/>
    </row>
    <row r="211" spans="3:16" x14ac:dyDescent="0.25">
      <c r="C211" s="18">
        <v>178</v>
      </c>
      <c r="D211" s="105"/>
      <c r="E211" s="254"/>
      <c r="F211" s="98"/>
      <c r="G211" s="98"/>
      <c r="H211" s="98"/>
      <c r="I211" s="37"/>
      <c r="J211" s="37"/>
      <c r="L211" s="105"/>
      <c r="M211" s="105"/>
      <c r="N211" s="105"/>
      <c r="O211" s="105"/>
      <c r="P211" s="98"/>
    </row>
    <row r="212" spans="3:16" x14ac:dyDescent="0.25">
      <c r="C212" s="18">
        <v>179</v>
      </c>
      <c r="D212" s="105"/>
      <c r="E212" s="254"/>
      <c r="F212" s="98"/>
      <c r="G212" s="98"/>
      <c r="H212" s="98"/>
      <c r="I212" s="37"/>
      <c r="J212" s="37"/>
      <c r="L212" s="105"/>
      <c r="M212" s="105"/>
      <c r="N212" s="105"/>
      <c r="O212" s="105"/>
      <c r="P212" s="98"/>
    </row>
    <row r="213" spans="3:16" x14ac:dyDescent="0.25">
      <c r="C213" s="18">
        <v>180</v>
      </c>
      <c r="D213" s="105"/>
      <c r="E213" s="254"/>
      <c r="F213" s="98"/>
      <c r="G213" s="98"/>
      <c r="H213" s="98"/>
      <c r="I213" s="37"/>
      <c r="J213" s="37"/>
      <c r="L213" s="105"/>
      <c r="M213" s="105"/>
      <c r="N213" s="105"/>
      <c r="O213" s="105"/>
      <c r="P213" s="98"/>
    </row>
    <row r="214" spans="3:16" x14ac:dyDescent="0.25">
      <c r="C214" s="18">
        <v>181</v>
      </c>
      <c r="D214" s="105"/>
      <c r="E214" s="254"/>
      <c r="F214" s="98"/>
      <c r="G214" s="98"/>
      <c r="H214" s="98"/>
      <c r="I214" s="37"/>
      <c r="J214" s="37"/>
      <c r="L214" s="105"/>
      <c r="M214" s="105"/>
      <c r="N214" s="105"/>
      <c r="O214" s="105"/>
      <c r="P214" s="98"/>
    </row>
    <row r="215" spans="3:16" x14ac:dyDescent="0.25">
      <c r="C215" s="18">
        <v>182</v>
      </c>
      <c r="D215" s="105"/>
      <c r="E215" s="254"/>
      <c r="F215" s="98"/>
      <c r="G215" s="98"/>
      <c r="H215" s="98"/>
      <c r="I215" s="37"/>
      <c r="J215" s="37"/>
      <c r="L215" s="105"/>
      <c r="M215" s="105"/>
      <c r="N215" s="105"/>
      <c r="O215" s="105"/>
      <c r="P215" s="98"/>
    </row>
    <row r="216" spans="3:16" x14ac:dyDescent="0.25">
      <c r="C216" s="18">
        <v>183</v>
      </c>
      <c r="D216" s="105"/>
      <c r="E216" s="254"/>
      <c r="F216" s="98"/>
      <c r="G216" s="98"/>
      <c r="H216" s="98"/>
      <c r="I216" s="37"/>
      <c r="J216" s="37"/>
      <c r="L216" s="105"/>
      <c r="M216" s="105"/>
      <c r="N216" s="105"/>
      <c r="O216" s="105"/>
      <c r="P216" s="98"/>
    </row>
    <row r="217" spans="3:16" x14ac:dyDescent="0.25">
      <c r="C217" s="18">
        <v>184</v>
      </c>
      <c r="D217" s="105"/>
      <c r="E217" s="254"/>
      <c r="F217" s="98"/>
      <c r="G217" s="98"/>
      <c r="H217" s="98"/>
      <c r="I217" s="37"/>
      <c r="J217" s="37"/>
      <c r="L217" s="105"/>
      <c r="M217" s="105"/>
      <c r="N217" s="105"/>
      <c r="O217" s="105"/>
      <c r="P217" s="98"/>
    </row>
    <row r="218" spans="3:16" x14ac:dyDescent="0.25">
      <c r="C218" s="18">
        <v>185</v>
      </c>
      <c r="D218" s="105"/>
      <c r="E218" s="254"/>
      <c r="F218" s="98"/>
      <c r="G218" s="98"/>
      <c r="H218" s="98"/>
      <c r="I218" s="37"/>
      <c r="J218" s="37"/>
      <c r="L218" s="105"/>
      <c r="M218" s="105"/>
      <c r="N218" s="105"/>
      <c r="O218" s="105"/>
      <c r="P218" s="98"/>
    </row>
    <row r="219" spans="3:16" x14ac:dyDescent="0.25">
      <c r="C219" s="18">
        <v>186</v>
      </c>
      <c r="D219" s="105"/>
      <c r="E219" s="254"/>
      <c r="F219" s="98"/>
      <c r="G219" s="98"/>
      <c r="H219" s="98"/>
      <c r="I219" s="37"/>
      <c r="J219" s="37"/>
      <c r="L219" s="105"/>
      <c r="M219" s="105"/>
      <c r="N219" s="105"/>
      <c r="O219" s="105"/>
      <c r="P219" s="98"/>
    </row>
    <row r="220" spans="3:16" x14ac:dyDescent="0.25">
      <c r="C220" s="18">
        <v>187</v>
      </c>
      <c r="D220" s="105"/>
      <c r="E220" s="254"/>
      <c r="F220" s="98"/>
      <c r="G220" s="98"/>
      <c r="H220" s="98"/>
      <c r="I220" s="37"/>
      <c r="J220" s="37"/>
      <c r="L220" s="105"/>
      <c r="M220" s="105"/>
      <c r="N220" s="105"/>
      <c r="O220" s="105"/>
      <c r="P220" s="98"/>
    </row>
    <row r="221" spans="3:16" x14ac:dyDescent="0.25">
      <c r="C221" s="18">
        <v>188</v>
      </c>
      <c r="D221" s="105"/>
      <c r="E221" s="254"/>
      <c r="F221" s="98"/>
      <c r="G221" s="98"/>
      <c r="H221" s="98"/>
      <c r="I221" s="37"/>
      <c r="J221" s="37"/>
      <c r="L221" s="105"/>
      <c r="M221" s="105"/>
      <c r="N221" s="105"/>
      <c r="O221" s="105"/>
      <c r="P221" s="98"/>
    </row>
    <row r="222" spans="3:16" x14ac:dyDescent="0.25">
      <c r="C222" s="18">
        <v>189</v>
      </c>
      <c r="D222" s="105"/>
      <c r="E222" s="254"/>
      <c r="F222" s="98"/>
      <c r="G222" s="98"/>
      <c r="H222" s="98"/>
      <c r="I222" s="37"/>
      <c r="J222" s="37"/>
      <c r="L222" s="105"/>
      <c r="M222" s="105"/>
      <c r="N222" s="105"/>
      <c r="O222" s="105"/>
      <c r="P222" s="98"/>
    </row>
    <row r="223" spans="3:16" x14ac:dyDescent="0.25">
      <c r="C223" s="18">
        <v>190</v>
      </c>
      <c r="D223" s="105"/>
      <c r="E223" s="254"/>
      <c r="F223" s="98"/>
      <c r="G223" s="98"/>
      <c r="H223" s="98"/>
      <c r="I223" s="37"/>
      <c r="J223" s="37"/>
      <c r="L223" s="105"/>
      <c r="M223" s="105"/>
      <c r="N223" s="105"/>
      <c r="O223" s="105"/>
      <c r="P223" s="98"/>
    </row>
    <row r="224" spans="3:16" x14ac:dyDescent="0.25">
      <c r="C224" s="18">
        <v>191</v>
      </c>
      <c r="D224" s="105"/>
      <c r="E224" s="254"/>
      <c r="F224" s="98"/>
      <c r="G224" s="98"/>
      <c r="H224" s="98"/>
      <c r="I224" s="37"/>
      <c r="J224" s="37"/>
      <c r="L224" s="105"/>
      <c r="M224" s="105"/>
      <c r="N224" s="105"/>
      <c r="O224" s="105"/>
      <c r="P224" s="98"/>
    </row>
    <row r="225" spans="3:16" x14ac:dyDescent="0.25">
      <c r="C225" s="18">
        <v>192</v>
      </c>
      <c r="D225" s="105"/>
      <c r="E225" s="254"/>
      <c r="F225" s="98"/>
      <c r="G225" s="98"/>
      <c r="H225" s="98"/>
      <c r="I225" s="37"/>
      <c r="J225" s="37"/>
      <c r="L225" s="105"/>
      <c r="M225" s="105"/>
      <c r="N225" s="105"/>
      <c r="O225" s="105"/>
      <c r="P225" s="98"/>
    </row>
    <row r="226" spans="3:16" x14ac:dyDescent="0.25">
      <c r="C226" s="18">
        <v>193</v>
      </c>
      <c r="D226" s="105"/>
      <c r="E226" s="254"/>
      <c r="F226" s="98"/>
      <c r="G226" s="98"/>
      <c r="H226" s="98"/>
      <c r="I226" s="37"/>
      <c r="J226" s="37"/>
      <c r="L226" s="105"/>
      <c r="M226" s="105"/>
      <c r="N226" s="105"/>
      <c r="O226" s="105"/>
      <c r="P226" s="98"/>
    </row>
    <row r="227" spans="3:16" x14ac:dyDescent="0.25">
      <c r="C227" s="18">
        <v>194</v>
      </c>
      <c r="D227" s="105"/>
      <c r="E227" s="254"/>
      <c r="F227" s="98"/>
      <c r="G227" s="98"/>
      <c r="H227" s="98"/>
      <c r="I227" s="37"/>
      <c r="J227" s="37"/>
      <c r="L227" s="105"/>
      <c r="M227" s="105"/>
      <c r="N227" s="105"/>
      <c r="O227" s="105"/>
      <c r="P227" s="98"/>
    </row>
    <row r="228" spans="3:16" x14ac:dyDescent="0.25">
      <c r="C228" s="18">
        <v>195</v>
      </c>
      <c r="D228" s="105"/>
      <c r="E228" s="254"/>
      <c r="F228" s="98"/>
      <c r="G228" s="98"/>
      <c r="H228" s="98"/>
      <c r="I228" s="37"/>
      <c r="J228" s="37"/>
      <c r="L228" s="105"/>
      <c r="M228" s="105"/>
      <c r="N228" s="105"/>
      <c r="O228" s="105"/>
      <c r="P228" s="98"/>
    </row>
    <row r="229" spans="3:16" x14ac:dyDescent="0.25">
      <c r="C229" s="18">
        <v>196</v>
      </c>
      <c r="D229" s="105"/>
      <c r="E229" s="254"/>
      <c r="F229" s="98"/>
      <c r="G229" s="98"/>
      <c r="H229" s="98"/>
      <c r="I229" s="37"/>
      <c r="J229" s="37"/>
      <c r="L229" s="105"/>
      <c r="M229" s="105"/>
      <c r="N229" s="105"/>
      <c r="O229" s="105"/>
      <c r="P229" s="98"/>
    </row>
    <row r="230" spans="3:16" x14ac:dyDescent="0.25">
      <c r="C230" s="18">
        <v>197</v>
      </c>
      <c r="D230" s="105"/>
      <c r="E230" s="254"/>
      <c r="F230" s="98"/>
      <c r="G230" s="98"/>
      <c r="H230" s="98"/>
      <c r="I230" s="37"/>
      <c r="J230" s="37"/>
      <c r="L230" s="105"/>
      <c r="M230" s="105"/>
      <c r="N230" s="105"/>
      <c r="O230" s="105"/>
      <c r="P230" s="98"/>
    </row>
    <row r="231" spans="3:16" x14ac:dyDescent="0.25">
      <c r="C231" s="18">
        <v>198</v>
      </c>
      <c r="D231" s="105"/>
      <c r="E231" s="254"/>
      <c r="F231" s="98"/>
      <c r="G231" s="98"/>
      <c r="H231" s="98"/>
      <c r="I231" s="37"/>
      <c r="J231" s="37"/>
      <c r="L231" s="105"/>
      <c r="M231" s="105"/>
      <c r="N231" s="105"/>
      <c r="O231" s="105"/>
      <c r="P231" s="98"/>
    </row>
    <row r="232" spans="3:16" x14ac:dyDescent="0.25">
      <c r="C232" s="18">
        <v>199</v>
      </c>
      <c r="D232" s="105"/>
      <c r="E232" s="254"/>
      <c r="F232" s="98"/>
      <c r="G232" s="98"/>
      <c r="H232" s="98"/>
      <c r="I232" s="37"/>
      <c r="J232" s="37"/>
      <c r="L232" s="105"/>
      <c r="M232" s="105"/>
      <c r="N232" s="105"/>
      <c r="O232" s="105"/>
      <c r="P232" s="98"/>
    </row>
    <row r="233" spans="3:16" x14ac:dyDescent="0.25">
      <c r="C233" s="18">
        <v>200</v>
      </c>
      <c r="D233" s="105"/>
      <c r="E233" s="254"/>
      <c r="F233" s="98"/>
      <c r="G233" s="98"/>
      <c r="H233" s="98"/>
      <c r="I233" s="37"/>
      <c r="J233" s="37"/>
      <c r="L233" s="105"/>
      <c r="M233" s="105"/>
      <c r="N233" s="105"/>
      <c r="O233" s="105"/>
      <c r="P233" s="98"/>
    </row>
    <row r="234" spans="3:16" x14ac:dyDescent="0.25">
      <c r="C234" s="18">
        <v>201</v>
      </c>
      <c r="D234" s="105"/>
      <c r="E234" s="254"/>
      <c r="F234" s="98"/>
      <c r="G234" s="98"/>
      <c r="H234" s="98"/>
      <c r="I234" s="37"/>
      <c r="J234" s="37"/>
      <c r="L234" s="105"/>
      <c r="M234" s="105"/>
      <c r="N234" s="105"/>
      <c r="O234" s="105"/>
      <c r="P234" s="98"/>
    </row>
    <row r="235" spans="3:16" x14ac:dyDescent="0.25">
      <c r="C235" s="18">
        <v>202</v>
      </c>
      <c r="D235" s="105"/>
      <c r="E235" s="254"/>
      <c r="F235" s="98"/>
      <c r="G235" s="98"/>
      <c r="H235" s="98"/>
      <c r="I235" s="37"/>
      <c r="J235" s="37"/>
      <c r="L235" s="105"/>
      <c r="M235" s="105"/>
      <c r="N235" s="105"/>
      <c r="O235" s="105"/>
      <c r="P235" s="98"/>
    </row>
    <row r="236" spans="3:16" x14ac:dyDescent="0.25">
      <c r="C236" s="18">
        <v>203</v>
      </c>
      <c r="D236" s="105"/>
      <c r="E236" s="254"/>
      <c r="F236" s="98"/>
      <c r="G236" s="98"/>
      <c r="H236" s="98"/>
      <c r="I236" s="37"/>
      <c r="J236" s="37"/>
      <c r="L236" s="105"/>
      <c r="M236" s="105"/>
      <c r="N236" s="105"/>
      <c r="O236" s="105"/>
      <c r="P236" s="98"/>
    </row>
    <row r="237" spans="3:16" x14ac:dyDescent="0.25">
      <c r="C237" s="18">
        <v>204</v>
      </c>
      <c r="D237" s="105"/>
      <c r="E237" s="254"/>
      <c r="F237" s="98"/>
      <c r="G237" s="98"/>
      <c r="H237" s="98"/>
      <c r="I237" s="37"/>
      <c r="J237" s="37"/>
      <c r="L237" s="105"/>
      <c r="M237" s="105"/>
      <c r="N237" s="105"/>
      <c r="O237" s="105"/>
      <c r="P237" s="98"/>
    </row>
    <row r="238" spans="3:16" x14ac:dyDescent="0.25">
      <c r="C238" s="18">
        <v>205</v>
      </c>
      <c r="D238" s="105"/>
      <c r="E238" s="254"/>
      <c r="F238" s="98"/>
      <c r="G238" s="98"/>
      <c r="H238" s="98"/>
      <c r="I238" s="37"/>
      <c r="J238" s="37"/>
      <c r="L238" s="105"/>
      <c r="M238" s="105"/>
      <c r="N238" s="105"/>
      <c r="O238" s="105"/>
      <c r="P238" s="98"/>
    </row>
    <row r="239" spans="3:16" x14ac:dyDescent="0.25">
      <c r="C239" s="18">
        <v>206</v>
      </c>
      <c r="D239" s="105"/>
      <c r="E239" s="254"/>
      <c r="F239" s="98"/>
      <c r="G239" s="98"/>
      <c r="H239" s="98"/>
      <c r="I239" s="37"/>
      <c r="J239" s="37"/>
      <c r="L239" s="105"/>
      <c r="M239" s="105"/>
      <c r="N239" s="105"/>
      <c r="O239" s="105"/>
      <c r="P239" s="98"/>
    </row>
    <row r="240" spans="3:16" x14ac:dyDescent="0.25">
      <c r="C240" s="18">
        <v>207</v>
      </c>
      <c r="D240" s="105"/>
      <c r="E240" s="254"/>
      <c r="F240" s="98"/>
      <c r="G240" s="98"/>
      <c r="H240" s="98"/>
      <c r="I240" s="37"/>
      <c r="J240" s="37"/>
      <c r="L240" s="105"/>
      <c r="M240" s="105"/>
      <c r="N240" s="105"/>
      <c r="O240" s="105"/>
      <c r="P240" s="98"/>
    </row>
    <row r="241" spans="3:16" x14ac:dyDescent="0.25">
      <c r="C241" s="18">
        <v>208</v>
      </c>
      <c r="D241" s="105"/>
      <c r="E241" s="254"/>
      <c r="F241" s="98"/>
      <c r="G241" s="98"/>
      <c r="H241" s="98"/>
      <c r="I241" s="37"/>
      <c r="J241" s="37"/>
      <c r="L241" s="105"/>
      <c r="M241" s="105"/>
      <c r="N241" s="105"/>
      <c r="O241" s="105"/>
      <c r="P241" s="98"/>
    </row>
    <row r="242" spans="3:16" x14ac:dyDescent="0.25">
      <c r="C242" s="18">
        <v>209</v>
      </c>
      <c r="D242" s="105"/>
      <c r="E242" s="254"/>
      <c r="F242" s="98"/>
      <c r="G242" s="98"/>
      <c r="H242" s="98"/>
      <c r="I242" s="37"/>
      <c r="J242" s="37"/>
      <c r="L242" s="105"/>
      <c r="M242" s="105"/>
      <c r="N242" s="105"/>
      <c r="O242" s="105"/>
      <c r="P242" s="98"/>
    </row>
    <row r="243" spans="3:16" x14ac:dyDescent="0.25">
      <c r="C243" s="18">
        <v>210</v>
      </c>
      <c r="D243" s="105"/>
      <c r="E243" s="254"/>
      <c r="F243" s="98"/>
      <c r="G243" s="98"/>
      <c r="H243" s="98"/>
      <c r="I243" s="37"/>
      <c r="J243" s="37"/>
      <c r="L243" s="105"/>
      <c r="M243" s="105"/>
      <c r="N243" s="105"/>
      <c r="O243" s="105"/>
      <c r="P243" s="98"/>
    </row>
    <row r="244" spans="3:16" x14ac:dyDescent="0.25">
      <c r="C244" s="18">
        <v>211</v>
      </c>
      <c r="D244" s="105"/>
      <c r="E244" s="254"/>
      <c r="F244" s="98"/>
      <c r="G244" s="98"/>
      <c r="H244" s="98"/>
      <c r="I244" s="37"/>
      <c r="J244" s="37"/>
      <c r="L244" s="105"/>
      <c r="M244" s="105"/>
      <c r="N244" s="105"/>
      <c r="O244" s="105"/>
      <c r="P244" s="98"/>
    </row>
    <row r="245" spans="3:16" x14ac:dyDescent="0.25">
      <c r="C245" s="18">
        <v>212</v>
      </c>
      <c r="D245" s="105"/>
      <c r="E245" s="254"/>
      <c r="F245" s="98"/>
      <c r="G245" s="98"/>
      <c r="H245" s="98"/>
      <c r="I245" s="37"/>
      <c r="J245" s="37"/>
      <c r="L245" s="105"/>
      <c r="M245" s="105"/>
      <c r="N245" s="105"/>
      <c r="O245" s="105"/>
      <c r="P245" s="98"/>
    </row>
    <row r="246" spans="3:16" x14ac:dyDescent="0.25">
      <c r="C246" s="18">
        <v>213</v>
      </c>
      <c r="D246" s="105"/>
      <c r="E246" s="254"/>
      <c r="F246" s="98"/>
      <c r="G246" s="98"/>
      <c r="H246" s="98"/>
      <c r="I246" s="37"/>
      <c r="J246" s="37"/>
      <c r="L246" s="105"/>
      <c r="M246" s="105"/>
      <c r="N246" s="105"/>
      <c r="O246" s="105"/>
      <c r="P246" s="98"/>
    </row>
    <row r="247" spans="3:16" x14ac:dyDescent="0.25">
      <c r="C247" s="18">
        <v>214</v>
      </c>
      <c r="D247" s="105"/>
      <c r="E247" s="254"/>
      <c r="F247" s="98"/>
      <c r="G247" s="98"/>
      <c r="H247" s="98"/>
      <c r="I247" s="37"/>
      <c r="J247" s="37"/>
      <c r="L247" s="105"/>
      <c r="M247" s="105"/>
      <c r="N247" s="105"/>
      <c r="O247" s="105"/>
      <c r="P247" s="98"/>
    </row>
    <row r="248" spans="3:16" x14ac:dyDescent="0.25">
      <c r="C248" s="18">
        <v>215</v>
      </c>
      <c r="D248" s="105"/>
      <c r="E248" s="254"/>
      <c r="F248" s="98"/>
      <c r="G248" s="98"/>
      <c r="H248" s="98"/>
      <c r="I248" s="37"/>
      <c r="J248" s="37"/>
      <c r="L248" s="105"/>
      <c r="M248" s="105"/>
      <c r="N248" s="105"/>
      <c r="O248" s="105"/>
      <c r="P248" s="98"/>
    </row>
    <row r="249" spans="3:16" x14ac:dyDescent="0.25">
      <c r="C249" s="18">
        <v>216</v>
      </c>
      <c r="D249" s="105"/>
      <c r="E249" s="254"/>
      <c r="F249" s="98"/>
      <c r="G249" s="98"/>
      <c r="H249" s="98"/>
      <c r="I249" s="37"/>
      <c r="J249" s="37"/>
      <c r="L249" s="105"/>
      <c r="M249" s="105"/>
      <c r="N249" s="105"/>
      <c r="O249" s="105"/>
      <c r="P249" s="98"/>
    </row>
    <row r="250" spans="3:16" x14ac:dyDescent="0.25">
      <c r="C250" s="18">
        <v>217</v>
      </c>
      <c r="D250" s="105"/>
      <c r="E250" s="254"/>
      <c r="F250" s="98"/>
      <c r="G250" s="98"/>
      <c r="H250" s="98"/>
      <c r="I250" s="37"/>
      <c r="J250" s="37"/>
      <c r="L250" s="105"/>
      <c r="M250" s="105"/>
      <c r="N250" s="105"/>
      <c r="O250" s="105"/>
      <c r="P250" s="98"/>
    </row>
    <row r="251" spans="3:16" x14ac:dyDescent="0.25">
      <c r="C251" s="18">
        <v>218</v>
      </c>
      <c r="D251" s="105"/>
      <c r="E251" s="254"/>
      <c r="F251" s="98"/>
      <c r="G251" s="98"/>
      <c r="H251" s="98"/>
      <c r="I251" s="37"/>
      <c r="J251" s="37"/>
      <c r="L251" s="105"/>
      <c r="M251" s="105"/>
      <c r="N251" s="105"/>
      <c r="O251" s="105"/>
      <c r="P251" s="98"/>
    </row>
    <row r="252" spans="3:16" x14ac:dyDescent="0.25">
      <c r="C252" s="18">
        <v>219</v>
      </c>
      <c r="D252" s="105"/>
      <c r="E252" s="254"/>
      <c r="F252" s="98"/>
      <c r="G252" s="98"/>
      <c r="H252" s="98"/>
      <c r="I252" s="37"/>
      <c r="J252" s="37"/>
      <c r="L252" s="105"/>
      <c r="M252" s="105"/>
      <c r="N252" s="105"/>
      <c r="O252" s="105"/>
      <c r="P252" s="98"/>
    </row>
    <row r="253" spans="3:16" x14ac:dyDescent="0.25">
      <c r="C253" s="18">
        <v>220</v>
      </c>
      <c r="D253" s="105"/>
      <c r="E253" s="254"/>
      <c r="F253" s="98"/>
      <c r="G253" s="98"/>
      <c r="H253" s="98"/>
      <c r="I253" s="37"/>
      <c r="J253" s="37"/>
      <c r="L253" s="105"/>
      <c r="M253" s="105"/>
      <c r="N253" s="105"/>
      <c r="O253" s="105"/>
      <c r="P253" s="98"/>
    </row>
    <row r="254" spans="3:16" x14ac:dyDescent="0.25">
      <c r="C254" s="18">
        <v>221</v>
      </c>
      <c r="D254" s="105"/>
      <c r="E254" s="254"/>
      <c r="F254" s="98"/>
      <c r="G254" s="98"/>
      <c r="H254" s="98"/>
      <c r="I254" s="37"/>
      <c r="J254" s="37"/>
      <c r="L254" s="105"/>
      <c r="M254" s="105"/>
      <c r="N254" s="105"/>
      <c r="O254" s="105"/>
      <c r="P254" s="98"/>
    </row>
    <row r="255" spans="3:16" x14ac:dyDescent="0.25">
      <c r="C255" s="18">
        <v>222</v>
      </c>
      <c r="D255" s="105"/>
      <c r="E255" s="254"/>
      <c r="F255" s="98"/>
      <c r="G255" s="98"/>
      <c r="H255" s="98"/>
      <c r="I255" s="37"/>
      <c r="J255" s="37"/>
      <c r="L255" s="105"/>
      <c r="M255" s="105"/>
      <c r="N255" s="105"/>
      <c r="O255" s="105"/>
      <c r="P255" s="98"/>
    </row>
    <row r="256" spans="3:16" x14ac:dyDescent="0.25">
      <c r="C256" s="18">
        <v>223</v>
      </c>
      <c r="D256" s="105"/>
      <c r="E256" s="254"/>
      <c r="F256" s="98"/>
      <c r="G256" s="98"/>
      <c r="H256" s="98"/>
      <c r="I256" s="37"/>
      <c r="J256" s="37"/>
      <c r="L256" s="105"/>
      <c r="M256" s="105"/>
      <c r="N256" s="105"/>
      <c r="O256" s="105"/>
      <c r="P256" s="98"/>
    </row>
    <row r="257" spans="3:16" x14ac:dyDescent="0.25">
      <c r="C257" s="18">
        <v>224</v>
      </c>
      <c r="D257" s="105"/>
      <c r="E257" s="254"/>
      <c r="F257" s="98"/>
      <c r="G257" s="98"/>
      <c r="H257" s="98"/>
      <c r="I257" s="37"/>
      <c r="J257" s="37"/>
      <c r="L257" s="105"/>
      <c r="M257" s="105"/>
      <c r="N257" s="105"/>
      <c r="O257" s="105"/>
      <c r="P257" s="98"/>
    </row>
    <row r="258" spans="3:16" x14ac:dyDescent="0.25">
      <c r="C258" s="18">
        <v>225</v>
      </c>
      <c r="D258" s="105"/>
      <c r="E258" s="254"/>
      <c r="F258" s="98"/>
      <c r="G258" s="98"/>
      <c r="H258" s="98"/>
      <c r="I258" s="37"/>
      <c r="J258" s="37"/>
      <c r="L258" s="105"/>
      <c r="M258" s="105"/>
      <c r="N258" s="105"/>
      <c r="O258" s="105"/>
      <c r="P258" s="98"/>
    </row>
    <row r="259" spans="3:16" x14ac:dyDescent="0.25">
      <c r="C259" s="18">
        <v>226</v>
      </c>
      <c r="D259" s="105"/>
      <c r="E259" s="254"/>
      <c r="F259" s="98"/>
      <c r="G259" s="98"/>
      <c r="H259" s="98"/>
      <c r="I259" s="37"/>
      <c r="J259" s="37"/>
      <c r="L259" s="105"/>
      <c r="M259" s="105"/>
      <c r="N259" s="105"/>
      <c r="O259" s="105"/>
      <c r="P259" s="98"/>
    </row>
    <row r="260" spans="3:16" x14ac:dyDescent="0.25">
      <c r="C260" s="18">
        <v>227</v>
      </c>
      <c r="D260" s="105"/>
      <c r="E260" s="254"/>
      <c r="F260" s="98"/>
      <c r="G260" s="98"/>
      <c r="H260" s="98"/>
      <c r="I260" s="37"/>
      <c r="J260" s="37"/>
      <c r="L260" s="105"/>
      <c r="M260" s="105"/>
      <c r="N260" s="105"/>
      <c r="O260" s="105"/>
      <c r="P260" s="98"/>
    </row>
    <row r="261" spans="3:16" x14ac:dyDescent="0.25">
      <c r="C261" s="18">
        <v>228</v>
      </c>
      <c r="D261" s="105"/>
      <c r="E261" s="254"/>
      <c r="F261" s="98"/>
      <c r="G261" s="98"/>
      <c r="H261" s="98"/>
      <c r="I261" s="37"/>
      <c r="J261" s="37"/>
      <c r="L261" s="105"/>
      <c r="M261" s="105"/>
      <c r="N261" s="105"/>
      <c r="O261" s="105"/>
      <c r="P261" s="98"/>
    </row>
    <row r="262" spans="3:16" x14ac:dyDescent="0.25">
      <c r="C262" s="18">
        <v>229</v>
      </c>
      <c r="D262" s="105"/>
      <c r="E262" s="254"/>
      <c r="F262" s="98"/>
      <c r="G262" s="98"/>
      <c r="H262" s="98"/>
      <c r="I262" s="37"/>
      <c r="J262" s="37"/>
      <c r="L262" s="105"/>
      <c r="M262" s="105"/>
      <c r="N262" s="105"/>
      <c r="O262" s="105"/>
      <c r="P262" s="98"/>
    </row>
    <row r="263" spans="3:16" x14ac:dyDescent="0.25">
      <c r="C263" s="18">
        <v>230</v>
      </c>
      <c r="D263" s="105"/>
      <c r="E263" s="254"/>
      <c r="F263" s="98"/>
      <c r="G263" s="98"/>
      <c r="H263" s="98"/>
      <c r="I263" s="37"/>
      <c r="J263" s="37"/>
      <c r="L263" s="105"/>
      <c r="M263" s="105"/>
      <c r="N263" s="105"/>
      <c r="O263" s="105"/>
      <c r="P263" s="98"/>
    </row>
    <row r="264" spans="3:16" x14ac:dyDescent="0.25">
      <c r="C264" s="18">
        <v>231</v>
      </c>
      <c r="D264" s="105"/>
      <c r="E264" s="254"/>
      <c r="F264" s="98"/>
      <c r="G264" s="98"/>
      <c r="H264" s="98"/>
      <c r="I264" s="37"/>
      <c r="J264" s="37"/>
      <c r="L264" s="105"/>
      <c r="M264" s="105"/>
      <c r="N264" s="105"/>
      <c r="O264" s="105"/>
      <c r="P264" s="98"/>
    </row>
    <row r="265" spans="3:16" x14ac:dyDescent="0.25">
      <c r="C265" s="18">
        <v>232</v>
      </c>
      <c r="D265" s="105"/>
      <c r="E265" s="254"/>
      <c r="F265" s="98"/>
      <c r="G265" s="98"/>
      <c r="H265" s="98"/>
      <c r="I265" s="37"/>
      <c r="J265" s="37"/>
      <c r="L265" s="105"/>
      <c r="M265" s="105"/>
      <c r="N265" s="105"/>
      <c r="O265" s="105"/>
      <c r="P265" s="98"/>
    </row>
    <row r="266" spans="3:16" x14ac:dyDescent="0.25">
      <c r="C266" s="18">
        <v>233</v>
      </c>
      <c r="D266" s="105"/>
      <c r="E266" s="254"/>
      <c r="F266" s="98"/>
      <c r="G266" s="98"/>
      <c r="H266" s="98"/>
      <c r="I266" s="37"/>
      <c r="J266" s="37"/>
      <c r="L266" s="105"/>
      <c r="M266" s="105"/>
      <c r="N266" s="105"/>
      <c r="O266" s="105"/>
      <c r="P266" s="98"/>
    </row>
    <row r="267" spans="3:16" x14ac:dyDescent="0.25">
      <c r="C267" s="18">
        <v>234</v>
      </c>
      <c r="D267" s="105"/>
      <c r="E267" s="254"/>
      <c r="F267" s="98"/>
      <c r="G267" s="98"/>
      <c r="H267" s="98"/>
      <c r="I267" s="37"/>
      <c r="J267" s="37"/>
      <c r="L267" s="105"/>
      <c r="M267" s="105"/>
      <c r="N267" s="105"/>
      <c r="O267" s="105"/>
      <c r="P267" s="98"/>
    </row>
    <row r="268" spans="3:16" x14ac:dyDescent="0.25">
      <c r="C268" s="18">
        <v>235</v>
      </c>
      <c r="D268" s="105"/>
      <c r="E268" s="254"/>
      <c r="F268" s="98"/>
      <c r="G268" s="98"/>
      <c r="H268" s="98"/>
      <c r="I268" s="37"/>
      <c r="J268" s="37"/>
      <c r="L268" s="105"/>
      <c r="M268" s="105"/>
      <c r="N268" s="105"/>
      <c r="O268" s="105"/>
      <c r="P268" s="98"/>
    </row>
    <row r="269" spans="3:16" x14ac:dyDescent="0.25">
      <c r="C269" s="18">
        <v>236</v>
      </c>
      <c r="D269" s="105"/>
      <c r="E269" s="254"/>
      <c r="F269" s="98"/>
      <c r="G269" s="98"/>
      <c r="H269" s="98"/>
      <c r="I269" s="37"/>
      <c r="J269" s="37"/>
      <c r="L269" s="105"/>
      <c r="M269" s="105"/>
      <c r="N269" s="105"/>
      <c r="O269" s="105"/>
      <c r="P269" s="98"/>
    </row>
    <row r="270" spans="3:16" x14ac:dyDescent="0.25">
      <c r="C270" s="18">
        <v>237</v>
      </c>
      <c r="D270" s="105"/>
      <c r="E270" s="254"/>
      <c r="F270" s="98"/>
      <c r="G270" s="98"/>
      <c r="H270" s="98"/>
      <c r="I270" s="37"/>
      <c r="J270" s="37"/>
      <c r="L270" s="105"/>
      <c r="M270" s="105"/>
      <c r="N270" s="105"/>
      <c r="O270" s="105"/>
      <c r="P270" s="98"/>
    </row>
    <row r="271" spans="3:16" x14ac:dyDescent="0.25">
      <c r="C271" s="18">
        <v>238</v>
      </c>
      <c r="D271" s="105"/>
      <c r="E271" s="254"/>
      <c r="F271" s="98"/>
      <c r="G271" s="98"/>
      <c r="H271" s="98"/>
      <c r="I271" s="37"/>
      <c r="J271" s="37"/>
      <c r="L271" s="105"/>
      <c r="M271" s="105"/>
      <c r="N271" s="105"/>
      <c r="O271" s="105"/>
      <c r="P271" s="98"/>
    </row>
    <row r="272" spans="3:16" x14ac:dyDescent="0.25">
      <c r="C272" s="18">
        <v>239</v>
      </c>
      <c r="D272" s="105"/>
      <c r="E272" s="254"/>
      <c r="F272" s="98"/>
      <c r="G272" s="98"/>
      <c r="H272" s="98"/>
      <c r="I272" s="37"/>
      <c r="J272" s="37"/>
      <c r="L272" s="105"/>
      <c r="M272" s="105"/>
      <c r="N272" s="105"/>
      <c r="O272" s="105"/>
      <c r="P272" s="98"/>
    </row>
    <row r="273" spans="3:16" x14ac:dyDescent="0.25">
      <c r="C273" s="18">
        <v>240</v>
      </c>
      <c r="D273" s="105"/>
      <c r="E273" s="254"/>
      <c r="F273" s="98"/>
      <c r="G273" s="98"/>
      <c r="H273" s="98"/>
      <c r="I273" s="37"/>
      <c r="J273" s="37"/>
      <c r="L273" s="105"/>
      <c r="M273" s="105"/>
      <c r="N273" s="105"/>
      <c r="O273" s="105"/>
      <c r="P273" s="98"/>
    </row>
    <row r="274" spans="3:16" x14ac:dyDescent="0.25">
      <c r="C274" s="18">
        <v>241</v>
      </c>
      <c r="D274" s="105"/>
      <c r="E274" s="254"/>
      <c r="F274" s="98"/>
      <c r="G274" s="98"/>
      <c r="H274" s="98"/>
      <c r="I274" s="37"/>
      <c r="J274" s="37"/>
      <c r="L274" s="105"/>
      <c r="M274" s="105"/>
      <c r="N274" s="105"/>
      <c r="O274" s="105"/>
      <c r="P274" s="98"/>
    </row>
    <row r="275" spans="3:16" x14ac:dyDescent="0.25">
      <c r="C275" s="18">
        <v>242</v>
      </c>
      <c r="D275" s="105"/>
      <c r="E275" s="254"/>
      <c r="F275" s="98"/>
      <c r="G275" s="98"/>
      <c r="H275" s="98"/>
      <c r="I275" s="37"/>
      <c r="J275" s="37"/>
      <c r="L275" s="105"/>
      <c r="M275" s="105"/>
      <c r="N275" s="105"/>
      <c r="O275" s="105"/>
      <c r="P275" s="98"/>
    </row>
    <row r="276" spans="3:16" x14ac:dyDescent="0.25">
      <c r="C276" s="18">
        <v>243</v>
      </c>
      <c r="D276" s="105"/>
      <c r="E276" s="254"/>
      <c r="F276" s="98"/>
      <c r="G276" s="98"/>
      <c r="H276" s="98"/>
      <c r="I276" s="37"/>
      <c r="J276" s="37"/>
      <c r="L276" s="105"/>
      <c r="M276" s="105"/>
      <c r="N276" s="105"/>
      <c r="O276" s="105"/>
      <c r="P276" s="98"/>
    </row>
    <row r="277" spans="3:16" x14ac:dyDescent="0.25">
      <c r="C277" s="18">
        <v>244</v>
      </c>
      <c r="D277" s="105"/>
      <c r="E277" s="254"/>
      <c r="F277" s="98"/>
      <c r="G277" s="98"/>
      <c r="H277" s="98"/>
      <c r="I277" s="37"/>
      <c r="J277" s="37"/>
      <c r="L277" s="105"/>
      <c r="M277" s="105"/>
      <c r="N277" s="105"/>
      <c r="O277" s="105"/>
      <c r="P277" s="98"/>
    </row>
    <row r="278" spans="3:16" x14ac:dyDescent="0.25">
      <c r="C278" s="18">
        <v>245</v>
      </c>
      <c r="D278" s="105"/>
      <c r="E278" s="254"/>
      <c r="F278" s="98"/>
      <c r="G278" s="98"/>
      <c r="H278" s="98"/>
      <c r="I278" s="37"/>
      <c r="J278" s="37"/>
      <c r="L278" s="105"/>
      <c r="M278" s="105"/>
      <c r="N278" s="105"/>
      <c r="O278" s="105"/>
      <c r="P278" s="98"/>
    </row>
    <row r="279" spans="3:16" x14ac:dyDescent="0.25">
      <c r="C279" s="18">
        <v>246</v>
      </c>
      <c r="D279" s="105"/>
      <c r="E279" s="254"/>
      <c r="F279" s="98"/>
      <c r="G279" s="98"/>
      <c r="H279" s="98"/>
      <c r="I279" s="37"/>
      <c r="J279" s="37"/>
      <c r="L279" s="105"/>
      <c r="M279" s="105"/>
      <c r="N279" s="105"/>
      <c r="O279" s="105"/>
      <c r="P279" s="98"/>
    </row>
    <row r="280" spans="3:16" x14ac:dyDescent="0.25">
      <c r="C280" s="18">
        <v>247</v>
      </c>
      <c r="D280" s="105"/>
      <c r="E280" s="254"/>
      <c r="F280" s="98"/>
      <c r="G280" s="98"/>
      <c r="H280" s="98"/>
      <c r="I280" s="37"/>
      <c r="J280" s="37"/>
      <c r="L280" s="105"/>
      <c r="M280" s="105"/>
      <c r="N280" s="105"/>
      <c r="O280" s="105"/>
      <c r="P280" s="98"/>
    </row>
    <row r="281" spans="3:16" x14ac:dyDescent="0.25">
      <c r="C281" s="18">
        <v>248</v>
      </c>
      <c r="D281" s="105"/>
      <c r="E281" s="254"/>
      <c r="F281" s="98"/>
      <c r="G281" s="98"/>
      <c r="H281" s="98"/>
      <c r="I281" s="37"/>
      <c r="J281" s="37"/>
      <c r="L281" s="105"/>
      <c r="M281" s="105"/>
      <c r="N281" s="105"/>
      <c r="O281" s="105"/>
      <c r="P281" s="98"/>
    </row>
    <row r="282" spans="3:16" x14ac:dyDescent="0.25">
      <c r="C282" s="18">
        <v>249</v>
      </c>
      <c r="D282" s="105"/>
      <c r="E282" s="254"/>
      <c r="F282" s="98"/>
      <c r="G282" s="98"/>
      <c r="H282" s="98"/>
      <c r="I282" s="37"/>
      <c r="J282" s="37"/>
      <c r="L282" s="105"/>
      <c r="M282" s="105"/>
      <c r="N282" s="105"/>
      <c r="O282" s="105"/>
      <c r="P282" s="98"/>
    </row>
    <row r="283" spans="3:16" x14ac:dyDescent="0.25">
      <c r="C283" s="18">
        <v>250</v>
      </c>
      <c r="D283" s="105"/>
      <c r="E283" s="254"/>
      <c r="F283" s="98"/>
      <c r="G283" s="98"/>
      <c r="H283" s="98"/>
      <c r="I283" s="37"/>
      <c r="J283" s="37"/>
      <c r="L283" s="105"/>
      <c r="M283" s="105"/>
      <c r="N283" s="105"/>
      <c r="O283" s="105"/>
      <c r="P283" s="98"/>
    </row>
    <row r="284" spans="3:16" x14ac:dyDescent="0.25">
      <c r="C284" s="18">
        <v>251</v>
      </c>
      <c r="D284" s="105"/>
      <c r="E284" s="254"/>
      <c r="F284" s="98"/>
      <c r="G284" s="98"/>
      <c r="H284" s="98"/>
      <c r="I284" s="37"/>
      <c r="J284" s="37"/>
      <c r="L284" s="105"/>
      <c r="M284" s="105"/>
      <c r="N284" s="105"/>
      <c r="O284" s="105"/>
      <c r="P284" s="98"/>
    </row>
    <row r="285" spans="3:16" x14ac:dyDescent="0.25">
      <c r="C285" s="18">
        <v>252</v>
      </c>
      <c r="D285" s="105"/>
      <c r="E285" s="254"/>
      <c r="F285" s="98"/>
      <c r="G285" s="98"/>
      <c r="H285" s="98"/>
      <c r="I285" s="37"/>
      <c r="J285" s="37"/>
      <c r="L285" s="105"/>
      <c r="M285" s="105"/>
      <c r="N285" s="105"/>
      <c r="O285" s="105"/>
      <c r="P285" s="98"/>
    </row>
    <row r="286" spans="3:16" x14ac:dyDescent="0.25">
      <c r="C286" s="18">
        <v>253</v>
      </c>
      <c r="D286" s="105"/>
      <c r="E286" s="254"/>
      <c r="F286" s="98"/>
      <c r="G286" s="98"/>
      <c r="H286" s="98"/>
      <c r="I286" s="37"/>
      <c r="J286" s="37"/>
      <c r="L286" s="105"/>
      <c r="M286" s="105"/>
      <c r="N286" s="105"/>
      <c r="O286" s="105"/>
      <c r="P286" s="98"/>
    </row>
    <row r="287" spans="3:16" x14ac:dyDescent="0.25">
      <c r="C287" s="18">
        <v>254</v>
      </c>
      <c r="D287" s="105"/>
      <c r="E287" s="254"/>
      <c r="F287" s="98"/>
      <c r="G287" s="98"/>
      <c r="H287" s="98"/>
      <c r="I287" s="37"/>
      <c r="J287" s="37"/>
      <c r="L287" s="105"/>
      <c r="M287" s="105"/>
      <c r="N287" s="105"/>
      <c r="O287" s="105"/>
      <c r="P287" s="98"/>
    </row>
    <row r="288" spans="3:16" x14ac:dyDescent="0.25">
      <c r="C288" s="18">
        <v>255</v>
      </c>
      <c r="D288" s="105"/>
      <c r="E288" s="254"/>
      <c r="F288" s="98"/>
      <c r="G288" s="98"/>
      <c r="H288" s="98"/>
      <c r="I288" s="37"/>
      <c r="J288" s="37"/>
      <c r="L288" s="105"/>
      <c r="M288" s="105"/>
      <c r="N288" s="105"/>
      <c r="O288" s="105"/>
      <c r="P288" s="98"/>
    </row>
    <row r="289" spans="3:16" x14ac:dyDescent="0.25">
      <c r="C289" s="18">
        <v>256</v>
      </c>
      <c r="D289" s="105"/>
      <c r="E289" s="254"/>
      <c r="F289" s="98"/>
      <c r="G289" s="98"/>
      <c r="H289" s="98"/>
      <c r="I289" s="37"/>
      <c r="J289" s="37"/>
      <c r="L289" s="105"/>
      <c r="M289" s="105"/>
      <c r="N289" s="105"/>
      <c r="O289" s="105"/>
      <c r="P289" s="98"/>
    </row>
    <row r="290" spans="3:16" x14ac:dyDescent="0.25">
      <c r="C290" s="18">
        <v>257</v>
      </c>
      <c r="D290" s="105"/>
      <c r="E290" s="254"/>
      <c r="F290" s="98"/>
      <c r="G290" s="98"/>
      <c r="H290" s="98"/>
      <c r="I290" s="37"/>
      <c r="J290" s="37"/>
      <c r="L290" s="105"/>
      <c r="M290" s="105"/>
      <c r="N290" s="105"/>
      <c r="O290" s="105"/>
      <c r="P290" s="98"/>
    </row>
    <row r="291" spans="3:16" x14ac:dyDescent="0.25">
      <c r="C291" s="18">
        <v>258</v>
      </c>
      <c r="D291" s="105"/>
      <c r="E291" s="254"/>
      <c r="F291" s="98"/>
      <c r="G291" s="98"/>
      <c r="H291" s="98"/>
      <c r="I291" s="37"/>
      <c r="J291" s="37"/>
      <c r="L291" s="105"/>
      <c r="M291" s="105"/>
      <c r="N291" s="105"/>
      <c r="O291" s="105"/>
      <c r="P291" s="98"/>
    </row>
    <row r="292" spans="3:16" x14ac:dyDescent="0.25">
      <c r="C292" s="18">
        <v>259</v>
      </c>
      <c r="D292" s="105"/>
      <c r="E292" s="254"/>
      <c r="F292" s="98"/>
      <c r="G292" s="98"/>
      <c r="H292" s="98"/>
      <c r="I292" s="37"/>
      <c r="J292" s="37"/>
      <c r="L292" s="105"/>
      <c r="M292" s="105"/>
      <c r="N292" s="105"/>
      <c r="O292" s="105"/>
      <c r="P292" s="98"/>
    </row>
    <row r="293" spans="3:16" x14ac:dyDescent="0.25">
      <c r="C293" s="18">
        <v>260</v>
      </c>
      <c r="D293" s="105"/>
      <c r="E293" s="254"/>
      <c r="F293" s="98"/>
      <c r="G293" s="98"/>
      <c r="H293" s="98"/>
      <c r="I293" s="37"/>
      <c r="J293" s="37"/>
      <c r="L293" s="105"/>
      <c r="M293" s="105"/>
      <c r="N293" s="105"/>
      <c r="O293" s="105"/>
      <c r="P293" s="98"/>
    </row>
    <row r="294" spans="3:16" x14ac:dyDescent="0.25">
      <c r="C294" s="18">
        <v>261</v>
      </c>
      <c r="D294" s="105"/>
      <c r="E294" s="254"/>
      <c r="F294" s="98"/>
      <c r="G294" s="98"/>
      <c r="H294" s="98"/>
      <c r="I294" s="37"/>
      <c r="J294" s="37"/>
      <c r="L294" s="105"/>
      <c r="M294" s="105"/>
      <c r="N294" s="105"/>
      <c r="O294" s="105"/>
      <c r="P294" s="98"/>
    </row>
    <row r="295" spans="3:16" x14ac:dyDescent="0.25">
      <c r="C295" s="18">
        <v>262</v>
      </c>
      <c r="D295" s="105"/>
      <c r="E295" s="254"/>
      <c r="F295" s="98"/>
      <c r="G295" s="98"/>
      <c r="H295" s="98"/>
      <c r="I295" s="37"/>
      <c r="J295" s="37"/>
      <c r="L295" s="105"/>
      <c r="M295" s="105"/>
      <c r="N295" s="105"/>
      <c r="O295" s="105"/>
      <c r="P295" s="98"/>
    </row>
    <row r="296" spans="3:16" x14ac:dyDescent="0.25">
      <c r="C296" s="18">
        <v>263</v>
      </c>
      <c r="D296" s="105"/>
      <c r="E296" s="254"/>
      <c r="F296" s="98"/>
      <c r="G296" s="98"/>
      <c r="H296" s="98"/>
      <c r="I296" s="37"/>
      <c r="J296" s="37"/>
      <c r="L296" s="105"/>
      <c r="M296" s="105"/>
      <c r="N296" s="105"/>
      <c r="O296" s="105"/>
      <c r="P296" s="98"/>
    </row>
    <row r="297" spans="3:16" x14ac:dyDescent="0.25">
      <c r="C297" s="18">
        <v>264</v>
      </c>
      <c r="D297" s="105"/>
      <c r="E297" s="254"/>
      <c r="F297" s="98"/>
      <c r="G297" s="98"/>
      <c r="H297" s="98"/>
      <c r="I297" s="37"/>
      <c r="J297" s="37"/>
      <c r="L297" s="105"/>
      <c r="M297" s="105"/>
      <c r="N297" s="105"/>
      <c r="O297" s="105"/>
      <c r="P297" s="98"/>
    </row>
    <row r="298" spans="3:16" x14ac:dyDescent="0.25">
      <c r="C298" s="18">
        <v>265</v>
      </c>
      <c r="D298" s="105"/>
      <c r="E298" s="254"/>
      <c r="F298" s="98"/>
      <c r="G298" s="98"/>
      <c r="H298" s="98"/>
      <c r="I298" s="37"/>
      <c r="J298" s="37"/>
      <c r="L298" s="105"/>
      <c r="M298" s="105"/>
      <c r="N298" s="105"/>
      <c r="O298" s="105"/>
      <c r="P298" s="98"/>
    </row>
    <row r="299" spans="3:16" x14ac:dyDescent="0.25">
      <c r="C299" s="18">
        <v>266</v>
      </c>
      <c r="D299" s="105"/>
      <c r="E299" s="254"/>
      <c r="F299" s="98"/>
      <c r="G299" s="98"/>
      <c r="H299" s="98"/>
      <c r="I299" s="37"/>
      <c r="J299" s="37"/>
      <c r="L299" s="105"/>
      <c r="M299" s="105"/>
      <c r="N299" s="105"/>
      <c r="O299" s="105"/>
      <c r="P299" s="98"/>
    </row>
    <row r="300" spans="3:16" x14ac:dyDescent="0.25">
      <c r="C300" s="18">
        <v>267</v>
      </c>
      <c r="D300" s="105"/>
      <c r="E300" s="254"/>
      <c r="F300" s="98"/>
      <c r="G300" s="98"/>
      <c r="H300" s="98"/>
      <c r="I300" s="37"/>
      <c r="J300" s="37"/>
      <c r="L300" s="105"/>
      <c r="M300" s="105"/>
      <c r="N300" s="105"/>
      <c r="O300" s="105"/>
      <c r="P300" s="98"/>
    </row>
    <row r="301" spans="3:16" x14ac:dyDescent="0.25">
      <c r="C301" s="18">
        <v>268</v>
      </c>
      <c r="D301" s="105"/>
      <c r="E301" s="254"/>
      <c r="F301" s="98"/>
      <c r="G301" s="98"/>
      <c r="H301" s="98"/>
      <c r="I301" s="37"/>
      <c r="J301" s="37"/>
      <c r="L301" s="105"/>
      <c r="M301" s="105"/>
      <c r="N301" s="105"/>
      <c r="O301" s="105"/>
      <c r="P301" s="98"/>
    </row>
    <row r="302" spans="3:16" x14ac:dyDescent="0.25">
      <c r="C302" s="18">
        <v>269</v>
      </c>
      <c r="D302" s="105"/>
      <c r="E302" s="254"/>
      <c r="F302" s="98"/>
      <c r="G302" s="98"/>
      <c r="H302" s="98"/>
      <c r="I302" s="37"/>
      <c r="J302" s="37"/>
      <c r="L302" s="105"/>
      <c r="M302" s="105"/>
      <c r="N302" s="105"/>
      <c r="O302" s="105"/>
      <c r="P302" s="98"/>
    </row>
    <row r="303" spans="3:16" x14ac:dyDescent="0.25">
      <c r="C303" s="18">
        <v>270</v>
      </c>
      <c r="D303" s="105"/>
      <c r="E303" s="254"/>
      <c r="F303" s="98"/>
      <c r="G303" s="98"/>
      <c r="H303" s="98"/>
      <c r="I303" s="37"/>
      <c r="J303" s="37"/>
      <c r="L303" s="105"/>
      <c r="M303" s="105"/>
      <c r="N303" s="105"/>
      <c r="O303" s="105"/>
      <c r="P303" s="98"/>
    </row>
    <row r="304" spans="3:16" x14ac:dyDescent="0.25">
      <c r="C304" s="18">
        <v>271</v>
      </c>
      <c r="D304" s="105"/>
      <c r="E304" s="254"/>
      <c r="F304" s="98"/>
      <c r="G304" s="98"/>
      <c r="H304" s="98"/>
      <c r="I304" s="37"/>
      <c r="J304" s="37"/>
      <c r="L304" s="105"/>
      <c r="M304" s="105"/>
      <c r="N304" s="105"/>
      <c r="O304" s="105"/>
      <c r="P304" s="98"/>
    </row>
    <row r="305" spans="3:16" x14ac:dyDescent="0.25">
      <c r="C305" s="18">
        <v>272</v>
      </c>
      <c r="D305" s="105"/>
      <c r="E305" s="254"/>
      <c r="F305" s="98"/>
      <c r="G305" s="98"/>
      <c r="H305" s="98"/>
      <c r="I305" s="37"/>
      <c r="J305" s="37"/>
      <c r="L305" s="105"/>
      <c r="M305" s="105"/>
      <c r="N305" s="105"/>
      <c r="O305" s="105"/>
      <c r="P305" s="98"/>
    </row>
    <row r="306" spans="3:16" x14ac:dyDescent="0.25">
      <c r="C306" s="18">
        <v>273</v>
      </c>
      <c r="D306" s="105"/>
      <c r="E306" s="254"/>
      <c r="F306" s="98"/>
      <c r="G306" s="98"/>
      <c r="H306" s="98"/>
      <c r="I306" s="37"/>
      <c r="J306" s="37"/>
      <c r="L306" s="105"/>
      <c r="M306" s="105"/>
      <c r="N306" s="105"/>
      <c r="O306" s="105"/>
      <c r="P306" s="98"/>
    </row>
    <row r="307" spans="3:16" x14ac:dyDescent="0.25">
      <c r="C307" s="18">
        <v>274</v>
      </c>
      <c r="D307" s="105"/>
      <c r="E307" s="254"/>
      <c r="F307" s="98"/>
      <c r="G307" s="98"/>
      <c r="H307" s="98"/>
      <c r="I307" s="37"/>
      <c r="J307" s="37"/>
      <c r="L307" s="105"/>
      <c r="M307" s="105"/>
      <c r="N307" s="105"/>
      <c r="O307" s="105"/>
      <c r="P307" s="98"/>
    </row>
    <row r="308" spans="3:16" x14ac:dyDescent="0.25">
      <c r="C308" s="18">
        <v>275</v>
      </c>
      <c r="D308" s="105"/>
      <c r="E308" s="254"/>
      <c r="F308" s="98"/>
      <c r="G308" s="98"/>
      <c r="H308" s="98"/>
      <c r="I308" s="37"/>
      <c r="J308" s="37"/>
      <c r="L308" s="105"/>
      <c r="M308" s="105"/>
      <c r="N308" s="105"/>
      <c r="O308" s="105"/>
      <c r="P308" s="98"/>
    </row>
    <row r="309" spans="3:16" x14ac:dyDescent="0.25">
      <c r="C309" s="18">
        <v>276</v>
      </c>
      <c r="D309" s="105"/>
      <c r="E309" s="254"/>
      <c r="F309" s="98"/>
      <c r="G309" s="98"/>
      <c r="H309" s="98"/>
      <c r="I309" s="37"/>
      <c r="J309" s="37"/>
      <c r="L309" s="105"/>
      <c r="M309" s="105"/>
      <c r="N309" s="105"/>
      <c r="O309" s="105"/>
      <c r="P309" s="98"/>
    </row>
    <row r="310" spans="3:16" x14ac:dyDescent="0.25">
      <c r="C310" s="18">
        <v>277</v>
      </c>
      <c r="D310" s="105"/>
      <c r="E310" s="254"/>
      <c r="F310" s="98"/>
      <c r="G310" s="98"/>
      <c r="H310" s="98"/>
      <c r="I310" s="37"/>
      <c r="J310" s="37"/>
      <c r="L310" s="105"/>
      <c r="M310" s="105"/>
      <c r="N310" s="105"/>
      <c r="O310" s="105"/>
      <c r="P310" s="98"/>
    </row>
    <row r="311" spans="3:16" x14ac:dyDescent="0.25">
      <c r="C311" s="18">
        <v>278</v>
      </c>
      <c r="D311" s="105"/>
      <c r="E311" s="254"/>
      <c r="F311" s="98"/>
      <c r="G311" s="98"/>
      <c r="H311" s="98"/>
      <c r="I311" s="37"/>
      <c r="J311" s="37"/>
      <c r="L311" s="105"/>
      <c r="M311" s="105"/>
      <c r="N311" s="105"/>
      <c r="O311" s="105"/>
      <c r="P311" s="98"/>
    </row>
    <row r="312" spans="3:16" x14ac:dyDescent="0.25">
      <c r="C312" s="18">
        <v>279</v>
      </c>
      <c r="D312" s="105"/>
      <c r="E312" s="254"/>
      <c r="F312" s="98"/>
      <c r="G312" s="98"/>
      <c r="H312" s="98"/>
      <c r="I312" s="37"/>
      <c r="J312" s="37"/>
      <c r="L312" s="105"/>
      <c r="M312" s="105"/>
      <c r="N312" s="105"/>
      <c r="O312" s="105"/>
      <c r="P312" s="98"/>
    </row>
    <row r="313" spans="3:16" x14ac:dyDescent="0.25">
      <c r="C313" s="18">
        <v>280</v>
      </c>
      <c r="D313" s="105"/>
      <c r="E313" s="254"/>
      <c r="F313" s="98"/>
      <c r="G313" s="98"/>
      <c r="H313" s="98"/>
      <c r="I313" s="37"/>
      <c r="J313" s="37"/>
      <c r="L313" s="105"/>
      <c r="M313" s="105"/>
      <c r="N313" s="105"/>
      <c r="O313" s="105"/>
      <c r="P313" s="98"/>
    </row>
    <row r="314" spans="3:16" x14ac:dyDescent="0.25">
      <c r="C314" s="18">
        <v>281</v>
      </c>
      <c r="D314" s="105"/>
      <c r="E314" s="254"/>
      <c r="F314" s="98"/>
      <c r="G314" s="98"/>
      <c r="H314" s="98"/>
      <c r="I314" s="37"/>
      <c r="J314" s="37"/>
      <c r="L314" s="105"/>
      <c r="M314" s="105"/>
      <c r="N314" s="105"/>
      <c r="O314" s="105"/>
      <c r="P314" s="98"/>
    </row>
    <row r="315" spans="3:16" x14ac:dyDescent="0.25">
      <c r="C315" s="18">
        <v>282</v>
      </c>
      <c r="D315" s="105"/>
      <c r="E315" s="254"/>
      <c r="F315" s="98"/>
      <c r="G315" s="98"/>
      <c r="H315" s="98"/>
      <c r="I315" s="37"/>
      <c r="J315" s="37"/>
      <c r="L315" s="105"/>
      <c r="M315" s="105"/>
      <c r="N315" s="105"/>
      <c r="O315" s="105"/>
      <c r="P315" s="98"/>
    </row>
    <row r="316" spans="3:16" x14ac:dyDescent="0.25">
      <c r="C316" s="18">
        <v>283</v>
      </c>
      <c r="D316" s="105"/>
      <c r="E316" s="254"/>
      <c r="F316" s="98"/>
      <c r="G316" s="98"/>
      <c r="H316" s="98"/>
      <c r="I316" s="37"/>
      <c r="J316" s="37"/>
      <c r="L316" s="105"/>
      <c r="M316" s="105"/>
      <c r="N316" s="105"/>
      <c r="O316" s="105"/>
      <c r="P316" s="98"/>
    </row>
    <row r="317" spans="3:16" x14ac:dyDescent="0.25">
      <c r="C317" s="18">
        <v>284</v>
      </c>
      <c r="D317" s="105"/>
      <c r="E317" s="254"/>
      <c r="F317" s="98"/>
      <c r="G317" s="98"/>
      <c r="H317" s="98"/>
      <c r="I317" s="37"/>
      <c r="J317" s="37"/>
      <c r="L317" s="105"/>
      <c r="M317" s="105"/>
      <c r="N317" s="105"/>
      <c r="O317" s="105"/>
      <c r="P317" s="98"/>
    </row>
    <row r="318" spans="3:16" x14ac:dyDescent="0.25">
      <c r="C318" s="18">
        <v>285</v>
      </c>
      <c r="D318" s="105"/>
      <c r="E318" s="254"/>
      <c r="F318" s="98"/>
      <c r="G318" s="98"/>
      <c r="H318" s="98"/>
      <c r="I318" s="37"/>
      <c r="J318" s="37"/>
      <c r="L318" s="105"/>
      <c r="M318" s="105"/>
      <c r="N318" s="105"/>
      <c r="O318" s="105"/>
      <c r="P318" s="98"/>
    </row>
    <row r="319" spans="3:16" x14ac:dyDescent="0.25">
      <c r="C319" s="18">
        <v>286</v>
      </c>
      <c r="D319" s="105"/>
      <c r="E319" s="254"/>
      <c r="F319" s="98"/>
      <c r="G319" s="98"/>
      <c r="H319" s="98"/>
      <c r="I319" s="37"/>
      <c r="J319" s="37"/>
      <c r="L319" s="105"/>
      <c r="M319" s="105"/>
      <c r="N319" s="105"/>
      <c r="O319" s="105"/>
      <c r="P319" s="98"/>
    </row>
    <row r="320" spans="3:16" x14ac:dyDescent="0.25">
      <c r="C320" s="18">
        <v>287</v>
      </c>
      <c r="D320" s="105"/>
      <c r="E320" s="254"/>
      <c r="F320" s="98"/>
      <c r="G320" s="98"/>
      <c r="H320" s="98"/>
      <c r="I320" s="37"/>
      <c r="J320" s="37"/>
      <c r="L320" s="105"/>
      <c r="M320" s="105"/>
      <c r="N320" s="105"/>
      <c r="O320" s="105"/>
      <c r="P320" s="98"/>
    </row>
    <row r="321" spans="3:16" x14ac:dyDescent="0.25">
      <c r="C321" s="18">
        <v>288</v>
      </c>
      <c r="D321" s="105"/>
      <c r="E321" s="254"/>
      <c r="F321" s="98"/>
      <c r="G321" s="98"/>
      <c r="H321" s="98"/>
      <c r="I321" s="37"/>
      <c r="J321" s="37"/>
      <c r="L321" s="105"/>
      <c r="M321" s="105"/>
      <c r="N321" s="105"/>
      <c r="O321" s="105"/>
      <c r="P321" s="98"/>
    </row>
    <row r="322" spans="3:16" x14ac:dyDescent="0.25">
      <c r="C322" s="18">
        <v>289</v>
      </c>
      <c r="D322" s="105"/>
      <c r="E322" s="254"/>
      <c r="F322" s="98"/>
      <c r="G322" s="98"/>
      <c r="H322" s="98"/>
      <c r="I322" s="37"/>
      <c r="J322" s="37"/>
      <c r="L322" s="105"/>
      <c r="M322" s="105"/>
      <c r="N322" s="105"/>
      <c r="O322" s="105"/>
      <c r="P322" s="98"/>
    </row>
    <row r="323" spans="3:16" x14ac:dyDescent="0.25">
      <c r="C323" s="18">
        <v>290</v>
      </c>
      <c r="D323" s="105"/>
      <c r="E323" s="254"/>
      <c r="F323" s="98"/>
      <c r="G323" s="98"/>
      <c r="H323" s="98"/>
      <c r="I323" s="37"/>
      <c r="J323" s="37"/>
      <c r="L323" s="105"/>
      <c r="M323" s="105"/>
      <c r="N323" s="105"/>
      <c r="O323" s="105"/>
      <c r="P323" s="98"/>
    </row>
    <row r="324" spans="3:16" x14ac:dyDescent="0.25">
      <c r="C324" s="18">
        <v>291</v>
      </c>
      <c r="D324" s="105"/>
      <c r="E324" s="254"/>
      <c r="F324" s="98"/>
      <c r="G324" s="98"/>
      <c r="H324" s="98"/>
      <c r="I324" s="37"/>
      <c r="J324" s="37"/>
      <c r="L324" s="105"/>
      <c r="M324" s="105"/>
      <c r="N324" s="105"/>
      <c r="O324" s="105"/>
      <c r="P324" s="98"/>
    </row>
    <row r="325" spans="3:16" x14ac:dyDescent="0.25">
      <c r="C325" s="18">
        <v>292</v>
      </c>
      <c r="D325" s="105"/>
      <c r="E325" s="254"/>
      <c r="F325" s="98"/>
      <c r="G325" s="98"/>
      <c r="H325" s="98"/>
      <c r="I325" s="37"/>
      <c r="J325" s="37"/>
      <c r="L325" s="105"/>
      <c r="M325" s="105"/>
      <c r="N325" s="105"/>
      <c r="O325" s="105"/>
      <c r="P325" s="98"/>
    </row>
    <row r="326" spans="3:16" x14ac:dyDescent="0.25">
      <c r="C326" s="18">
        <v>293</v>
      </c>
      <c r="D326" s="105"/>
      <c r="E326" s="254"/>
      <c r="F326" s="98"/>
      <c r="G326" s="98"/>
      <c r="H326" s="98"/>
      <c r="I326" s="37"/>
      <c r="J326" s="37"/>
      <c r="L326" s="105"/>
      <c r="M326" s="105"/>
      <c r="N326" s="105"/>
      <c r="O326" s="105"/>
      <c r="P326" s="98"/>
    </row>
    <row r="327" spans="3:16" x14ac:dyDescent="0.25">
      <c r="C327" s="18">
        <v>294</v>
      </c>
      <c r="D327" s="105"/>
      <c r="E327" s="254"/>
      <c r="F327" s="98"/>
      <c r="G327" s="98"/>
      <c r="H327" s="98"/>
      <c r="I327" s="37"/>
      <c r="J327" s="37"/>
      <c r="L327" s="105"/>
      <c r="M327" s="105"/>
      <c r="N327" s="105"/>
      <c r="O327" s="105"/>
      <c r="P327" s="98"/>
    </row>
    <row r="328" spans="3:16" x14ac:dyDescent="0.25">
      <c r="C328" s="18">
        <v>295</v>
      </c>
      <c r="D328" s="105"/>
      <c r="E328" s="254"/>
      <c r="F328" s="98"/>
      <c r="G328" s="98"/>
      <c r="H328" s="98"/>
      <c r="I328" s="37"/>
      <c r="J328" s="37"/>
      <c r="L328" s="105"/>
      <c r="M328" s="105"/>
      <c r="N328" s="105"/>
      <c r="O328" s="105"/>
      <c r="P328" s="98"/>
    </row>
    <row r="329" spans="3:16" x14ac:dyDescent="0.25">
      <c r="C329" s="18">
        <v>296</v>
      </c>
      <c r="D329" s="105"/>
      <c r="E329" s="254"/>
      <c r="F329" s="98"/>
      <c r="G329" s="98"/>
      <c r="H329" s="98"/>
      <c r="I329" s="37"/>
      <c r="J329" s="37"/>
      <c r="L329" s="105"/>
      <c r="M329" s="105"/>
      <c r="N329" s="105"/>
      <c r="O329" s="105"/>
      <c r="P329" s="98"/>
    </row>
    <row r="330" spans="3:16" x14ac:dyDescent="0.25">
      <c r="C330" s="18">
        <v>297</v>
      </c>
      <c r="D330" s="105"/>
      <c r="E330" s="254"/>
      <c r="F330" s="98"/>
      <c r="G330" s="98"/>
      <c r="H330" s="98"/>
      <c r="I330" s="37"/>
      <c r="J330" s="37"/>
      <c r="L330" s="105"/>
      <c r="M330" s="105"/>
      <c r="N330" s="105"/>
      <c r="O330" s="105"/>
      <c r="P330" s="98"/>
    </row>
    <row r="331" spans="3:16" x14ac:dyDescent="0.25">
      <c r="C331" s="18">
        <v>298</v>
      </c>
      <c r="D331" s="105"/>
      <c r="E331" s="254"/>
      <c r="F331" s="98"/>
      <c r="G331" s="98"/>
      <c r="H331" s="98"/>
      <c r="I331" s="37"/>
      <c r="J331" s="37"/>
      <c r="L331" s="105"/>
      <c r="M331" s="105"/>
      <c r="N331" s="105"/>
      <c r="O331" s="105"/>
      <c r="P331" s="98"/>
    </row>
    <row r="332" spans="3:16" x14ac:dyDescent="0.25">
      <c r="C332" s="18">
        <v>299</v>
      </c>
      <c r="D332" s="105"/>
      <c r="E332" s="254"/>
      <c r="F332" s="98"/>
      <c r="G332" s="98"/>
      <c r="H332" s="98"/>
      <c r="I332" s="37"/>
      <c r="J332" s="37"/>
      <c r="L332" s="105"/>
      <c r="M332" s="105"/>
      <c r="N332" s="105"/>
      <c r="O332" s="105"/>
      <c r="P332" s="98"/>
    </row>
    <row r="333" spans="3:16" x14ac:dyDescent="0.25">
      <c r="C333" s="18">
        <v>300</v>
      </c>
      <c r="D333" s="105"/>
      <c r="E333" s="254"/>
      <c r="F333" s="98"/>
      <c r="G333" s="98"/>
      <c r="H333" s="98"/>
      <c r="I333" s="37"/>
      <c r="J333" s="37"/>
      <c r="L333" s="105"/>
      <c r="M333" s="105"/>
      <c r="N333" s="105"/>
      <c r="O333" s="105"/>
      <c r="P333" s="98"/>
    </row>
  </sheetData>
  <mergeCells count="1">
    <mergeCell ref="A2:A3"/>
  </mergeCells>
  <conditionalFormatting sqref="C13:C27 C13:C27 L13:L27">
    <cfRule type="expression" dxfId="733" priority="9">
      <formula>IF(AND(NOT(ISBLANK($I13)),NOT(ISNUMBER(MATCH($I13,$I$34:$I$333,0)))),TRUE,FALSE)</formula>
    </cfRule>
  </conditionalFormatting>
  <conditionalFormatting sqref="C13:J27">
    <cfRule type="expression" dxfId="732" priority="10">
      <formula>IF(ISNUMBER(MATCH($I13,$I$34:$I$333,0)),TRUE,FALSE)</formula>
    </cfRule>
  </conditionalFormatting>
  <conditionalFormatting sqref="L34:P333">
    <cfRule type="expression" dxfId="731" priority="11">
      <formula>IF(AND(COUNTA($L34:$O34)&lt;4,NOT(ISBLANK($D34))),TRUE,FALSE)</formula>
    </cfRule>
  </conditionalFormatting>
  <conditionalFormatting sqref="L13:L27">
    <cfRule type="expression" dxfId="730" priority="1">
      <formula>IF(ISNUMBER(MATCH($I13,$I$34:$I$333,0)),TRUE,FALSE)</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A6736428-4363-4DA8-AAA6-ADD7EDF696CB}">
            <xm:f>IF(OR($L34='Lookup refs'!$K$9,$L34='Lookup refs'!$K$10),TRUE,FALSE)</xm:f>
            <x14:dxf>
              <font>
                <b/>
                <i val="0"/>
                <color rgb="FFFF0000"/>
              </font>
              <fill>
                <patternFill>
                  <bgColor theme="0"/>
                </patternFill>
              </fill>
              <border>
                <left style="thin">
                  <color rgb="FFFF0000"/>
                </left>
                <right style="thin">
                  <color rgb="FFFF0000"/>
                </right>
                <top style="thin">
                  <color rgb="FFFF0000"/>
                </top>
                <bottom style="thin">
                  <color rgb="FFFF0000"/>
                </bottom>
                <vertical/>
                <horizontal/>
              </border>
            </x14:dxf>
          </x14:cfRule>
          <xm:sqref>L34:L333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BD6EC3E-2BC3-4F10-A275-F14791BA75F5}">
          <x14:formula1>
            <xm:f>'Lookup refs'!$K$8:$K$10</xm:f>
          </x14:formula1>
          <xm:sqref>L34:L333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7AA2C-AE0E-470D-92B2-A7ADC3EE59F8}">
  <sheetPr codeName="Sheet11">
    <tabColor theme="4" tint="0.79998168889431442"/>
  </sheetPr>
  <dimension ref="A1:R260"/>
  <sheetViews>
    <sheetView showGridLines="0" topLeftCell="B1" zoomScale="70" zoomScaleNormal="70" workbookViewId="0">
      <selection activeCell="D264" sqref="D264"/>
    </sheetView>
  </sheetViews>
  <sheetFormatPr defaultColWidth="9.140625" defaultRowHeight="15" outlineLevelRow="1" outlineLevelCol="1" x14ac:dyDescent="0.25"/>
  <cols>
    <col min="1" max="1" width="100.7109375" hidden="1" customWidth="1" outlineLevel="1"/>
    <col min="2" max="2" width="10.7109375" style="6" customWidth="1" collapsed="1"/>
    <col min="3" max="3" width="45.5703125" customWidth="1"/>
    <col min="4" max="4" width="63.140625" bestFit="1" customWidth="1"/>
    <col min="5" max="5" width="34.28515625" customWidth="1"/>
    <col min="6" max="18" width="25.5703125" customWidth="1"/>
  </cols>
  <sheetData>
    <row r="1" spans="1:18" ht="15" customHeight="1" x14ac:dyDescent="0.25">
      <c r="A1" s="1" t="s">
        <v>27</v>
      </c>
      <c r="B1" s="22"/>
      <c r="C1" s="23"/>
      <c r="D1" s="23"/>
      <c r="E1" s="23"/>
      <c r="F1" s="23"/>
      <c r="G1" s="23"/>
      <c r="H1" s="23"/>
      <c r="I1" s="23"/>
      <c r="J1" s="23"/>
      <c r="K1" s="23"/>
      <c r="L1" s="23"/>
      <c r="M1" s="23"/>
      <c r="N1" s="23"/>
      <c r="O1" s="23"/>
      <c r="P1" s="23"/>
      <c r="Q1" s="23"/>
      <c r="R1" s="23"/>
    </row>
    <row r="2" spans="1:18" s="4" customFormat="1" ht="50.1" customHeight="1" x14ac:dyDescent="0.25">
      <c r="A2" s="293" t="s">
        <v>106</v>
      </c>
      <c r="B2" s="26"/>
      <c r="C2" s="26" t="str">
        <f>Disclaimer!$B$1</f>
        <v>VDO calculation model</v>
      </c>
      <c r="D2" s="26"/>
      <c r="E2" s="26"/>
      <c r="F2" s="26"/>
      <c r="G2" s="26"/>
      <c r="H2" s="26"/>
      <c r="I2" s="26"/>
      <c r="J2" s="26"/>
      <c r="K2" s="26"/>
      <c r="L2" s="26"/>
      <c r="M2" s="26"/>
      <c r="N2" s="26"/>
      <c r="O2" s="26"/>
      <c r="P2" s="26"/>
      <c r="Q2" s="26"/>
      <c r="R2" s="26"/>
    </row>
    <row r="3" spans="1:18" s="4" customFormat="1" ht="30" customHeight="1" x14ac:dyDescent="0.25">
      <c r="A3" s="294"/>
      <c r="B3" s="28">
        <f ca="1">_xlfn.SHEET()</f>
        <v>9</v>
      </c>
      <c r="C3" s="27" t="s">
        <v>52</v>
      </c>
      <c r="D3" s="27"/>
      <c r="E3" s="27"/>
      <c r="F3" s="27"/>
      <c r="G3" s="27"/>
      <c r="H3" s="27"/>
      <c r="I3" s="27"/>
      <c r="J3" s="27"/>
      <c r="K3" s="27"/>
      <c r="L3" s="27"/>
      <c r="M3" s="27"/>
      <c r="N3" s="27"/>
      <c r="O3" s="27"/>
      <c r="P3" s="27"/>
      <c r="Q3" s="27"/>
      <c r="R3" s="27"/>
    </row>
    <row r="4" spans="1:18" x14ac:dyDescent="0.25">
      <c r="B4"/>
    </row>
    <row r="5" spans="1:18" ht="16.5" thickBot="1" x14ac:dyDescent="0.3">
      <c r="A5" s="1" t="s">
        <v>30</v>
      </c>
      <c r="B5" s="9">
        <f ca="1">MAX(B$3:B4)+0.1</f>
        <v>9.1</v>
      </c>
      <c r="C5" s="29" t="s">
        <v>107</v>
      </c>
      <c r="D5" s="29"/>
      <c r="E5" s="29"/>
      <c r="F5" s="29"/>
      <c r="G5" s="29"/>
      <c r="H5" s="29"/>
      <c r="I5" s="29"/>
      <c r="J5" s="29"/>
      <c r="K5" s="29"/>
      <c r="L5" s="29"/>
      <c r="M5" s="29"/>
      <c r="N5" s="29"/>
      <c r="O5" s="29"/>
      <c r="P5" s="29"/>
      <c r="Q5" s="29"/>
      <c r="R5" s="29"/>
    </row>
    <row r="6" spans="1:18" outlineLevel="1" x14ac:dyDescent="0.25"/>
    <row r="7" spans="1:18" ht="15.75" outlineLevel="1" x14ac:dyDescent="0.25">
      <c r="G7" s="41" t="s">
        <v>108</v>
      </c>
      <c r="H7" s="2">
        <v>2021</v>
      </c>
      <c r="I7" s="2">
        <v>2021</v>
      </c>
      <c r="J7" s="2">
        <v>2021</v>
      </c>
      <c r="K7" s="2">
        <v>2021</v>
      </c>
      <c r="L7" s="2">
        <v>2021</v>
      </c>
      <c r="M7" s="2">
        <v>2021</v>
      </c>
      <c r="N7" s="2">
        <v>2022</v>
      </c>
      <c r="O7" s="2">
        <v>2022</v>
      </c>
      <c r="P7" s="2">
        <v>2022</v>
      </c>
      <c r="Q7" s="2">
        <v>2022</v>
      </c>
    </row>
    <row r="8" spans="1:18" ht="15.75" outlineLevel="1" x14ac:dyDescent="0.25">
      <c r="G8" s="41" t="s">
        <v>109</v>
      </c>
      <c r="H8" s="83" t="str">
        <f>"VDO "&amp;H7&amp;" - "&amp;IF(LEFT(H10,1)="F","Final",IF(LEFT(H10,1)="D","Draft",IF(LEFT(H10,2)="VD","Variation draft",IF(LEFT(H10,2)="VF","Variation final"))))&amp;" - Input Date"</f>
        <v>VDO 2021 - Final - Input Date</v>
      </c>
      <c r="I8" s="42" t="str">
        <f>"VDO "&amp;I7&amp;" - "&amp;IF(LEFT(I10,1)="F","Final",IF(LEFT(I10,1)="D","Draft",IF(LEFT(I10,2)="VD","Variation draft",IF(LEFT(I10,2)="VF","Variation final"))))</f>
        <v>VDO 2021 - Final</v>
      </c>
      <c r="J8" s="83" t="str">
        <f>"VDO "&amp;J7&amp;" - "&amp;IF(LEFT(J10,1)="F","Final",IF(LEFT(J10,1)="D","Draft",IF(LEFT(J10,2)="VD","Variation draft",IF(LEFT(J10,2)="VF","Variation final"))))&amp;" - Input Date"</f>
        <v>VDO 2021 - Variation draft - Input Date</v>
      </c>
      <c r="K8" s="42" t="str">
        <f>"VDO "&amp;K7&amp;" - "&amp;IF(LEFT(K10,1)="F","Final",IF(LEFT(K10,1)="D","Draft",IF(LEFT(K10,2)="VD","Variation draft",IF(LEFT(K10,2)="VF","Variation final"))))</f>
        <v>VDO 2021 - Variation draft</v>
      </c>
      <c r="L8" s="83" t="str">
        <f>"VDO "&amp;L7&amp;" - "&amp;IF(LEFT(L10,1)="F","Final",IF(LEFT(L10,1)="D","Draft",IF(LEFT(L10,2)="VD","Variation draft",IF(LEFT(L10,2)="VF","Variation final"))))&amp;" - Input Date"</f>
        <v>VDO 2021 - Variation final - Input Date</v>
      </c>
      <c r="M8" s="42" t="str">
        <f>"VDO "&amp;M7&amp;" - "&amp;IF(LEFT(M10,1)="F","Final",IF(LEFT(M10,1)="D","Draft",IF(LEFT(M10,2)="VD","Variation draft",IF(LEFT(M10,2)="VF","Variation final"))))</f>
        <v>VDO 2021 - Variation final</v>
      </c>
      <c r="N8" s="83" t="str">
        <f>"VDO "&amp;N7&amp;" - "&amp;IF(LEFT(N10,1)="F","Final",IF(LEFT(N10,1)="D","Draft",IF(LEFT(N10,2)="VD","Variation draft",IF(LEFT(N10,2)="VF","Variation final"))))&amp;" - Input Date"</f>
        <v>VDO 2022 - Draft - Input Date</v>
      </c>
      <c r="O8" s="42" t="str">
        <f>"VDO "&amp;O7&amp;" - "&amp;IF(LEFT(O10,1)="F","Final",IF(LEFT(O10,1)="D","Draft",IF(LEFT(O10,2)="VD","Variation draft",IF(LEFT(O10,2)="VF","Variation final"))))</f>
        <v>VDO 2022 - Draft</v>
      </c>
      <c r="P8" s="83" t="str">
        <f>"VDO "&amp;P7&amp;" - "&amp;IF(LEFT(P10,1)="F","Final",IF(LEFT(P10,1)="D","Draft",IF(LEFT(P10,2)="VD","Variation draft",IF(LEFT(P10,2)="VF","Variation final"))))&amp;" - Input Date"</f>
        <v>VDO 2022 - Final - Input Date</v>
      </c>
      <c r="Q8" s="42" t="str">
        <f>"VDO "&amp;Q7&amp;" - "&amp;IF(LEFT(Q10,1)="F","Final",IF(LEFT(Q10,1)="D","Draft",IF(LEFT(Q10,2)="VD","Variation draft",IF(LEFT(Q10,2)="VF","Variation final"))))</f>
        <v>VDO 2022 - Final</v>
      </c>
    </row>
    <row r="9" spans="1:18" ht="15.75" outlineLevel="1" x14ac:dyDescent="0.25">
      <c r="C9" s="30" t="s">
        <v>518</v>
      </c>
    </row>
    <row r="10" spans="1:18" ht="15.75" outlineLevel="1" x14ac:dyDescent="0.25">
      <c r="C10" s="43" t="s">
        <v>53</v>
      </c>
      <c r="D10" s="43" t="s">
        <v>54</v>
      </c>
      <c r="E10" s="43" t="s">
        <v>110</v>
      </c>
      <c r="F10" s="43" t="s">
        <v>111</v>
      </c>
      <c r="G10" s="43" t="s">
        <v>99</v>
      </c>
      <c r="H10" s="43" t="s">
        <v>112</v>
      </c>
      <c r="I10" s="43" t="s">
        <v>55</v>
      </c>
      <c r="J10" s="44" t="s">
        <v>394</v>
      </c>
      <c r="K10" s="44" t="s">
        <v>395</v>
      </c>
      <c r="L10" s="44" t="s">
        <v>396</v>
      </c>
      <c r="M10" s="44" t="s">
        <v>397</v>
      </c>
      <c r="N10" s="43" t="s">
        <v>113</v>
      </c>
      <c r="O10" s="43" t="s">
        <v>56</v>
      </c>
      <c r="P10" s="43" t="s">
        <v>114</v>
      </c>
      <c r="Q10" s="43" t="s">
        <v>57</v>
      </c>
    </row>
    <row r="11" spans="1:18" outlineLevel="1" x14ac:dyDescent="0.25">
      <c r="C11" s="24" t="s">
        <v>115</v>
      </c>
      <c r="D11" s="24" t="s">
        <v>116</v>
      </c>
      <c r="E11" s="24" t="s">
        <v>117</v>
      </c>
      <c r="F11" s="24" t="s">
        <v>118</v>
      </c>
      <c r="G11" s="24" t="s">
        <v>119</v>
      </c>
      <c r="H11" s="99">
        <v>42916</v>
      </c>
      <c r="I11" s="40">
        <v>121.07</v>
      </c>
      <c r="J11" s="99">
        <v>42916</v>
      </c>
      <c r="K11" s="121">
        <v>121.07</v>
      </c>
      <c r="L11" s="99">
        <v>42916</v>
      </c>
      <c r="M11" s="40">
        <v>121.07</v>
      </c>
      <c r="N11" s="100">
        <v>42916</v>
      </c>
      <c r="O11" s="56">
        <v>121.07</v>
      </c>
      <c r="P11" s="100">
        <v>42916</v>
      </c>
      <c r="Q11" s="56">
        <v>121.07</v>
      </c>
    </row>
    <row r="12" spans="1:18" outlineLevel="1" x14ac:dyDescent="0.25">
      <c r="C12" s="24" t="s">
        <v>115</v>
      </c>
      <c r="D12" s="24" t="s">
        <v>120</v>
      </c>
      <c r="E12" s="24" t="s">
        <v>117</v>
      </c>
      <c r="F12" s="24" t="s">
        <v>118</v>
      </c>
      <c r="G12" s="24" t="s">
        <v>119</v>
      </c>
      <c r="H12" s="99">
        <v>43646</v>
      </c>
      <c r="I12" s="40">
        <v>10</v>
      </c>
      <c r="J12" s="99">
        <v>43646</v>
      </c>
      <c r="K12" s="121">
        <v>10</v>
      </c>
      <c r="L12" s="99">
        <v>43646</v>
      </c>
      <c r="M12" s="40">
        <v>10</v>
      </c>
      <c r="N12" s="100">
        <v>44561</v>
      </c>
      <c r="O12" s="56">
        <v>10</v>
      </c>
      <c r="P12" s="100">
        <v>44561</v>
      </c>
      <c r="Q12" s="56">
        <v>10</v>
      </c>
    </row>
    <row r="13" spans="1:18" outlineLevel="1" x14ac:dyDescent="0.25">
      <c r="C13" s="24" t="s">
        <v>115</v>
      </c>
      <c r="D13" s="24" t="s">
        <v>121</v>
      </c>
      <c r="E13" s="24" t="s">
        <v>117</v>
      </c>
      <c r="F13" s="24" t="s">
        <v>118</v>
      </c>
      <c r="G13" s="24" t="s">
        <v>119</v>
      </c>
      <c r="H13" s="99">
        <v>44196</v>
      </c>
      <c r="I13" s="40">
        <v>0.210145</v>
      </c>
      <c r="J13" s="99">
        <v>44196</v>
      </c>
      <c r="K13" s="121">
        <v>0.210145</v>
      </c>
      <c r="L13" s="99">
        <v>44196</v>
      </c>
      <c r="M13" s="40">
        <v>0.210145</v>
      </c>
      <c r="N13" s="100">
        <v>44561</v>
      </c>
      <c r="O13" s="56">
        <v>0.84057999999999999</v>
      </c>
      <c r="P13" s="100">
        <v>44561</v>
      </c>
      <c r="Q13" s="56">
        <v>0.84057999999999999</v>
      </c>
    </row>
    <row r="14" spans="1:18" outlineLevel="1" x14ac:dyDescent="0.25">
      <c r="C14" s="24" t="s">
        <v>115</v>
      </c>
      <c r="D14" s="24" t="s">
        <v>122</v>
      </c>
      <c r="E14" s="24" t="s">
        <v>117</v>
      </c>
      <c r="F14" s="24" t="s">
        <v>118</v>
      </c>
      <c r="G14" s="24" t="s">
        <v>119</v>
      </c>
      <c r="H14" s="99">
        <v>44196</v>
      </c>
      <c r="I14" s="40">
        <v>6</v>
      </c>
      <c r="J14" s="99">
        <v>44196</v>
      </c>
      <c r="K14" s="121">
        <v>6</v>
      </c>
      <c r="L14" s="99">
        <v>44196</v>
      </c>
      <c r="M14" s="40">
        <v>6</v>
      </c>
      <c r="N14" s="100">
        <v>44561</v>
      </c>
      <c r="O14" s="56">
        <v>6</v>
      </c>
      <c r="P14" s="100">
        <v>44561</v>
      </c>
      <c r="Q14" s="56">
        <v>0</v>
      </c>
    </row>
    <row r="15" spans="1:18" outlineLevel="1" x14ac:dyDescent="0.25">
      <c r="C15" s="24" t="s">
        <v>115</v>
      </c>
      <c r="D15" s="128" t="s">
        <v>123</v>
      </c>
      <c r="E15" s="24" t="s">
        <v>117</v>
      </c>
      <c r="F15" s="24" t="s">
        <v>118</v>
      </c>
      <c r="G15" s="24" t="s">
        <v>119</v>
      </c>
      <c r="H15" s="99">
        <v>43646</v>
      </c>
      <c r="I15" s="40">
        <v>38</v>
      </c>
      <c r="J15" s="99">
        <v>43646</v>
      </c>
      <c r="K15" s="121">
        <v>38</v>
      </c>
      <c r="L15" s="99">
        <v>43646</v>
      </c>
      <c r="M15" s="40">
        <v>38</v>
      </c>
      <c r="N15" s="100">
        <v>43646</v>
      </c>
      <c r="O15" s="56">
        <v>38</v>
      </c>
      <c r="P15" s="100">
        <v>43646</v>
      </c>
      <c r="Q15" s="56">
        <v>38</v>
      </c>
    </row>
    <row r="16" spans="1:18" outlineLevel="1" x14ac:dyDescent="0.25">
      <c r="C16" s="24" t="s">
        <v>124</v>
      </c>
      <c r="D16" s="60" t="s">
        <v>125</v>
      </c>
      <c r="E16" s="24" t="s">
        <v>117</v>
      </c>
      <c r="F16" s="24" t="s">
        <v>118</v>
      </c>
      <c r="G16" s="24" t="s">
        <v>119</v>
      </c>
      <c r="H16" s="99">
        <v>44012</v>
      </c>
      <c r="I16" s="40">
        <v>10.681187545882992</v>
      </c>
      <c r="J16" s="99">
        <v>44012</v>
      </c>
      <c r="K16" s="121">
        <v>10.681187545882992</v>
      </c>
      <c r="L16" s="99">
        <v>44012</v>
      </c>
      <c r="M16" s="40">
        <v>10.681187545882992</v>
      </c>
      <c r="N16" s="100">
        <v>44377</v>
      </c>
      <c r="O16" s="56">
        <v>13.337762647243332</v>
      </c>
      <c r="P16" s="100">
        <v>44377</v>
      </c>
      <c r="Q16" s="64">
        <v>13.337821545021233</v>
      </c>
    </row>
    <row r="17" spans="3:17" outlineLevel="1" x14ac:dyDescent="0.25">
      <c r="C17" s="24" t="s">
        <v>282</v>
      </c>
      <c r="D17" s="24" t="s">
        <v>126</v>
      </c>
      <c r="E17" s="24" t="s">
        <v>117</v>
      </c>
      <c r="F17" s="24" t="s">
        <v>118</v>
      </c>
      <c r="G17" s="24" t="s">
        <v>119</v>
      </c>
      <c r="H17" s="99">
        <v>43646</v>
      </c>
      <c r="I17" s="40">
        <v>1.6735247135296942</v>
      </c>
      <c r="J17" s="99">
        <v>43646</v>
      </c>
      <c r="K17" s="121">
        <v>1.6735247135296942</v>
      </c>
      <c r="L17" s="99">
        <v>43646</v>
      </c>
      <c r="M17" s="40">
        <v>1.6735247135296942</v>
      </c>
      <c r="N17" s="100">
        <v>43646</v>
      </c>
      <c r="O17" s="56">
        <v>1.6735247135296942</v>
      </c>
      <c r="P17" s="100">
        <v>44012</v>
      </c>
      <c r="Q17" s="56">
        <v>2.0603588195421731</v>
      </c>
    </row>
    <row r="18" spans="3:17" outlineLevel="1" x14ac:dyDescent="0.25">
      <c r="C18" s="24" t="s">
        <v>282</v>
      </c>
      <c r="D18" s="60" t="s">
        <v>127</v>
      </c>
      <c r="E18" s="24" t="s">
        <v>117</v>
      </c>
      <c r="F18" s="24" t="s">
        <v>118</v>
      </c>
      <c r="G18" s="24" t="s">
        <v>119</v>
      </c>
      <c r="H18" s="99">
        <v>44196</v>
      </c>
      <c r="I18" s="40">
        <v>2.46</v>
      </c>
      <c r="J18" s="99">
        <v>44196</v>
      </c>
      <c r="K18" s="121">
        <v>2.46</v>
      </c>
      <c r="L18" s="99">
        <v>44196</v>
      </c>
      <c r="M18" s="40">
        <v>2.46</v>
      </c>
      <c r="N18" s="100">
        <v>44196</v>
      </c>
      <c r="O18" s="56">
        <v>0</v>
      </c>
      <c r="P18" s="100">
        <v>44196</v>
      </c>
      <c r="Q18" s="56">
        <v>0</v>
      </c>
    </row>
    <row r="19" spans="3:17" outlineLevel="1" x14ac:dyDescent="0.25">
      <c r="C19" s="24" t="s">
        <v>282</v>
      </c>
      <c r="D19" s="60" t="s">
        <v>633</v>
      </c>
      <c r="E19" s="24" t="s">
        <v>117</v>
      </c>
      <c r="F19" s="24" t="s">
        <v>128</v>
      </c>
      <c r="G19" s="24" t="s">
        <v>119</v>
      </c>
      <c r="H19" s="99">
        <v>44012</v>
      </c>
      <c r="I19" s="40">
        <v>1.1849999999999999E-2</v>
      </c>
      <c r="J19" s="99">
        <v>44012</v>
      </c>
      <c r="K19" s="121">
        <v>1.1849999999999999E-2</v>
      </c>
      <c r="L19" s="99">
        <v>44012</v>
      </c>
      <c r="M19" s="40">
        <v>1.1849999999999999E-2</v>
      </c>
      <c r="N19" s="100">
        <v>44377</v>
      </c>
      <c r="O19" s="56">
        <v>1.1849999999999999E-2</v>
      </c>
      <c r="P19" s="100">
        <v>44377</v>
      </c>
      <c r="Q19" s="205">
        <v>1.1849999999999999E-2</v>
      </c>
    </row>
    <row r="20" spans="3:17" outlineLevel="1" x14ac:dyDescent="0.25">
      <c r="C20" s="24" t="s">
        <v>282</v>
      </c>
      <c r="D20" s="60" t="s">
        <v>129</v>
      </c>
      <c r="E20" s="24" t="s">
        <v>117</v>
      </c>
      <c r="F20" s="24" t="s">
        <v>128</v>
      </c>
      <c r="G20" s="24" t="s">
        <v>119</v>
      </c>
      <c r="H20" s="99">
        <v>44012</v>
      </c>
      <c r="I20" s="40">
        <v>2.5499999999999998E-2</v>
      </c>
      <c r="J20" s="99">
        <v>44012</v>
      </c>
      <c r="K20" s="121">
        <v>2.5499999999999998E-2</v>
      </c>
      <c r="L20" s="99">
        <v>44012</v>
      </c>
      <c r="M20" s="40">
        <v>2.5499999999999998E-2</v>
      </c>
      <c r="N20" s="100">
        <v>44377</v>
      </c>
      <c r="O20" s="56">
        <v>2.5919999999999999E-2</v>
      </c>
      <c r="P20" s="100">
        <v>44377</v>
      </c>
      <c r="Q20" s="262">
        <v>2.5919999999999999E-2</v>
      </c>
    </row>
    <row r="21" spans="3:17" outlineLevel="1" x14ac:dyDescent="0.25">
      <c r="C21" s="24" t="s">
        <v>130</v>
      </c>
      <c r="D21" s="24" t="s">
        <v>131</v>
      </c>
      <c r="E21" s="24" t="s">
        <v>117</v>
      </c>
      <c r="F21" s="24" t="s">
        <v>132</v>
      </c>
      <c r="G21" s="24" t="s">
        <v>119</v>
      </c>
      <c r="H21" s="99">
        <v>44196</v>
      </c>
      <c r="I21" s="40">
        <v>59.6</v>
      </c>
      <c r="J21" s="100">
        <v>44377</v>
      </c>
      <c r="K21" s="56">
        <v>63.7</v>
      </c>
      <c r="L21" s="100">
        <v>44377</v>
      </c>
      <c r="M21" s="56">
        <v>63.7</v>
      </c>
      <c r="N21" s="100">
        <v>44377</v>
      </c>
      <c r="O21" s="56">
        <v>63.7</v>
      </c>
      <c r="P21" s="100">
        <v>44377</v>
      </c>
      <c r="Q21" s="56">
        <v>63.7</v>
      </c>
    </row>
    <row r="22" spans="3:17" outlineLevel="1" x14ac:dyDescent="0.25">
      <c r="C22" s="24" t="s">
        <v>130</v>
      </c>
      <c r="D22" s="24" t="s">
        <v>133</v>
      </c>
      <c r="E22" s="24" t="s">
        <v>117</v>
      </c>
      <c r="F22" s="24" t="s">
        <v>132</v>
      </c>
      <c r="G22" s="24" t="s">
        <v>119</v>
      </c>
      <c r="H22" s="99">
        <v>44196</v>
      </c>
      <c r="I22" s="40">
        <v>65.8</v>
      </c>
      <c r="J22" s="100">
        <v>44377</v>
      </c>
      <c r="K22" s="56">
        <v>59.4</v>
      </c>
      <c r="L22" s="100">
        <v>44377</v>
      </c>
      <c r="M22" s="56">
        <v>59.4</v>
      </c>
      <c r="N22" s="100">
        <v>44377</v>
      </c>
      <c r="O22" s="56">
        <v>59.4</v>
      </c>
      <c r="P22" s="100">
        <v>44377</v>
      </c>
      <c r="Q22" s="56">
        <v>59.4</v>
      </c>
    </row>
    <row r="23" spans="3:17" outlineLevel="1" x14ac:dyDescent="0.25">
      <c r="C23" s="24" t="s">
        <v>130</v>
      </c>
      <c r="D23" s="24" t="s">
        <v>134</v>
      </c>
      <c r="E23" s="24" t="s">
        <v>117</v>
      </c>
      <c r="F23" s="24" t="s">
        <v>132</v>
      </c>
      <c r="G23" s="24" t="s">
        <v>119</v>
      </c>
      <c r="H23" s="99">
        <v>44196</v>
      </c>
      <c r="I23" s="40">
        <v>66.28</v>
      </c>
      <c r="J23" s="100">
        <v>44377</v>
      </c>
      <c r="K23" s="56">
        <v>54.19</v>
      </c>
      <c r="L23" s="100">
        <v>44377</v>
      </c>
      <c r="M23" s="56">
        <v>54.19</v>
      </c>
      <c r="N23" s="100">
        <v>44377</v>
      </c>
      <c r="O23" s="56">
        <v>54.19</v>
      </c>
      <c r="P23" s="100">
        <v>44377</v>
      </c>
      <c r="Q23" s="56">
        <v>54.19</v>
      </c>
    </row>
    <row r="24" spans="3:17" outlineLevel="1" x14ac:dyDescent="0.25">
      <c r="C24" s="24" t="s">
        <v>130</v>
      </c>
      <c r="D24" s="24" t="s">
        <v>135</v>
      </c>
      <c r="E24" s="24" t="s">
        <v>117</v>
      </c>
      <c r="F24" s="24" t="s">
        <v>132</v>
      </c>
      <c r="G24" s="24" t="s">
        <v>119</v>
      </c>
      <c r="H24" s="99">
        <v>44196</v>
      </c>
      <c r="I24" s="40">
        <v>65.5</v>
      </c>
      <c r="J24" s="100">
        <v>44377</v>
      </c>
      <c r="K24" s="56">
        <v>58</v>
      </c>
      <c r="L24" s="100">
        <v>44377</v>
      </c>
      <c r="M24" s="56">
        <v>58</v>
      </c>
      <c r="N24" s="100">
        <v>44377</v>
      </c>
      <c r="O24" s="56">
        <v>58</v>
      </c>
      <c r="P24" s="100">
        <v>44377</v>
      </c>
      <c r="Q24" s="56">
        <v>58</v>
      </c>
    </row>
    <row r="25" spans="3:17" outlineLevel="1" x14ac:dyDescent="0.25">
      <c r="C25" s="24" t="s">
        <v>130</v>
      </c>
      <c r="D25" s="24" t="s">
        <v>136</v>
      </c>
      <c r="E25" s="24" t="s">
        <v>117</v>
      </c>
      <c r="F25" s="24" t="s">
        <v>132</v>
      </c>
      <c r="G25" s="24" t="s">
        <v>119</v>
      </c>
      <c r="H25" s="99">
        <v>44196</v>
      </c>
      <c r="I25" s="40">
        <v>48.82</v>
      </c>
      <c r="J25" s="100">
        <v>44377</v>
      </c>
      <c r="K25" s="56">
        <v>42.92</v>
      </c>
      <c r="L25" s="100">
        <v>44377</v>
      </c>
      <c r="M25" s="56">
        <v>42.92</v>
      </c>
      <c r="N25" s="100">
        <v>44377</v>
      </c>
      <c r="O25" s="56">
        <v>42.92</v>
      </c>
      <c r="P25" s="100">
        <v>44377</v>
      </c>
      <c r="Q25" s="56">
        <v>42.92</v>
      </c>
    </row>
    <row r="26" spans="3:17" outlineLevel="1" x14ac:dyDescent="0.25">
      <c r="C26" s="24" t="s">
        <v>130</v>
      </c>
      <c r="D26" s="24" t="s">
        <v>399</v>
      </c>
      <c r="E26" s="24" t="s">
        <v>117</v>
      </c>
      <c r="F26" s="24" t="s">
        <v>132</v>
      </c>
      <c r="G26" s="24" t="s">
        <v>100</v>
      </c>
      <c r="H26" s="99">
        <v>44196</v>
      </c>
      <c r="I26" s="40">
        <v>106</v>
      </c>
      <c r="J26" s="100">
        <v>44377</v>
      </c>
      <c r="K26" s="56">
        <v>111.11</v>
      </c>
      <c r="L26" s="100">
        <v>44377</v>
      </c>
      <c r="M26" s="56">
        <v>111.11</v>
      </c>
      <c r="N26" s="100">
        <v>44377</v>
      </c>
      <c r="O26" s="56">
        <v>111.11</v>
      </c>
      <c r="P26" s="100">
        <v>44377</v>
      </c>
      <c r="Q26" s="56">
        <v>111.11</v>
      </c>
    </row>
    <row r="27" spans="3:17" outlineLevel="1" x14ac:dyDescent="0.25">
      <c r="C27" s="24" t="s">
        <v>130</v>
      </c>
      <c r="D27" s="24" t="s">
        <v>400</v>
      </c>
      <c r="E27" s="24" t="s">
        <v>117</v>
      </c>
      <c r="F27" s="24" t="s">
        <v>132</v>
      </c>
      <c r="G27" s="24" t="s">
        <v>100</v>
      </c>
      <c r="H27" s="99">
        <v>44196</v>
      </c>
      <c r="I27" s="40">
        <v>90</v>
      </c>
      <c r="J27" s="100">
        <v>44377</v>
      </c>
      <c r="K27" s="56">
        <v>90.009</v>
      </c>
      <c r="L27" s="100">
        <v>44377</v>
      </c>
      <c r="M27" s="56">
        <v>90.009</v>
      </c>
      <c r="N27" s="100">
        <v>44377</v>
      </c>
      <c r="O27" s="56">
        <v>90.009</v>
      </c>
      <c r="P27" s="100">
        <v>44377</v>
      </c>
      <c r="Q27" s="56">
        <v>90.009</v>
      </c>
    </row>
    <row r="28" spans="3:17" outlineLevel="1" x14ac:dyDescent="0.25">
      <c r="C28" s="24" t="s">
        <v>130</v>
      </c>
      <c r="D28" s="24" t="s">
        <v>401</v>
      </c>
      <c r="E28" s="24" t="s">
        <v>117</v>
      </c>
      <c r="F28" s="24" t="s">
        <v>132</v>
      </c>
      <c r="G28" s="24" t="s">
        <v>100</v>
      </c>
      <c r="H28" s="99">
        <v>44196</v>
      </c>
      <c r="I28" s="40">
        <v>69.03</v>
      </c>
      <c r="J28" s="100">
        <v>44377</v>
      </c>
      <c r="K28" s="56">
        <v>82.195999999999998</v>
      </c>
      <c r="L28" s="100">
        <v>44377</v>
      </c>
      <c r="M28" s="56">
        <v>82.195999999999998</v>
      </c>
      <c r="N28" s="100">
        <v>44377</v>
      </c>
      <c r="O28" s="56">
        <v>82.195999999999998</v>
      </c>
      <c r="P28" s="100">
        <v>44377</v>
      </c>
      <c r="Q28" s="56">
        <v>82.195999999999998</v>
      </c>
    </row>
    <row r="29" spans="3:17" outlineLevel="1" x14ac:dyDescent="0.25">
      <c r="C29" s="24" t="s">
        <v>130</v>
      </c>
      <c r="D29" s="24" t="s">
        <v>402</v>
      </c>
      <c r="E29" s="24" t="s">
        <v>117</v>
      </c>
      <c r="F29" s="24" t="s">
        <v>132</v>
      </c>
      <c r="G29" s="24" t="s">
        <v>100</v>
      </c>
      <c r="H29" s="99">
        <v>44196</v>
      </c>
      <c r="I29" s="40">
        <v>140</v>
      </c>
      <c r="J29" s="100">
        <v>44377</v>
      </c>
      <c r="K29" s="56">
        <v>139.97749999999999</v>
      </c>
      <c r="L29" s="100">
        <v>44377</v>
      </c>
      <c r="M29" s="56">
        <v>139.97749999999999</v>
      </c>
      <c r="N29" s="100">
        <v>44377</v>
      </c>
      <c r="O29" s="56">
        <v>139.97749999999999</v>
      </c>
      <c r="P29" s="100">
        <v>44377</v>
      </c>
      <c r="Q29" s="56">
        <v>139.97749999999999</v>
      </c>
    </row>
    <row r="30" spans="3:17" outlineLevel="1" x14ac:dyDescent="0.25">
      <c r="C30" s="24" t="s">
        <v>130</v>
      </c>
      <c r="D30" s="24" t="s">
        <v>403</v>
      </c>
      <c r="E30" s="24" t="s">
        <v>117</v>
      </c>
      <c r="F30" s="24" t="s">
        <v>132</v>
      </c>
      <c r="G30" s="24" t="s">
        <v>100</v>
      </c>
      <c r="H30" s="99">
        <v>44196</v>
      </c>
      <c r="I30" s="40">
        <v>59.859999999999992</v>
      </c>
      <c r="J30" s="100">
        <v>44377</v>
      </c>
      <c r="K30" s="56">
        <v>80.007999999999996</v>
      </c>
      <c r="L30" s="100">
        <v>44377</v>
      </c>
      <c r="M30" s="56">
        <v>80.007999999999996</v>
      </c>
      <c r="N30" s="100">
        <v>44377</v>
      </c>
      <c r="O30" s="56">
        <v>80.007999999999996</v>
      </c>
      <c r="P30" s="100">
        <v>44377</v>
      </c>
      <c r="Q30" s="56">
        <v>80.007999999999996</v>
      </c>
    </row>
    <row r="31" spans="3:17" outlineLevel="1" x14ac:dyDescent="0.25">
      <c r="C31" s="24" t="s">
        <v>130</v>
      </c>
      <c r="D31" s="60" t="s">
        <v>404</v>
      </c>
      <c r="E31" s="24" t="s">
        <v>117</v>
      </c>
      <c r="F31" s="24" t="s">
        <v>132</v>
      </c>
      <c r="G31" s="24" t="s">
        <v>101</v>
      </c>
      <c r="H31" s="99">
        <v>44196</v>
      </c>
      <c r="I31" s="40">
        <v>106</v>
      </c>
      <c r="J31" s="100">
        <v>44377</v>
      </c>
      <c r="K31" s="56">
        <v>111.11</v>
      </c>
      <c r="L31" s="100">
        <v>44377</v>
      </c>
      <c r="M31" s="56">
        <v>111.11</v>
      </c>
      <c r="N31" s="100">
        <v>44377</v>
      </c>
      <c r="O31" s="56">
        <v>111.11</v>
      </c>
      <c r="P31" s="100">
        <v>44377</v>
      </c>
      <c r="Q31" s="56">
        <v>111.11</v>
      </c>
    </row>
    <row r="32" spans="3:17" outlineLevel="1" x14ac:dyDescent="0.25">
      <c r="C32" s="24" t="s">
        <v>130</v>
      </c>
      <c r="D32" s="24" t="s">
        <v>405</v>
      </c>
      <c r="E32" s="24" t="s">
        <v>117</v>
      </c>
      <c r="F32" s="24" t="s">
        <v>132</v>
      </c>
      <c r="G32" s="24" t="s">
        <v>101</v>
      </c>
      <c r="H32" s="99">
        <v>44196</v>
      </c>
      <c r="I32" s="40">
        <v>160</v>
      </c>
      <c r="J32" s="100">
        <v>44377</v>
      </c>
      <c r="K32" s="56">
        <v>160.01599999999999</v>
      </c>
      <c r="L32" s="100">
        <v>44377</v>
      </c>
      <c r="M32" s="56">
        <v>160.01599999999999</v>
      </c>
      <c r="N32" s="100">
        <v>44377</v>
      </c>
      <c r="O32" s="56">
        <v>160.01599999999999</v>
      </c>
      <c r="P32" s="100">
        <v>44377</v>
      </c>
      <c r="Q32" s="56">
        <v>160.01599999999999</v>
      </c>
    </row>
    <row r="33" spans="3:17" outlineLevel="1" x14ac:dyDescent="0.25">
      <c r="C33" s="24" t="s">
        <v>130</v>
      </c>
      <c r="D33" s="24" t="s">
        <v>406</v>
      </c>
      <c r="E33" s="24" t="s">
        <v>117</v>
      </c>
      <c r="F33" s="24" t="s">
        <v>132</v>
      </c>
      <c r="G33" s="24" t="s">
        <v>101</v>
      </c>
      <c r="H33" s="99">
        <v>44196</v>
      </c>
      <c r="I33" s="40">
        <v>118.741</v>
      </c>
      <c r="J33" s="100">
        <v>44377</v>
      </c>
      <c r="K33" s="56">
        <v>134.46600000000001</v>
      </c>
      <c r="L33" s="100">
        <v>44377</v>
      </c>
      <c r="M33" s="56">
        <v>134.46600000000001</v>
      </c>
      <c r="N33" s="100">
        <v>44377</v>
      </c>
      <c r="O33" s="56">
        <v>134.46600000000001</v>
      </c>
      <c r="P33" s="100">
        <v>44377</v>
      </c>
      <c r="Q33" s="56">
        <v>134.46600000000001</v>
      </c>
    </row>
    <row r="34" spans="3:17" outlineLevel="1" x14ac:dyDescent="0.25">
      <c r="C34" s="24" t="s">
        <v>130</v>
      </c>
      <c r="D34" s="24" t="s">
        <v>407</v>
      </c>
      <c r="E34" s="24" t="s">
        <v>117</v>
      </c>
      <c r="F34" s="24" t="s">
        <v>132</v>
      </c>
      <c r="G34" s="24" t="s">
        <v>101</v>
      </c>
      <c r="H34" s="99">
        <v>44196</v>
      </c>
      <c r="I34" s="40">
        <v>180</v>
      </c>
      <c r="J34" s="100">
        <v>44377</v>
      </c>
      <c r="K34" s="56">
        <v>179.98150000000001</v>
      </c>
      <c r="L34" s="100">
        <v>44377</v>
      </c>
      <c r="M34" s="56">
        <v>179.98150000000001</v>
      </c>
      <c r="N34" s="100">
        <v>44377</v>
      </c>
      <c r="O34" s="56">
        <v>179.98150000000001</v>
      </c>
      <c r="P34" s="100">
        <v>44377</v>
      </c>
      <c r="Q34" s="56">
        <v>179.98150000000001</v>
      </c>
    </row>
    <row r="35" spans="3:17" outlineLevel="1" x14ac:dyDescent="0.25">
      <c r="C35" s="24" t="s">
        <v>130</v>
      </c>
      <c r="D35" s="24" t="s">
        <v>408</v>
      </c>
      <c r="E35" s="24" t="s">
        <v>117</v>
      </c>
      <c r="F35" s="24" t="s">
        <v>132</v>
      </c>
      <c r="G35" s="24" t="s">
        <v>101</v>
      </c>
      <c r="H35" s="99">
        <v>44196</v>
      </c>
      <c r="I35" s="40">
        <v>79.861999999999995</v>
      </c>
      <c r="J35" s="100">
        <v>44377</v>
      </c>
      <c r="K35" s="56">
        <v>120.01199999999999</v>
      </c>
      <c r="L35" s="100">
        <v>44377</v>
      </c>
      <c r="M35" s="56">
        <v>120.01199999999999</v>
      </c>
      <c r="N35" s="100">
        <v>44377</v>
      </c>
      <c r="O35" s="56">
        <v>120.01199999999999</v>
      </c>
      <c r="P35" s="100">
        <v>44377</v>
      </c>
      <c r="Q35" s="56">
        <v>120.01199999999999</v>
      </c>
    </row>
    <row r="36" spans="3:17" outlineLevel="1" x14ac:dyDescent="0.25">
      <c r="C36" s="24" t="s">
        <v>130</v>
      </c>
      <c r="D36" s="24" t="s">
        <v>409</v>
      </c>
      <c r="E36" s="24" t="s">
        <v>117</v>
      </c>
      <c r="F36" s="24" t="s">
        <v>132</v>
      </c>
      <c r="G36" s="24" t="s">
        <v>100</v>
      </c>
      <c r="H36" s="99" t="s">
        <v>87</v>
      </c>
      <c r="I36" s="99" t="s">
        <v>87</v>
      </c>
      <c r="J36" s="100">
        <v>44377</v>
      </c>
      <c r="K36" s="56">
        <v>111.11</v>
      </c>
      <c r="L36" s="100">
        <v>44377</v>
      </c>
      <c r="M36" s="56">
        <v>111.11</v>
      </c>
      <c r="N36" s="100">
        <v>44377</v>
      </c>
      <c r="O36" s="56">
        <v>111.11</v>
      </c>
      <c r="P36" s="100">
        <v>44377</v>
      </c>
      <c r="Q36" s="56">
        <v>111.11</v>
      </c>
    </row>
    <row r="37" spans="3:17" outlineLevel="1" x14ac:dyDescent="0.25">
      <c r="C37" s="24" t="s">
        <v>130</v>
      </c>
      <c r="D37" s="24" t="s">
        <v>410</v>
      </c>
      <c r="E37" s="24" t="s">
        <v>117</v>
      </c>
      <c r="F37" s="24" t="s">
        <v>132</v>
      </c>
      <c r="G37" s="24" t="s">
        <v>100</v>
      </c>
      <c r="H37" s="99" t="s">
        <v>87</v>
      </c>
      <c r="I37" s="99" t="s">
        <v>87</v>
      </c>
      <c r="J37" s="100">
        <v>44377</v>
      </c>
      <c r="K37" s="56">
        <v>90.009</v>
      </c>
      <c r="L37" s="100">
        <v>44377</v>
      </c>
      <c r="M37" s="56">
        <v>90.009</v>
      </c>
      <c r="N37" s="100">
        <v>44377</v>
      </c>
      <c r="O37" s="56">
        <v>90.009</v>
      </c>
      <c r="P37" s="100">
        <v>44377</v>
      </c>
      <c r="Q37" s="56">
        <v>90.009</v>
      </c>
    </row>
    <row r="38" spans="3:17" outlineLevel="1" x14ac:dyDescent="0.25">
      <c r="C38" s="24" t="s">
        <v>130</v>
      </c>
      <c r="D38" s="24" t="s">
        <v>411</v>
      </c>
      <c r="E38" s="24" t="s">
        <v>117</v>
      </c>
      <c r="F38" s="24" t="s">
        <v>132</v>
      </c>
      <c r="G38" s="24" t="s">
        <v>100</v>
      </c>
      <c r="H38" s="99" t="s">
        <v>87</v>
      </c>
      <c r="I38" s="99" t="s">
        <v>87</v>
      </c>
      <c r="J38" s="100">
        <v>44377</v>
      </c>
      <c r="K38" s="56">
        <v>82.195999999999998</v>
      </c>
      <c r="L38" s="100">
        <v>44377</v>
      </c>
      <c r="M38" s="56">
        <v>82.195999999999998</v>
      </c>
      <c r="N38" s="100">
        <v>44377</v>
      </c>
      <c r="O38" s="56">
        <v>82.195999999999998</v>
      </c>
      <c r="P38" s="100">
        <v>44377</v>
      </c>
      <c r="Q38" s="56">
        <v>82.195999999999998</v>
      </c>
    </row>
    <row r="39" spans="3:17" outlineLevel="1" x14ac:dyDescent="0.25">
      <c r="C39" s="24" t="s">
        <v>130</v>
      </c>
      <c r="D39" s="24" t="s">
        <v>412</v>
      </c>
      <c r="E39" s="24" t="s">
        <v>117</v>
      </c>
      <c r="F39" s="24" t="s">
        <v>132</v>
      </c>
      <c r="G39" s="24" t="s">
        <v>100</v>
      </c>
      <c r="H39" s="99" t="s">
        <v>87</v>
      </c>
      <c r="I39" s="99" t="s">
        <v>87</v>
      </c>
      <c r="J39" s="100">
        <v>44377</v>
      </c>
      <c r="K39" s="56">
        <v>139.97749999999999</v>
      </c>
      <c r="L39" s="100">
        <v>44377</v>
      </c>
      <c r="M39" s="56">
        <v>139.97749999999999</v>
      </c>
      <c r="N39" s="100">
        <v>44377</v>
      </c>
      <c r="O39" s="56">
        <v>139.97749999999999</v>
      </c>
      <c r="P39" s="100">
        <v>44377</v>
      </c>
      <c r="Q39" s="56">
        <v>139.97749999999999</v>
      </c>
    </row>
    <row r="40" spans="3:17" outlineLevel="1" x14ac:dyDescent="0.25">
      <c r="C40" s="24" t="s">
        <v>130</v>
      </c>
      <c r="D40" s="24" t="s">
        <v>413</v>
      </c>
      <c r="E40" s="24" t="s">
        <v>117</v>
      </c>
      <c r="F40" s="24" t="s">
        <v>132</v>
      </c>
      <c r="G40" s="24" t="s">
        <v>100</v>
      </c>
      <c r="H40" s="99" t="s">
        <v>87</v>
      </c>
      <c r="I40" s="99" t="s">
        <v>87</v>
      </c>
      <c r="J40" s="100">
        <v>44377</v>
      </c>
      <c r="K40" s="56">
        <v>80.007999999999996</v>
      </c>
      <c r="L40" s="100">
        <v>44377</v>
      </c>
      <c r="M40" s="56">
        <v>80.007999999999996</v>
      </c>
      <c r="N40" s="100">
        <v>44377</v>
      </c>
      <c r="O40" s="56">
        <v>80.007999999999996</v>
      </c>
      <c r="P40" s="100">
        <v>44377</v>
      </c>
      <c r="Q40" s="56">
        <v>80.007999999999996</v>
      </c>
    </row>
    <row r="41" spans="3:17" outlineLevel="1" x14ac:dyDescent="0.25">
      <c r="C41" s="24" t="s">
        <v>130</v>
      </c>
      <c r="D41" s="60" t="s">
        <v>414</v>
      </c>
      <c r="E41" s="24" t="s">
        <v>117</v>
      </c>
      <c r="F41" s="24" t="s">
        <v>132</v>
      </c>
      <c r="G41" s="24" t="s">
        <v>101</v>
      </c>
      <c r="H41" s="99" t="s">
        <v>87</v>
      </c>
      <c r="I41" s="99" t="s">
        <v>87</v>
      </c>
      <c r="J41" s="100">
        <v>44377</v>
      </c>
      <c r="K41" s="56">
        <v>111.11</v>
      </c>
      <c r="L41" s="100">
        <v>44377</v>
      </c>
      <c r="M41" s="56">
        <v>111.11</v>
      </c>
      <c r="N41" s="100">
        <v>44377</v>
      </c>
      <c r="O41" s="56">
        <v>111.11</v>
      </c>
      <c r="P41" s="100">
        <v>44377</v>
      </c>
      <c r="Q41" s="56">
        <v>111.11</v>
      </c>
    </row>
    <row r="42" spans="3:17" outlineLevel="1" x14ac:dyDescent="0.25">
      <c r="C42" s="24" t="s">
        <v>130</v>
      </c>
      <c r="D42" s="24" t="s">
        <v>415</v>
      </c>
      <c r="E42" s="24" t="s">
        <v>117</v>
      </c>
      <c r="F42" s="24" t="s">
        <v>132</v>
      </c>
      <c r="G42" s="24" t="s">
        <v>101</v>
      </c>
      <c r="H42" s="99" t="s">
        <v>87</v>
      </c>
      <c r="I42" s="99" t="s">
        <v>87</v>
      </c>
      <c r="J42" s="100">
        <v>44377</v>
      </c>
      <c r="K42" s="56">
        <v>160.01599999999999</v>
      </c>
      <c r="L42" s="100">
        <v>44377</v>
      </c>
      <c r="M42" s="56">
        <v>160.01599999999999</v>
      </c>
      <c r="N42" s="100">
        <v>44377</v>
      </c>
      <c r="O42" s="56">
        <v>160.01599999999999</v>
      </c>
      <c r="P42" s="100">
        <v>44377</v>
      </c>
      <c r="Q42" s="56">
        <v>160.01599999999999</v>
      </c>
    </row>
    <row r="43" spans="3:17" outlineLevel="1" x14ac:dyDescent="0.25">
      <c r="C43" s="24" t="s">
        <v>130</v>
      </c>
      <c r="D43" s="24" t="s">
        <v>416</v>
      </c>
      <c r="E43" s="24" t="s">
        <v>117</v>
      </c>
      <c r="F43" s="24" t="s">
        <v>132</v>
      </c>
      <c r="G43" s="24" t="s">
        <v>101</v>
      </c>
      <c r="H43" s="99" t="s">
        <v>87</v>
      </c>
      <c r="I43" s="99" t="s">
        <v>87</v>
      </c>
      <c r="J43" s="100">
        <v>44377</v>
      </c>
      <c r="K43" s="56">
        <v>242.124</v>
      </c>
      <c r="L43" s="100">
        <v>44377</v>
      </c>
      <c r="M43" s="56">
        <v>242.124</v>
      </c>
      <c r="N43" s="100">
        <v>44377</v>
      </c>
      <c r="O43" s="56">
        <v>242.124</v>
      </c>
      <c r="P43" s="100">
        <v>44377</v>
      </c>
      <c r="Q43" s="56">
        <v>242.124</v>
      </c>
    </row>
    <row r="44" spans="3:17" outlineLevel="1" x14ac:dyDescent="0.25">
      <c r="C44" s="24" t="s">
        <v>130</v>
      </c>
      <c r="D44" s="24" t="s">
        <v>417</v>
      </c>
      <c r="E44" s="24" t="s">
        <v>117</v>
      </c>
      <c r="F44" s="24" t="s">
        <v>132</v>
      </c>
      <c r="G44" s="24" t="s">
        <v>101</v>
      </c>
      <c r="H44" s="99" t="s">
        <v>87</v>
      </c>
      <c r="I44" s="99" t="s">
        <v>87</v>
      </c>
      <c r="J44" s="100">
        <v>44377</v>
      </c>
      <c r="K44" s="56">
        <v>179.98150000000001</v>
      </c>
      <c r="L44" s="100">
        <v>44377</v>
      </c>
      <c r="M44" s="56">
        <v>179.98150000000001</v>
      </c>
      <c r="N44" s="100">
        <v>44377</v>
      </c>
      <c r="O44" s="56">
        <v>179.98150000000001</v>
      </c>
      <c r="P44" s="100">
        <v>44377</v>
      </c>
      <c r="Q44" s="56">
        <v>179.98150000000001</v>
      </c>
    </row>
    <row r="45" spans="3:17" outlineLevel="1" x14ac:dyDescent="0.25">
      <c r="C45" s="24" t="s">
        <v>130</v>
      </c>
      <c r="D45" s="24" t="s">
        <v>418</v>
      </c>
      <c r="E45" s="24" t="s">
        <v>117</v>
      </c>
      <c r="F45" s="24" t="s">
        <v>132</v>
      </c>
      <c r="G45" s="24" t="s">
        <v>101</v>
      </c>
      <c r="H45" s="99" t="s">
        <v>87</v>
      </c>
      <c r="I45" s="99" t="s">
        <v>87</v>
      </c>
      <c r="J45" s="100">
        <v>44377</v>
      </c>
      <c r="K45" s="56">
        <v>120.01199999999999</v>
      </c>
      <c r="L45" s="100">
        <v>44377</v>
      </c>
      <c r="M45" s="56">
        <v>120.01199999999999</v>
      </c>
      <c r="N45" s="100">
        <v>44377</v>
      </c>
      <c r="O45" s="56">
        <v>120.01199999999999</v>
      </c>
      <c r="P45" s="100">
        <v>44377</v>
      </c>
      <c r="Q45" s="56">
        <v>120.01199999999999</v>
      </c>
    </row>
    <row r="46" spans="3:17" outlineLevel="1" x14ac:dyDescent="0.25">
      <c r="C46" s="24" t="s">
        <v>137</v>
      </c>
      <c r="D46" s="128" t="s">
        <v>138</v>
      </c>
      <c r="E46" s="24" t="s">
        <v>139</v>
      </c>
      <c r="F46" s="24" t="s">
        <v>140</v>
      </c>
      <c r="G46" s="24" t="s">
        <v>100</v>
      </c>
      <c r="H46" s="99">
        <v>44196</v>
      </c>
      <c r="I46" s="40">
        <v>94.02</v>
      </c>
      <c r="J46" s="99">
        <v>44196</v>
      </c>
      <c r="K46" s="121">
        <v>94.02</v>
      </c>
      <c r="L46" s="99">
        <v>44196</v>
      </c>
      <c r="M46" s="40">
        <v>94.02</v>
      </c>
      <c r="N46" s="100">
        <v>44561</v>
      </c>
      <c r="O46" s="56">
        <v>70.94</v>
      </c>
      <c r="P46" s="100">
        <v>44926</v>
      </c>
      <c r="Q46" s="56">
        <v>71.42</v>
      </c>
    </row>
    <row r="47" spans="3:17" outlineLevel="1" x14ac:dyDescent="0.25">
      <c r="C47" s="24" t="s">
        <v>137</v>
      </c>
      <c r="D47" s="128" t="s">
        <v>141</v>
      </c>
      <c r="E47" s="24" t="s">
        <v>139</v>
      </c>
      <c r="F47" s="24" t="s">
        <v>140</v>
      </c>
      <c r="G47" s="24" t="s">
        <v>100</v>
      </c>
      <c r="H47" s="99">
        <v>44196</v>
      </c>
      <c r="I47" s="40">
        <v>88.84</v>
      </c>
      <c r="J47" s="99">
        <v>44196</v>
      </c>
      <c r="K47" s="121">
        <v>88.84</v>
      </c>
      <c r="L47" s="99">
        <v>44196</v>
      </c>
      <c r="M47" s="40">
        <v>88.84</v>
      </c>
      <c r="N47" s="100">
        <v>44561</v>
      </c>
      <c r="O47" s="56">
        <v>67.239999999999995</v>
      </c>
      <c r="P47" s="100">
        <v>44926</v>
      </c>
      <c r="Q47" s="56">
        <v>67.8</v>
      </c>
    </row>
    <row r="48" spans="3:17" outlineLevel="1" x14ac:dyDescent="0.25">
      <c r="C48" s="24" t="s">
        <v>137</v>
      </c>
      <c r="D48" s="128" t="s">
        <v>142</v>
      </c>
      <c r="E48" s="24" t="s">
        <v>139</v>
      </c>
      <c r="F48" s="24" t="s">
        <v>140</v>
      </c>
      <c r="G48" s="24" t="s">
        <v>100</v>
      </c>
      <c r="H48" s="99">
        <v>44196</v>
      </c>
      <c r="I48" s="40">
        <v>97.8</v>
      </c>
      <c r="J48" s="99">
        <v>44196</v>
      </c>
      <c r="K48" s="121">
        <v>97.8</v>
      </c>
      <c r="L48" s="99">
        <v>44196</v>
      </c>
      <c r="M48" s="40">
        <v>97.8</v>
      </c>
      <c r="N48" s="100">
        <v>44561</v>
      </c>
      <c r="O48" s="56">
        <v>73.25</v>
      </c>
      <c r="P48" s="100">
        <v>44926</v>
      </c>
      <c r="Q48" s="56">
        <v>73.680000000000007</v>
      </c>
    </row>
    <row r="49" spans="3:17" outlineLevel="1" x14ac:dyDescent="0.25">
      <c r="C49" s="24" t="s">
        <v>137</v>
      </c>
      <c r="D49" s="128" t="s">
        <v>143</v>
      </c>
      <c r="E49" s="24" t="s">
        <v>139</v>
      </c>
      <c r="F49" s="24" t="s">
        <v>140</v>
      </c>
      <c r="G49" s="24" t="s">
        <v>100</v>
      </c>
      <c r="H49" s="99">
        <v>44196</v>
      </c>
      <c r="I49" s="40">
        <v>92.03</v>
      </c>
      <c r="J49" s="99">
        <v>44196</v>
      </c>
      <c r="K49" s="121">
        <v>92.03</v>
      </c>
      <c r="L49" s="99">
        <v>44196</v>
      </c>
      <c r="M49" s="40">
        <v>92.03</v>
      </c>
      <c r="N49" s="100">
        <v>44561</v>
      </c>
      <c r="O49" s="56">
        <v>69.23</v>
      </c>
      <c r="P49" s="100">
        <v>44926</v>
      </c>
      <c r="Q49" s="56">
        <v>69.78</v>
      </c>
    </row>
    <row r="50" spans="3:17" outlineLevel="1" x14ac:dyDescent="0.25">
      <c r="C50" s="24" t="s">
        <v>137</v>
      </c>
      <c r="D50" s="128" t="s">
        <v>144</v>
      </c>
      <c r="E50" s="24" t="s">
        <v>139</v>
      </c>
      <c r="F50" s="24" t="s">
        <v>140</v>
      </c>
      <c r="G50" s="24" t="s">
        <v>100</v>
      </c>
      <c r="H50" s="99">
        <v>44196</v>
      </c>
      <c r="I50" s="40">
        <v>98.18</v>
      </c>
      <c r="J50" s="99">
        <v>44196</v>
      </c>
      <c r="K50" s="121">
        <v>98.18</v>
      </c>
      <c r="L50" s="99">
        <v>44196</v>
      </c>
      <c r="M50" s="40">
        <v>98.18</v>
      </c>
      <c r="N50" s="100">
        <v>44561</v>
      </c>
      <c r="O50" s="56">
        <v>73.75</v>
      </c>
      <c r="P50" s="100">
        <v>44926</v>
      </c>
      <c r="Q50" s="56">
        <v>74.19</v>
      </c>
    </row>
    <row r="51" spans="3:17" outlineLevel="1" x14ac:dyDescent="0.25">
      <c r="C51" s="24" t="s">
        <v>137</v>
      </c>
      <c r="D51" s="128" t="s">
        <v>145</v>
      </c>
      <c r="E51" s="24" t="s">
        <v>139</v>
      </c>
      <c r="F51" s="24" t="s">
        <v>140</v>
      </c>
      <c r="G51" s="24" t="s">
        <v>100</v>
      </c>
      <c r="H51" s="99">
        <v>44196</v>
      </c>
      <c r="I51" s="40">
        <v>0.48</v>
      </c>
      <c r="J51" s="99">
        <v>44196</v>
      </c>
      <c r="K51" s="121">
        <v>0.48</v>
      </c>
      <c r="L51" s="99">
        <v>44196</v>
      </c>
      <c r="M51" s="40">
        <v>0.48</v>
      </c>
      <c r="N51" s="100">
        <v>44561</v>
      </c>
      <c r="O51" s="56">
        <v>0.3</v>
      </c>
      <c r="P51" s="100">
        <v>44926</v>
      </c>
      <c r="Q51" s="56">
        <v>0.27</v>
      </c>
    </row>
    <row r="52" spans="3:17" outlineLevel="1" x14ac:dyDescent="0.25">
      <c r="C52" s="24" t="s">
        <v>137</v>
      </c>
      <c r="D52" s="128" t="s">
        <v>146</v>
      </c>
      <c r="E52" s="24" t="s">
        <v>139</v>
      </c>
      <c r="F52" s="24" t="s">
        <v>140</v>
      </c>
      <c r="G52" s="24" t="s">
        <v>100</v>
      </c>
      <c r="H52" s="99">
        <v>44196</v>
      </c>
      <c r="I52" s="40">
        <v>0.47</v>
      </c>
      <c r="J52" s="99">
        <v>44196</v>
      </c>
      <c r="K52" s="121">
        <v>0.47</v>
      </c>
      <c r="L52" s="99">
        <v>44196</v>
      </c>
      <c r="M52" s="40">
        <v>0.47</v>
      </c>
      <c r="N52" s="100">
        <v>44561</v>
      </c>
      <c r="O52" s="56">
        <v>0.3</v>
      </c>
      <c r="P52" s="100">
        <v>44926</v>
      </c>
      <c r="Q52" s="56">
        <v>0.28000000000000003</v>
      </c>
    </row>
    <row r="53" spans="3:17" outlineLevel="1" x14ac:dyDescent="0.25">
      <c r="C53" s="24" t="s">
        <v>137</v>
      </c>
      <c r="D53" s="128" t="s">
        <v>147</v>
      </c>
      <c r="E53" s="24" t="s">
        <v>139</v>
      </c>
      <c r="F53" s="24" t="s">
        <v>140</v>
      </c>
      <c r="G53" s="24" t="s">
        <v>100</v>
      </c>
      <c r="H53" s="99">
        <v>44196</v>
      </c>
      <c r="I53" s="40">
        <v>0.45</v>
      </c>
      <c r="J53" s="99">
        <v>44196</v>
      </c>
      <c r="K53" s="121">
        <v>0.45</v>
      </c>
      <c r="L53" s="99">
        <v>44196</v>
      </c>
      <c r="M53" s="40">
        <v>0.45</v>
      </c>
      <c r="N53" s="100">
        <v>44561</v>
      </c>
      <c r="O53" s="56">
        <v>0.3</v>
      </c>
      <c r="P53" s="100">
        <v>44926</v>
      </c>
      <c r="Q53" s="56">
        <v>0.27</v>
      </c>
    </row>
    <row r="54" spans="3:17" outlineLevel="1" x14ac:dyDescent="0.25">
      <c r="C54" s="24" t="s">
        <v>137</v>
      </c>
      <c r="D54" s="128" t="s">
        <v>148</v>
      </c>
      <c r="E54" s="24" t="s">
        <v>139</v>
      </c>
      <c r="F54" s="24" t="s">
        <v>140</v>
      </c>
      <c r="G54" s="24" t="s">
        <v>100</v>
      </c>
      <c r="H54" s="99">
        <v>44196</v>
      </c>
      <c r="I54" s="40">
        <v>0.42</v>
      </c>
      <c r="J54" s="99">
        <v>44196</v>
      </c>
      <c r="K54" s="121">
        <v>0.42</v>
      </c>
      <c r="L54" s="99">
        <v>44196</v>
      </c>
      <c r="M54" s="40">
        <v>0.42</v>
      </c>
      <c r="N54" s="100">
        <v>44561</v>
      </c>
      <c r="O54" s="56">
        <v>0.3</v>
      </c>
      <c r="P54" s="100">
        <v>44926</v>
      </c>
      <c r="Q54" s="56">
        <v>0.28000000000000003</v>
      </c>
    </row>
    <row r="55" spans="3:17" outlineLevel="1" x14ac:dyDescent="0.25">
      <c r="C55" s="24" t="s">
        <v>137</v>
      </c>
      <c r="D55" s="128" t="s">
        <v>149</v>
      </c>
      <c r="E55" s="24" t="s">
        <v>139</v>
      </c>
      <c r="F55" s="24" t="s">
        <v>140</v>
      </c>
      <c r="G55" s="24" t="s">
        <v>100</v>
      </c>
      <c r="H55" s="99">
        <v>44196</v>
      </c>
      <c r="I55" s="40">
        <v>0.49</v>
      </c>
      <c r="J55" s="99">
        <v>44196</v>
      </c>
      <c r="K55" s="121">
        <v>0.49</v>
      </c>
      <c r="L55" s="99">
        <v>44196</v>
      </c>
      <c r="M55" s="40">
        <v>0.49</v>
      </c>
      <c r="N55" s="100">
        <v>44561</v>
      </c>
      <c r="O55" s="56">
        <v>0.33</v>
      </c>
      <c r="P55" s="100">
        <v>44926</v>
      </c>
      <c r="Q55" s="56">
        <v>0.3</v>
      </c>
    </row>
    <row r="56" spans="3:17" outlineLevel="1" x14ac:dyDescent="0.25">
      <c r="C56" s="24" t="s">
        <v>137</v>
      </c>
      <c r="D56" s="128" t="s">
        <v>150</v>
      </c>
      <c r="E56" s="24" t="s">
        <v>139</v>
      </c>
      <c r="F56" s="24" t="s">
        <v>140</v>
      </c>
      <c r="G56" s="24" t="s">
        <v>101</v>
      </c>
      <c r="H56" s="99">
        <v>44196</v>
      </c>
      <c r="I56" s="40">
        <v>82.28</v>
      </c>
      <c r="J56" s="99">
        <v>44196</v>
      </c>
      <c r="K56" s="121">
        <v>82.28</v>
      </c>
      <c r="L56" s="99">
        <v>44196</v>
      </c>
      <c r="M56" s="40">
        <v>82.28</v>
      </c>
      <c r="N56" s="100">
        <v>44561</v>
      </c>
      <c r="O56" s="56">
        <v>62.64</v>
      </c>
      <c r="P56" s="100">
        <v>44926</v>
      </c>
      <c r="Q56" s="56">
        <v>62.76</v>
      </c>
    </row>
    <row r="57" spans="3:17" outlineLevel="1" x14ac:dyDescent="0.25">
      <c r="C57" s="24" t="s">
        <v>137</v>
      </c>
      <c r="D57" s="128" t="s">
        <v>151</v>
      </c>
      <c r="E57" s="24" t="s">
        <v>139</v>
      </c>
      <c r="F57" s="24" t="s">
        <v>140</v>
      </c>
      <c r="G57" s="24" t="s">
        <v>101</v>
      </c>
      <c r="H57" s="99">
        <v>44196</v>
      </c>
      <c r="I57" s="40">
        <v>85.08</v>
      </c>
      <c r="J57" s="99">
        <v>44196</v>
      </c>
      <c r="K57" s="121">
        <v>85.08</v>
      </c>
      <c r="L57" s="99">
        <v>44196</v>
      </c>
      <c r="M57" s="40">
        <v>85.08</v>
      </c>
      <c r="N57" s="100">
        <v>44561</v>
      </c>
      <c r="O57" s="56">
        <v>63.9</v>
      </c>
      <c r="P57" s="100">
        <v>44926</v>
      </c>
      <c r="Q57" s="56">
        <v>63.89</v>
      </c>
    </row>
    <row r="58" spans="3:17" outlineLevel="1" x14ac:dyDescent="0.25">
      <c r="C58" s="24" t="s">
        <v>137</v>
      </c>
      <c r="D58" s="128" t="s">
        <v>152</v>
      </c>
      <c r="E58" s="24" t="s">
        <v>139</v>
      </c>
      <c r="F58" s="24" t="s">
        <v>140</v>
      </c>
      <c r="G58" s="24" t="s">
        <v>101</v>
      </c>
      <c r="H58" s="99">
        <v>44196</v>
      </c>
      <c r="I58" s="40">
        <v>84.51</v>
      </c>
      <c r="J58" s="99">
        <v>44196</v>
      </c>
      <c r="K58" s="121">
        <v>84.51</v>
      </c>
      <c r="L58" s="99">
        <v>44196</v>
      </c>
      <c r="M58" s="40">
        <v>84.51</v>
      </c>
      <c r="N58" s="100">
        <v>44561</v>
      </c>
      <c r="O58" s="56">
        <v>63.96</v>
      </c>
      <c r="P58" s="100">
        <v>44926</v>
      </c>
      <c r="Q58" s="56">
        <v>63.96</v>
      </c>
    </row>
    <row r="59" spans="3:17" outlineLevel="1" x14ac:dyDescent="0.25">
      <c r="C59" s="24" t="s">
        <v>137</v>
      </c>
      <c r="D59" s="128" t="s">
        <v>153</v>
      </c>
      <c r="E59" s="24" t="s">
        <v>139</v>
      </c>
      <c r="F59" s="24" t="s">
        <v>140</v>
      </c>
      <c r="G59" s="24" t="s">
        <v>101</v>
      </c>
      <c r="H59" s="99">
        <v>44196</v>
      </c>
      <c r="I59" s="40">
        <v>80.11</v>
      </c>
      <c r="J59" s="99">
        <v>44196</v>
      </c>
      <c r="K59" s="121">
        <v>80.11</v>
      </c>
      <c r="L59" s="99">
        <v>44196</v>
      </c>
      <c r="M59" s="40">
        <v>80.11</v>
      </c>
      <c r="N59" s="100">
        <v>44561</v>
      </c>
      <c r="O59" s="56">
        <v>60.92</v>
      </c>
      <c r="P59" s="100">
        <v>44926</v>
      </c>
      <c r="Q59" s="56">
        <v>61.05</v>
      </c>
    </row>
    <row r="60" spans="3:17" outlineLevel="1" x14ac:dyDescent="0.25">
      <c r="C60" s="24" t="s">
        <v>137</v>
      </c>
      <c r="D60" s="128" t="s">
        <v>154</v>
      </c>
      <c r="E60" s="24" t="s">
        <v>139</v>
      </c>
      <c r="F60" s="24" t="s">
        <v>140</v>
      </c>
      <c r="G60" s="24" t="s">
        <v>101</v>
      </c>
      <c r="H60" s="99">
        <v>44196</v>
      </c>
      <c r="I60" s="40">
        <v>86.63</v>
      </c>
      <c r="J60" s="99">
        <v>44196</v>
      </c>
      <c r="K60" s="121">
        <v>86.63</v>
      </c>
      <c r="L60" s="99">
        <v>44196</v>
      </c>
      <c r="M60" s="40">
        <v>86.63</v>
      </c>
      <c r="N60" s="100">
        <v>44561</v>
      </c>
      <c r="O60" s="56">
        <v>65.260000000000005</v>
      </c>
      <c r="P60" s="100">
        <v>44926</v>
      </c>
      <c r="Q60" s="56">
        <v>65.22</v>
      </c>
    </row>
    <row r="61" spans="3:17" outlineLevel="1" x14ac:dyDescent="0.25">
      <c r="C61" s="24" t="s">
        <v>137</v>
      </c>
      <c r="D61" s="128" t="s">
        <v>155</v>
      </c>
      <c r="E61" s="24" t="s">
        <v>139</v>
      </c>
      <c r="F61" s="24" t="s">
        <v>140</v>
      </c>
      <c r="G61" s="24" t="s">
        <v>101</v>
      </c>
      <c r="H61" s="99">
        <v>44196</v>
      </c>
      <c r="I61" s="40">
        <v>0.34</v>
      </c>
      <c r="J61" s="99">
        <v>44196</v>
      </c>
      <c r="K61" s="121">
        <v>0.34</v>
      </c>
      <c r="L61" s="99">
        <v>44196</v>
      </c>
      <c r="M61" s="40">
        <v>0.34</v>
      </c>
      <c r="N61" s="100">
        <v>44561</v>
      </c>
      <c r="O61" s="56">
        <v>0.24</v>
      </c>
      <c r="P61" s="100">
        <v>44926</v>
      </c>
      <c r="Q61" s="56">
        <v>0.23</v>
      </c>
    </row>
    <row r="62" spans="3:17" outlineLevel="1" x14ac:dyDescent="0.25">
      <c r="C62" s="24" t="s">
        <v>137</v>
      </c>
      <c r="D62" s="128" t="s">
        <v>156</v>
      </c>
      <c r="E62" s="24" t="s">
        <v>139</v>
      </c>
      <c r="F62" s="24" t="s">
        <v>140</v>
      </c>
      <c r="G62" s="24" t="s">
        <v>101</v>
      </c>
      <c r="H62" s="99">
        <v>44196</v>
      </c>
      <c r="I62" s="40">
        <v>0.4</v>
      </c>
      <c r="J62" s="99">
        <v>44196</v>
      </c>
      <c r="K62" s="121">
        <v>0.4</v>
      </c>
      <c r="L62" s="99">
        <v>44196</v>
      </c>
      <c r="M62" s="40">
        <v>0.4</v>
      </c>
      <c r="N62" s="100">
        <v>44561</v>
      </c>
      <c r="O62" s="56">
        <v>0.23</v>
      </c>
      <c r="P62" s="100">
        <v>44926</v>
      </c>
      <c r="Q62" s="56">
        <v>0.22</v>
      </c>
    </row>
    <row r="63" spans="3:17" outlineLevel="1" x14ac:dyDescent="0.25">
      <c r="C63" s="24" t="s">
        <v>137</v>
      </c>
      <c r="D63" s="128" t="s">
        <v>157</v>
      </c>
      <c r="E63" s="24" t="s">
        <v>139</v>
      </c>
      <c r="F63" s="24" t="s">
        <v>140</v>
      </c>
      <c r="G63" s="24" t="s">
        <v>101</v>
      </c>
      <c r="H63" s="99">
        <v>44196</v>
      </c>
      <c r="I63" s="40">
        <v>0.36</v>
      </c>
      <c r="J63" s="99">
        <v>44196</v>
      </c>
      <c r="K63" s="121">
        <v>0.36</v>
      </c>
      <c r="L63" s="99">
        <v>44196</v>
      </c>
      <c r="M63" s="40">
        <v>0.36</v>
      </c>
      <c r="N63" s="100">
        <v>44561</v>
      </c>
      <c r="O63" s="56">
        <v>0.23</v>
      </c>
      <c r="P63" s="100">
        <v>44926</v>
      </c>
      <c r="Q63" s="56">
        <v>0.22</v>
      </c>
    </row>
    <row r="64" spans="3:17" outlineLevel="1" x14ac:dyDescent="0.25">
      <c r="C64" s="24" t="s">
        <v>137</v>
      </c>
      <c r="D64" s="128" t="s">
        <v>158</v>
      </c>
      <c r="E64" s="24" t="s">
        <v>139</v>
      </c>
      <c r="F64" s="24" t="s">
        <v>140</v>
      </c>
      <c r="G64" s="24" t="s">
        <v>101</v>
      </c>
      <c r="H64" s="99">
        <v>44196</v>
      </c>
      <c r="I64" s="40">
        <v>0.31</v>
      </c>
      <c r="J64" s="99">
        <v>44196</v>
      </c>
      <c r="K64" s="121">
        <v>0.31</v>
      </c>
      <c r="L64" s="99">
        <v>44196</v>
      </c>
      <c r="M64" s="40">
        <v>0.31</v>
      </c>
      <c r="N64" s="100">
        <v>44561</v>
      </c>
      <c r="O64" s="56">
        <v>0.19</v>
      </c>
      <c r="P64" s="100">
        <v>44926</v>
      </c>
      <c r="Q64" s="56">
        <v>0.18</v>
      </c>
    </row>
    <row r="65" spans="3:17" outlineLevel="1" x14ac:dyDescent="0.25">
      <c r="C65" s="24" t="s">
        <v>137</v>
      </c>
      <c r="D65" s="128" t="s">
        <v>159</v>
      </c>
      <c r="E65" s="24" t="s">
        <v>139</v>
      </c>
      <c r="F65" s="24" t="s">
        <v>140</v>
      </c>
      <c r="G65" s="24" t="s">
        <v>101</v>
      </c>
      <c r="H65" s="99">
        <v>44196</v>
      </c>
      <c r="I65" s="40">
        <v>0.41</v>
      </c>
      <c r="J65" s="99">
        <v>44196</v>
      </c>
      <c r="K65" s="121">
        <v>0.41</v>
      </c>
      <c r="L65" s="99">
        <v>44196</v>
      </c>
      <c r="M65" s="40">
        <v>0.41</v>
      </c>
      <c r="N65" s="100">
        <v>44561</v>
      </c>
      <c r="O65" s="56">
        <v>0.24</v>
      </c>
      <c r="P65" s="100">
        <v>44926</v>
      </c>
      <c r="Q65" s="56">
        <v>0.23</v>
      </c>
    </row>
    <row r="66" spans="3:17" outlineLevel="1" x14ac:dyDescent="0.25">
      <c r="C66" s="24" t="s">
        <v>160</v>
      </c>
      <c r="D66" s="128" t="s">
        <v>161</v>
      </c>
      <c r="E66" s="24" t="s">
        <v>139</v>
      </c>
      <c r="F66" s="24" t="s">
        <v>162</v>
      </c>
      <c r="G66" s="24" t="s">
        <v>119</v>
      </c>
      <c r="H66" s="99">
        <v>44104</v>
      </c>
      <c r="I66" s="40">
        <v>32.379354863483861</v>
      </c>
      <c r="J66" s="99">
        <v>44104</v>
      </c>
      <c r="K66" s="121">
        <v>32.379354863483861</v>
      </c>
      <c r="L66" s="99">
        <v>44104</v>
      </c>
      <c r="M66" s="40">
        <v>32.379354863483861</v>
      </c>
      <c r="N66" s="100">
        <v>44377</v>
      </c>
      <c r="O66" s="56">
        <v>49.642986107494764</v>
      </c>
      <c r="P66" s="100">
        <v>44377</v>
      </c>
      <c r="Q66" s="263">
        <v>56.939318273848677</v>
      </c>
    </row>
    <row r="67" spans="3:17" outlineLevel="1" x14ac:dyDescent="0.25">
      <c r="C67" s="24" t="s">
        <v>160</v>
      </c>
      <c r="D67" s="128" t="s">
        <v>163</v>
      </c>
      <c r="E67" s="24" t="s">
        <v>139</v>
      </c>
      <c r="F67" s="24" t="s">
        <v>162</v>
      </c>
      <c r="G67" s="24" t="s">
        <v>119</v>
      </c>
      <c r="H67" s="99">
        <v>44196</v>
      </c>
      <c r="I67" s="40">
        <v>35.75</v>
      </c>
      <c r="J67" s="99">
        <v>44196</v>
      </c>
      <c r="K67" s="121">
        <v>35.75</v>
      </c>
      <c r="L67" s="99">
        <v>44196</v>
      </c>
      <c r="M67" s="40">
        <v>35.75</v>
      </c>
      <c r="N67" s="100">
        <v>44561</v>
      </c>
      <c r="O67" s="56">
        <v>34.01</v>
      </c>
      <c r="P67" s="100">
        <v>44561</v>
      </c>
      <c r="Q67" s="56">
        <v>34.44</v>
      </c>
    </row>
    <row r="68" spans="3:17" outlineLevel="1" x14ac:dyDescent="0.25">
      <c r="C68" s="24" t="s">
        <v>160</v>
      </c>
      <c r="D68" s="128" t="s">
        <v>164</v>
      </c>
      <c r="E68" s="24" t="s">
        <v>139</v>
      </c>
      <c r="F68" s="24" t="s">
        <v>162</v>
      </c>
      <c r="G68" s="24" t="s">
        <v>119</v>
      </c>
      <c r="H68" s="99">
        <v>44196</v>
      </c>
      <c r="I68" s="40">
        <v>40</v>
      </c>
      <c r="J68" s="99">
        <v>44196</v>
      </c>
      <c r="K68" s="121">
        <v>40</v>
      </c>
      <c r="L68" s="99">
        <v>44196</v>
      </c>
      <c r="M68" s="40">
        <v>40</v>
      </c>
      <c r="N68" s="100">
        <v>44561</v>
      </c>
      <c r="O68" s="56">
        <v>40</v>
      </c>
      <c r="P68" s="100">
        <v>44561</v>
      </c>
      <c r="Q68" s="56">
        <v>40</v>
      </c>
    </row>
    <row r="69" spans="3:17" outlineLevel="1" x14ac:dyDescent="0.25">
      <c r="C69" s="24" t="s">
        <v>160</v>
      </c>
      <c r="D69" s="128" t="s">
        <v>165</v>
      </c>
      <c r="E69" s="24" t="s">
        <v>139</v>
      </c>
      <c r="F69" s="24" t="s">
        <v>166</v>
      </c>
      <c r="G69" s="24" t="s">
        <v>119</v>
      </c>
      <c r="H69" s="99" t="s">
        <v>87</v>
      </c>
      <c r="I69" s="40">
        <v>0.17255000000000001</v>
      </c>
      <c r="J69" s="99" t="s">
        <v>87</v>
      </c>
      <c r="K69" s="204">
        <v>0.17255000000000001</v>
      </c>
      <c r="L69" s="99" t="s">
        <v>87</v>
      </c>
      <c r="M69" s="40">
        <v>0.17255000000000001</v>
      </c>
      <c r="N69" s="100" t="s">
        <v>87</v>
      </c>
      <c r="O69" s="56">
        <v>0.17255000000000001</v>
      </c>
      <c r="P69" s="100" t="s">
        <v>87</v>
      </c>
      <c r="Q69" s="205">
        <v>0.17255000000000001</v>
      </c>
    </row>
    <row r="70" spans="3:17" outlineLevel="1" x14ac:dyDescent="0.25">
      <c r="C70" s="24" t="s">
        <v>160</v>
      </c>
      <c r="D70" s="128" t="s">
        <v>167</v>
      </c>
      <c r="E70" s="24" t="s">
        <v>139</v>
      </c>
      <c r="F70" s="24" t="s">
        <v>166</v>
      </c>
      <c r="G70" s="24" t="s">
        <v>119</v>
      </c>
      <c r="H70" s="99" t="s">
        <v>87</v>
      </c>
      <c r="I70" s="40">
        <v>0.1883</v>
      </c>
      <c r="J70" s="99" t="s">
        <v>87</v>
      </c>
      <c r="K70" s="40">
        <v>0.1883</v>
      </c>
      <c r="L70" s="99" t="s">
        <v>87</v>
      </c>
      <c r="M70" s="40">
        <v>0.1883</v>
      </c>
      <c r="N70" s="100" t="s">
        <v>87</v>
      </c>
      <c r="O70" s="56">
        <v>0.18540000000000001</v>
      </c>
      <c r="P70" s="100" t="s">
        <v>87</v>
      </c>
      <c r="Q70" s="56">
        <v>0.18540000000000001</v>
      </c>
    </row>
    <row r="71" spans="3:17" outlineLevel="1" x14ac:dyDescent="0.25">
      <c r="C71" s="24" t="s">
        <v>160</v>
      </c>
      <c r="D71" s="128" t="s">
        <v>628</v>
      </c>
      <c r="E71" s="24" t="s">
        <v>139</v>
      </c>
      <c r="F71" s="24" t="s">
        <v>166</v>
      </c>
      <c r="G71" s="24" t="s">
        <v>119</v>
      </c>
      <c r="H71" s="99" t="s">
        <v>87</v>
      </c>
      <c r="I71" s="40">
        <v>-1.0655881611320278E-2</v>
      </c>
      <c r="J71" s="99" t="s">
        <v>87</v>
      </c>
      <c r="K71" s="40">
        <v>-1.0655881611320278E-2</v>
      </c>
      <c r="L71" s="99" t="s">
        <v>87</v>
      </c>
      <c r="M71" s="40">
        <v>-1.0655881611320278E-2</v>
      </c>
      <c r="N71" s="100" t="s">
        <v>87</v>
      </c>
      <c r="O71" s="56" t="s">
        <v>87</v>
      </c>
      <c r="P71" s="100" t="s">
        <v>87</v>
      </c>
      <c r="Q71" s="56" t="s">
        <v>87</v>
      </c>
    </row>
    <row r="72" spans="3:17" outlineLevel="1" x14ac:dyDescent="0.25">
      <c r="C72" s="24" t="s">
        <v>160</v>
      </c>
      <c r="D72" s="128" t="s">
        <v>168</v>
      </c>
      <c r="E72" s="24" t="s">
        <v>139</v>
      </c>
      <c r="F72" s="24" t="s">
        <v>166</v>
      </c>
      <c r="G72" s="24" t="s">
        <v>119</v>
      </c>
      <c r="H72" s="99" t="s">
        <v>87</v>
      </c>
      <c r="I72" s="40">
        <v>0.219</v>
      </c>
      <c r="J72" s="99" t="s">
        <v>87</v>
      </c>
      <c r="K72" s="40">
        <v>0.219</v>
      </c>
      <c r="L72" s="99" t="s">
        <v>87</v>
      </c>
      <c r="M72" s="40">
        <v>0.219</v>
      </c>
      <c r="N72" s="100" t="s">
        <v>87</v>
      </c>
      <c r="O72" s="56">
        <v>0.25600000000000001</v>
      </c>
      <c r="P72" s="100" t="s">
        <v>87</v>
      </c>
      <c r="Q72" s="56">
        <v>0.25600000000000001</v>
      </c>
    </row>
    <row r="73" spans="3:17" outlineLevel="1" x14ac:dyDescent="0.25">
      <c r="C73" s="24" t="s">
        <v>160</v>
      </c>
      <c r="D73" s="128" t="s">
        <v>627</v>
      </c>
      <c r="E73" s="24" t="s">
        <v>139</v>
      </c>
      <c r="F73" s="24" t="s">
        <v>166</v>
      </c>
      <c r="G73" s="24" t="s">
        <v>119</v>
      </c>
      <c r="H73" s="99" t="s">
        <v>87</v>
      </c>
      <c r="I73" s="40">
        <v>6.25E-2</v>
      </c>
      <c r="J73" s="99" t="s">
        <v>87</v>
      </c>
      <c r="K73" s="40">
        <v>6.25E-2</v>
      </c>
      <c r="L73" s="99" t="s">
        <v>87</v>
      </c>
      <c r="M73" s="40">
        <v>6.25E-2</v>
      </c>
      <c r="N73" s="100" t="s">
        <v>87</v>
      </c>
      <c r="O73" s="56" t="s">
        <v>87</v>
      </c>
      <c r="P73" s="100" t="s">
        <v>87</v>
      </c>
      <c r="Q73" s="56" t="s">
        <v>87</v>
      </c>
    </row>
    <row r="74" spans="3:17" outlineLevel="1" x14ac:dyDescent="0.25">
      <c r="C74" s="24" t="s">
        <v>282</v>
      </c>
      <c r="D74" s="24" t="s">
        <v>169</v>
      </c>
      <c r="E74" s="24" t="s">
        <v>139</v>
      </c>
      <c r="F74" s="24" t="s">
        <v>140</v>
      </c>
      <c r="G74" s="24" t="s">
        <v>119</v>
      </c>
      <c r="H74" s="99">
        <v>44012</v>
      </c>
      <c r="I74" s="40">
        <v>0.36799999999999999</v>
      </c>
      <c r="J74" s="99">
        <v>44012</v>
      </c>
      <c r="K74" s="121">
        <v>0.36799999999999999</v>
      </c>
      <c r="L74" s="99">
        <v>44012</v>
      </c>
      <c r="M74" s="40">
        <v>0.36799999999999999</v>
      </c>
      <c r="N74" s="100">
        <v>44377</v>
      </c>
      <c r="O74" s="56">
        <v>0.40001999999999999</v>
      </c>
      <c r="P74" s="100">
        <v>44377</v>
      </c>
      <c r="Q74" s="262">
        <v>0.40001999999999999</v>
      </c>
    </row>
    <row r="75" spans="3:17" outlineLevel="1" x14ac:dyDescent="0.25">
      <c r="C75" s="24" t="s">
        <v>282</v>
      </c>
      <c r="D75" s="24" t="s">
        <v>170</v>
      </c>
      <c r="E75" s="24" t="s">
        <v>139</v>
      </c>
      <c r="F75" s="24" t="s">
        <v>140</v>
      </c>
      <c r="G75" s="24" t="s">
        <v>119</v>
      </c>
      <c r="H75" s="99" t="s">
        <v>87</v>
      </c>
      <c r="I75" s="40" t="s">
        <v>87</v>
      </c>
      <c r="J75" s="99" t="s">
        <v>87</v>
      </c>
      <c r="K75" s="121" t="s">
        <v>87</v>
      </c>
      <c r="L75" s="99" t="s">
        <v>87</v>
      </c>
      <c r="M75" s="40" t="s">
        <v>87</v>
      </c>
      <c r="N75" s="100" t="s">
        <v>87</v>
      </c>
      <c r="O75" s="56" t="s">
        <v>87</v>
      </c>
      <c r="P75" s="100" t="s">
        <v>87</v>
      </c>
      <c r="Q75" s="56" t="s">
        <v>87</v>
      </c>
    </row>
    <row r="76" spans="3:17" outlineLevel="1" x14ac:dyDescent="0.25">
      <c r="C76" s="24" t="s">
        <v>282</v>
      </c>
      <c r="D76" s="24" t="s">
        <v>171</v>
      </c>
      <c r="E76" s="24" t="s">
        <v>139</v>
      </c>
      <c r="F76" s="24" t="s">
        <v>140</v>
      </c>
      <c r="G76" s="24" t="s">
        <v>119</v>
      </c>
      <c r="H76" s="99">
        <v>44012</v>
      </c>
      <c r="I76" s="40">
        <v>0</v>
      </c>
      <c r="J76" s="99">
        <v>44012</v>
      </c>
      <c r="K76" s="121">
        <v>0</v>
      </c>
      <c r="L76" s="99">
        <v>44012</v>
      </c>
      <c r="M76" s="40">
        <v>0</v>
      </c>
      <c r="N76" s="100">
        <v>44377</v>
      </c>
      <c r="O76" s="56">
        <v>0</v>
      </c>
      <c r="P76" s="100">
        <v>44377</v>
      </c>
      <c r="Q76" s="56">
        <v>0</v>
      </c>
    </row>
    <row r="77" spans="3:17" outlineLevel="1" x14ac:dyDescent="0.25">
      <c r="C77" s="24" t="s">
        <v>282</v>
      </c>
      <c r="D77" s="24" t="s">
        <v>172</v>
      </c>
      <c r="E77" s="24" t="s">
        <v>139</v>
      </c>
      <c r="F77" s="24" t="s">
        <v>140</v>
      </c>
      <c r="G77" s="24" t="s">
        <v>119</v>
      </c>
      <c r="H77" s="99">
        <v>44196</v>
      </c>
      <c r="I77" s="40">
        <v>0.36029616847724721</v>
      </c>
      <c r="J77" s="99">
        <v>44196</v>
      </c>
      <c r="K77" s="121">
        <v>0.36029616847724721</v>
      </c>
      <c r="L77" s="99">
        <v>44196</v>
      </c>
      <c r="M77" s="40">
        <v>0.36029616847724721</v>
      </c>
      <c r="N77" s="100">
        <v>44561</v>
      </c>
      <c r="O77" s="56">
        <v>0.29909999999999998</v>
      </c>
      <c r="P77" s="100">
        <v>44561</v>
      </c>
      <c r="Q77" s="56">
        <v>0.32597970254075737</v>
      </c>
    </row>
    <row r="78" spans="3:17" outlineLevel="1" x14ac:dyDescent="0.25">
      <c r="C78" s="24" t="s">
        <v>282</v>
      </c>
      <c r="D78" s="24" t="s">
        <v>660</v>
      </c>
      <c r="E78" s="24" t="s">
        <v>139</v>
      </c>
      <c r="F78" s="24" t="s">
        <v>140</v>
      </c>
      <c r="G78" s="24" t="s">
        <v>119</v>
      </c>
      <c r="H78" s="99" t="s">
        <v>87</v>
      </c>
      <c r="I78" s="99" t="s">
        <v>87</v>
      </c>
      <c r="J78" s="99" t="s">
        <v>87</v>
      </c>
      <c r="K78" s="99" t="s">
        <v>87</v>
      </c>
      <c r="L78" s="99" t="s">
        <v>87</v>
      </c>
      <c r="M78" s="99" t="s">
        <v>87</v>
      </c>
      <c r="N78" s="100" t="s">
        <v>87</v>
      </c>
      <c r="O78" s="100" t="s">
        <v>87</v>
      </c>
      <c r="P78" s="100">
        <v>44377</v>
      </c>
      <c r="Q78" s="205">
        <v>0.12325</v>
      </c>
    </row>
    <row r="79" spans="3:17" outlineLevel="1" x14ac:dyDescent="0.25">
      <c r="C79" s="24" t="s">
        <v>282</v>
      </c>
      <c r="D79" s="24" t="s">
        <v>659</v>
      </c>
      <c r="E79" s="24" t="s">
        <v>139</v>
      </c>
      <c r="F79" s="24" t="s">
        <v>140</v>
      </c>
      <c r="G79" s="24" t="s">
        <v>119</v>
      </c>
      <c r="H79" s="99" t="s">
        <v>87</v>
      </c>
      <c r="I79" s="99" t="s">
        <v>87</v>
      </c>
      <c r="J79" s="99" t="s">
        <v>87</v>
      </c>
      <c r="K79" s="99" t="s">
        <v>87</v>
      </c>
      <c r="L79" s="99" t="s">
        <v>87</v>
      </c>
      <c r="M79" s="99" t="s">
        <v>87</v>
      </c>
      <c r="N79" s="100" t="s">
        <v>87</v>
      </c>
      <c r="O79" s="100" t="s">
        <v>87</v>
      </c>
      <c r="P79" s="100">
        <v>44377</v>
      </c>
      <c r="Q79" s="205">
        <v>2.623E-2</v>
      </c>
    </row>
    <row r="80" spans="3:17" outlineLevel="1" x14ac:dyDescent="0.25">
      <c r="C80" s="24" t="s">
        <v>130</v>
      </c>
      <c r="D80" s="24" t="s">
        <v>173</v>
      </c>
      <c r="E80" s="24" t="s">
        <v>139</v>
      </c>
      <c r="F80" s="24" t="s">
        <v>174</v>
      </c>
      <c r="G80" s="24" t="s">
        <v>100</v>
      </c>
      <c r="H80" s="99">
        <v>44196</v>
      </c>
      <c r="I80" s="40">
        <v>10.535</v>
      </c>
      <c r="J80" s="100">
        <v>44377</v>
      </c>
      <c r="K80" s="56">
        <v>11.4503</v>
      </c>
      <c r="L80" s="100">
        <v>44377</v>
      </c>
      <c r="M80" s="56">
        <v>11.4503</v>
      </c>
      <c r="N80" s="100">
        <v>44377</v>
      </c>
      <c r="O80" s="56">
        <v>11.4503</v>
      </c>
      <c r="P80" s="100">
        <v>44377</v>
      </c>
      <c r="Q80" s="56">
        <v>11.4503</v>
      </c>
    </row>
    <row r="81" spans="3:17" outlineLevel="1" x14ac:dyDescent="0.25">
      <c r="C81" s="24" t="s">
        <v>130</v>
      </c>
      <c r="D81" s="24" t="s">
        <v>175</v>
      </c>
      <c r="E81" s="24" t="s">
        <v>139</v>
      </c>
      <c r="F81" s="24" t="s">
        <v>174</v>
      </c>
      <c r="G81" s="24" t="s">
        <v>100</v>
      </c>
      <c r="H81" s="99">
        <v>44196</v>
      </c>
      <c r="I81" s="40">
        <v>12.073700000000001</v>
      </c>
      <c r="J81" s="100">
        <v>44377</v>
      </c>
      <c r="K81" s="56">
        <v>12.838200000000001</v>
      </c>
      <c r="L81" s="100">
        <v>44377</v>
      </c>
      <c r="M81" s="56">
        <v>12.838200000000001</v>
      </c>
      <c r="N81" s="100">
        <v>44377</v>
      </c>
      <c r="O81" s="56">
        <v>12.838200000000001</v>
      </c>
      <c r="P81" s="100">
        <v>44377</v>
      </c>
      <c r="Q81" s="56">
        <v>12.838200000000001</v>
      </c>
    </row>
    <row r="82" spans="3:17" outlineLevel="1" x14ac:dyDescent="0.25">
      <c r="C82" s="24" t="s">
        <v>130</v>
      </c>
      <c r="D82" s="24" t="s">
        <v>176</v>
      </c>
      <c r="E82" s="24" t="s">
        <v>139</v>
      </c>
      <c r="F82" s="24" t="s">
        <v>174</v>
      </c>
      <c r="G82" s="24" t="s">
        <v>100</v>
      </c>
      <c r="H82" s="99">
        <v>44196</v>
      </c>
      <c r="I82" s="40">
        <v>6.47</v>
      </c>
      <c r="J82" s="100">
        <v>44377</v>
      </c>
      <c r="K82" s="56">
        <v>8.0500000000000007</v>
      </c>
      <c r="L82" s="100">
        <v>44377</v>
      </c>
      <c r="M82" s="56">
        <v>8.0500000000000007</v>
      </c>
      <c r="N82" s="100">
        <v>44377</v>
      </c>
      <c r="O82" s="56">
        <v>8.0500000000000007</v>
      </c>
      <c r="P82" s="100">
        <v>44377</v>
      </c>
      <c r="Q82" s="56">
        <v>8.0500000000000007</v>
      </c>
    </row>
    <row r="83" spans="3:17" outlineLevel="1" x14ac:dyDescent="0.25">
      <c r="C83" s="24" t="s">
        <v>130</v>
      </c>
      <c r="D83" s="24" t="s">
        <v>177</v>
      </c>
      <c r="E83" s="24" t="s">
        <v>139</v>
      </c>
      <c r="F83" s="24" t="s">
        <v>174</v>
      </c>
      <c r="G83" s="24" t="s">
        <v>100</v>
      </c>
      <c r="H83" s="99">
        <v>44196</v>
      </c>
      <c r="I83" s="40">
        <v>7.4139999999999997</v>
      </c>
      <c r="J83" s="100">
        <v>44377</v>
      </c>
      <c r="K83" s="56">
        <v>8.67</v>
      </c>
      <c r="L83" s="100">
        <v>44377</v>
      </c>
      <c r="M83" s="56">
        <v>8.67</v>
      </c>
      <c r="N83" s="100">
        <v>44377</v>
      </c>
      <c r="O83" s="56">
        <v>8.67</v>
      </c>
      <c r="P83" s="100">
        <v>44377</v>
      </c>
      <c r="Q83" s="56">
        <v>8.67</v>
      </c>
    </row>
    <row r="84" spans="3:17" outlineLevel="1" x14ac:dyDescent="0.25">
      <c r="C84" s="24" t="s">
        <v>130</v>
      </c>
      <c r="D84" s="24" t="s">
        <v>178</v>
      </c>
      <c r="E84" s="24" t="s">
        <v>139</v>
      </c>
      <c r="F84" s="24" t="s">
        <v>174</v>
      </c>
      <c r="G84" s="24" t="s">
        <v>100</v>
      </c>
      <c r="H84" s="99">
        <v>44196</v>
      </c>
      <c r="I84" s="40">
        <v>6.74</v>
      </c>
      <c r="J84" s="100">
        <v>44377</v>
      </c>
      <c r="K84" s="56">
        <v>8.15</v>
      </c>
      <c r="L84" s="100">
        <v>44377</v>
      </c>
      <c r="M84" s="56">
        <v>8.15</v>
      </c>
      <c r="N84" s="100">
        <v>44377</v>
      </c>
      <c r="O84" s="56">
        <v>8.15</v>
      </c>
      <c r="P84" s="100">
        <v>44377</v>
      </c>
      <c r="Q84" s="56">
        <v>8.15</v>
      </c>
    </row>
    <row r="85" spans="3:17" outlineLevel="1" x14ac:dyDescent="0.25">
      <c r="C85" s="24" t="s">
        <v>130</v>
      </c>
      <c r="D85" s="24" t="s">
        <v>179</v>
      </c>
      <c r="E85" s="24" t="s">
        <v>139</v>
      </c>
      <c r="F85" s="24" t="s">
        <v>174</v>
      </c>
      <c r="G85" s="24" t="s">
        <v>100</v>
      </c>
      <c r="H85" s="99">
        <v>44196</v>
      </c>
      <c r="I85" s="40">
        <v>7.67</v>
      </c>
      <c r="J85" s="100">
        <v>44377</v>
      </c>
      <c r="K85" s="56">
        <v>7.99</v>
      </c>
      <c r="L85" s="100">
        <v>44377</v>
      </c>
      <c r="M85" s="56">
        <v>7.99</v>
      </c>
      <c r="N85" s="100">
        <v>44377</v>
      </c>
      <c r="O85" s="56">
        <v>7.99</v>
      </c>
      <c r="P85" s="100">
        <v>44377</v>
      </c>
      <c r="Q85" s="56">
        <v>7.99</v>
      </c>
    </row>
    <row r="86" spans="3:17" outlineLevel="1" x14ac:dyDescent="0.25">
      <c r="C86" s="24" t="s">
        <v>130</v>
      </c>
      <c r="D86" s="24" t="s">
        <v>180</v>
      </c>
      <c r="E86" s="24" t="s">
        <v>139</v>
      </c>
      <c r="F86" s="24" t="s">
        <v>174</v>
      </c>
      <c r="G86" s="24" t="s">
        <v>101</v>
      </c>
      <c r="H86" s="99">
        <v>44196</v>
      </c>
      <c r="I86" s="40">
        <v>13.9602</v>
      </c>
      <c r="J86" s="100">
        <v>44377</v>
      </c>
      <c r="K86" s="56">
        <v>15.538600000000001</v>
      </c>
      <c r="L86" s="100">
        <v>44377</v>
      </c>
      <c r="M86" s="56">
        <v>15.538600000000001</v>
      </c>
      <c r="N86" s="100">
        <v>44377</v>
      </c>
      <c r="O86" s="56">
        <v>15.538600000000001</v>
      </c>
      <c r="P86" s="100">
        <v>44377</v>
      </c>
      <c r="Q86" s="56">
        <v>15.538600000000001</v>
      </c>
    </row>
    <row r="87" spans="3:17" outlineLevel="1" x14ac:dyDescent="0.25">
      <c r="C87" s="24" t="s">
        <v>130</v>
      </c>
      <c r="D87" s="24" t="s">
        <v>181</v>
      </c>
      <c r="E87" s="24" t="s">
        <v>139</v>
      </c>
      <c r="F87" s="24" t="s">
        <v>174</v>
      </c>
      <c r="G87" s="24" t="s">
        <v>101</v>
      </c>
      <c r="H87" s="99">
        <v>44196</v>
      </c>
      <c r="I87" s="40">
        <v>16.934899999999999</v>
      </c>
      <c r="J87" s="100">
        <v>44377</v>
      </c>
      <c r="K87" s="56">
        <v>18.2667</v>
      </c>
      <c r="L87" s="100">
        <v>44377</v>
      </c>
      <c r="M87" s="56">
        <v>18.2667</v>
      </c>
      <c r="N87" s="100">
        <v>44377</v>
      </c>
      <c r="O87" s="56">
        <v>18.2667</v>
      </c>
      <c r="P87" s="100">
        <v>44377</v>
      </c>
      <c r="Q87" s="56">
        <v>18.2667</v>
      </c>
    </row>
    <row r="88" spans="3:17" outlineLevel="1" x14ac:dyDescent="0.25">
      <c r="C88" s="24" t="s">
        <v>130</v>
      </c>
      <c r="D88" s="24" t="s">
        <v>182</v>
      </c>
      <c r="E88" s="24" t="s">
        <v>139</v>
      </c>
      <c r="F88" s="24" t="s">
        <v>174</v>
      </c>
      <c r="G88" s="24" t="s">
        <v>101</v>
      </c>
      <c r="H88" s="99">
        <v>44196</v>
      </c>
      <c r="I88" s="40">
        <v>7.54</v>
      </c>
      <c r="J88" s="100">
        <v>44377</v>
      </c>
      <c r="K88" s="56">
        <v>8.2100000000000009</v>
      </c>
      <c r="L88" s="100">
        <v>44377</v>
      </c>
      <c r="M88" s="56">
        <v>8.2100000000000009</v>
      </c>
      <c r="N88" s="100">
        <v>44377</v>
      </c>
      <c r="O88" s="56">
        <v>8.2100000000000009</v>
      </c>
      <c r="P88" s="100">
        <v>44377</v>
      </c>
      <c r="Q88" s="56">
        <v>8.2100000000000009</v>
      </c>
    </row>
    <row r="89" spans="3:17" outlineLevel="1" x14ac:dyDescent="0.25">
      <c r="C89" s="24" t="s">
        <v>130</v>
      </c>
      <c r="D89" s="24" t="s">
        <v>183</v>
      </c>
      <c r="E89" s="24" t="s">
        <v>139</v>
      </c>
      <c r="F89" s="24" t="s">
        <v>174</v>
      </c>
      <c r="G89" s="24" t="s">
        <v>101</v>
      </c>
      <c r="H89" s="99">
        <v>44196</v>
      </c>
      <c r="I89" s="40">
        <v>9.3260000000000005</v>
      </c>
      <c r="J89" s="100">
        <v>44377</v>
      </c>
      <c r="K89" s="56">
        <v>10.973000000000001</v>
      </c>
      <c r="L89" s="100">
        <v>44377</v>
      </c>
      <c r="M89" s="56">
        <v>10.973000000000001</v>
      </c>
      <c r="N89" s="100">
        <v>44377</v>
      </c>
      <c r="O89" s="56">
        <v>10.973000000000001</v>
      </c>
      <c r="P89" s="100">
        <v>44377</v>
      </c>
      <c r="Q89" s="56">
        <v>10.973000000000001</v>
      </c>
    </row>
    <row r="90" spans="3:17" outlineLevel="1" x14ac:dyDescent="0.25">
      <c r="C90" s="24" t="s">
        <v>130</v>
      </c>
      <c r="D90" s="24" t="s">
        <v>184</v>
      </c>
      <c r="E90" s="24" t="s">
        <v>139</v>
      </c>
      <c r="F90" s="24" t="s">
        <v>174</v>
      </c>
      <c r="G90" s="24" t="s">
        <v>101</v>
      </c>
      <c r="H90" s="99">
        <v>44196</v>
      </c>
      <c r="I90" s="40">
        <v>8.44</v>
      </c>
      <c r="J90" s="100">
        <v>44377</v>
      </c>
      <c r="K90" s="56">
        <v>9.2899999999999991</v>
      </c>
      <c r="L90" s="100">
        <v>44377</v>
      </c>
      <c r="M90" s="56">
        <v>9.2899999999999991</v>
      </c>
      <c r="N90" s="100">
        <v>44377</v>
      </c>
      <c r="O90" s="56">
        <v>9.2899999999999991</v>
      </c>
      <c r="P90" s="100">
        <v>44377</v>
      </c>
      <c r="Q90" s="56">
        <v>9.2899999999999991</v>
      </c>
    </row>
    <row r="91" spans="3:17" outlineLevel="1" x14ac:dyDescent="0.25">
      <c r="C91" s="24" t="s">
        <v>130</v>
      </c>
      <c r="D91" s="24" t="s">
        <v>185</v>
      </c>
      <c r="E91" s="24" t="s">
        <v>139</v>
      </c>
      <c r="F91" s="24" t="s">
        <v>174</v>
      </c>
      <c r="G91" s="24" t="s">
        <v>101</v>
      </c>
      <c r="H91" s="99">
        <v>44196</v>
      </c>
      <c r="I91" s="40">
        <v>9.27</v>
      </c>
      <c r="J91" s="100">
        <v>44377</v>
      </c>
      <c r="K91" s="56">
        <v>8.7899999999999991</v>
      </c>
      <c r="L91" s="100">
        <v>44377</v>
      </c>
      <c r="M91" s="56">
        <v>8.7899999999999991</v>
      </c>
      <c r="N91" s="100">
        <v>44377</v>
      </c>
      <c r="O91" s="56">
        <v>8.7899999999999991</v>
      </c>
      <c r="P91" s="100">
        <v>44377</v>
      </c>
      <c r="Q91" s="56">
        <v>8.7899999999999991</v>
      </c>
    </row>
    <row r="92" spans="3:17" outlineLevel="1" x14ac:dyDescent="0.25">
      <c r="C92" s="24" t="s">
        <v>130</v>
      </c>
      <c r="D92" s="24" t="s">
        <v>186</v>
      </c>
      <c r="E92" s="24" t="s">
        <v>139</v>
      </c>
      <c r="F92" s="24" t="s">
        <v>174</v>
      </c>
      <c r="G92" s="24" t="s">
        <v>100</v>
      </c>
      <c r="H92" s="99" t="s">
        <v>87</v>
      </c>
      <c r="I92" s="40" t="s">
        <v>87</v>
      </c>
      <c r="J92" s="100">
        <v>44377</v>
      </c>
      <c r="K92" s="56">
        <v>20.853200000000001</v>
      </c>
      <c r="L92" s="100">
        <v>44377</v>
      </c>
      <c r="M92" s="56">
        <v>20.853200000000001</v>
      </c>
      <c r="N92" s="100">
        <v>44377</v>
      </c>
      <c r="O92" s="56">
        <v>20.853200000000001</v>
      </c>
      <c r="P92" s="100">
        <v>44377</v>
      </c>
      <c r="Q92" s="56">
        <v>20.853200000000001</v>
      </c>
    </row>
    <row r="93" spans="3:17" outlineLevel="1" x14ac:dyDescent="0.25">
      <c r="C93" s="24" t="s">
        <v>130</v>
      </c>
      <c r="D93" s="24" t="s">
        <v>187</v>
      </c>
      <c r="E93" s="24" t="s">
        <v>139</v>
      </c>
      <c r="F93" s="24" t="s">
        <v>174</v>
      </c>
      <c r="G93" s="24" t="s">
        <v>100</v>
      </c>
      <c r="H93" s="99" t="s">
        <v>87</v>
      </c>
      <c r="I93" s="40" t="s">
        <v>87</v>
      </c>
      <c r="J93" s="100">
        <v>44377</v>
      </c>
      <c r="K93" s="56">
        <v>15.94</v>
      </c>
      <c r="L93" s="100">
        <v>44377</v>
      </c>
      <c r="M93" s="56">
        <v>15.94</v>
      </c>
      <c r="N93" s="100">
        <v>44377</v>
      </c>
      <c r="O93" s="56">
        <v>15.94</v>
      </c>
      <c r="P93" s="100">
        <v>44377</v>
      </c>
      <c r="Q93" s="56">
        <v>15.94</v>
      </c>
    </row>
    <row r="94" spans="3:17" outlineLevel="1" x14ac:dyDescent="0.25">
      <c r="C94" s="24" t="s">
        <v>130</v>
      </c>
      <c r="D94" s="24" t="s">
        <v>188</v>
      </c>
      <c r="E94" s="24" t="s">
        <v>139</v>
      </c>
      <c r="F94" s="24" t="s">
        <v>174</v>
      </c>
      <c r="G94" s="24" t="s">
        <v>100</v>
      </c>
      <c r="H94" s="99" t="s">
        <v>87</v>
      </c>
      <c r="I94" s="40" t="s">
        <v>87</v>
      </c>
      <c r="J94" s="100">
        <v>44377</v>
      </c>
      <c r="K94" s="56">
        <v>13.492000000000001</v>
      </c>
      <c r="L94" s="100">
        <v>44377</v>
      </c>
      <c r="M94" s="56">
        <v>13.492000000000001</v>
      </c>
      <c r="N94" s="100">
        <v>44377</v>
      </c>
      <c r="O94" s="56">
        <v>13.492000000000001</v>
      </c>
      <c r="P94" s="100">
        <v>44377</v>
      </c>
      <c r="Q94" s="56">
        <v>13.492000000000001</v>
      </c>
    </row>
    <row r="95" spans="3:17" outlineLevel="1" x14ac:dyDescent="0.25">
      <c r="C95" s="24" t="s">
        <v>130</v>
      </c>
      <c r="D95" s="24" t="s">
        <v>189</v>
      </c>
      <c r="E95" s="24" t="s">
        <v>139</v>
      </c>
      <c r="F95" s="24" t="s">
        <v>174</v>
      </c>
      <c r="G95" s="24" t="s">
        <v>100</v>
      </c>
      <c r="H95" s="99" t="s">
        <v>87</v>
      </c>
      <c r="I95" s="40" t="s">
        <v>87</v>
      </c>
      <c r="J95" s="100">
        <v>44377</v>
      </c>
      <c r="K95" s="56">
        <v>15.87</v>
      </c>
      <c r="L95" s="100">
        <v>44377</v>
      </c>
      <c r="M95" s="56">
        <v>15.87</v>
      </c>
      <c r="N95" s="100">
        <v>44377</v>
      </c>
      <c r="O95" s="56">
        <v>15.87</v>
      </c>
      <c r="P95" s="100">
        <v>44377</v>
      </c>
      <c r="Q95" s="56">
        <v>15.87</v>
      </c>
    </row>
    <row r="96" spans="3:17" outlineLevel="1" x14ac:dyDescent="0.25">
      <c r="C96" s="24" t="s">
        <v>130</v>
      </c>
      <c r="D96" s="24" t="s">
        <v>190</v>
      </c>
      <c r="E96" s="24" t="s">
        <v>139</v>
      </c>
      <c r="F96" s="24" t="s">
        <v>174</v>
      </c>
      <c r="G96" s="24" t="s">
        <v>100</v>
      </c>
      <c r="H96" s="99" t="s">
        <v>87</v>
      </c>
      <c r="I96" s="40" t="s">
        <v>87</v>
      </c>
      <c r="J96" s="100">
        <v>44377</v>
      </c>
      <c r="K96" s="56">
        <v>15.79</v>
      </c>
      <c r="L96" s="100">
        <v>44377</v>
      </c>
      <c r="M96" s="56">
        <v>15.79</v>
      </c>
      <c r="N96" s="100">
        <v>44377</v>
      </c>
      <c r="O96" s="56">
        <v>15.79</v>
      </c>
      <c r="P96" s="100">
        <v>44377</v>
      </c>
      <c r="Q96" s="56">
        <v>15.79</v>
      </c>
    </row>
    <row r="97" spans="3:17" outlineLevel="1" x14ac:dyDescent="0.25">
      <c r="C97" s="24" t="s">
        <v>130</v>
      </c>
      <c r="D97" s="24" t="s">
        <v>191</v>
      </c>
      <c r="E97" s="24" t="s">
        <v>139</v>
      </c>
      <c r="F97" s="24" t="s">
        <v>174</v>
      </c>
      <c r="G97" s="24" t="s">
        <v>100</v>
      </c>
      <c r="H97" s="99" t="s">
        <v>87</v>
      </c>
      <c r="I97" s="40" t="s">
        <v>87</v>
      </c>
      <c r="J97" s="100">
        <v>44377</v>
      </c>
      <c r="K97" s="56">
        <v>4.3418999999999999</v>
      </c>
      <c r="L97" s="100">
        <v>44377</v>
      </c>
      <c r="M97" s="56">
        <v>4.3418999999999999</v>
      </c>
      <c r="N97" s="100">
        <v>44377</v>
      </c>
      <c r="O97" s="56">
        <v>4.3418999999999999</v>
      </c>
      <c r="P97" s="100">
        <v>44377</v>
      </c>
      <c r="Q97" s="56">
        <v>4.3418999999999999</v>
      </c>
    </row>
    <row r="98" spans="3:17" outlineLevel="1" x14ac:dyDescent="0.25">
      <c r="C98" s="24" t="s">
        <v>130</v>
      </c>
      <c r="D98" s="24" t="s">
        <v>192</v>
      </c>
      <c r="E98" s="24" t="s">
        <v>139</v>
      </c>
      <c r="F98" s="24" t="s">
        <v>174</v>
      </c>
      <c r="G98" s="24" t="s">
        <v>100</v>
      </c>
      <c r="H98" s="99" t="s">
        <v>87</v>
      </c>
      <c r="I98" s="40" t="s">
        <v>87</v>
      </c>
      <c r="J98" s="100">
        <v>44377</v>
      </c>
      <c r="K98" s="56">
        <v>3.98</v>
      </c>
      <c r="L98" s="100">
        <v>44377</v>
      </c>
      <c r="M98" s="56">
        <v>3.98</v>
      </c>
      <c r="N98" s="100">
        <v>44377</v>
      </c>
      <c r="O98" s="56">
        <v>3.98</v>
      </c>
      <c r="P98" s="100">
        <v>44377</v>
      </c>
      <c r="Q98" s="56">
        <v>3.98</v>
      </c>
    </row>
    <row r="99" spans="3:17" outlineLevel="1" x14ac:dyDescent="0.25">
      <c r="C99" s="24" t="s">
        <v>130</v>
      </c>
      <c r="D99" s="24" t="s">
        <v>193</v>
      </c>
      <c r="E99" s="24" t="s">
        <v>139</v>
      </c>
      <c r="F99" s="24" t="s">
        <v>174</v>
      </c>
      <c r="G99" s="24" t="s">
        <v>100</v>
      </c>
      <c r="H99" s="99" t="s">
        <v>87</v>
      </c>
      <c r="I99" s="40" t="s">
        <v>87</v>
      </c>
      <c r="J99" s="100">
        <v>44377</v>
      </c>
      <c r="K99" s="56">
        <v>3.89</v>
      </c>
      <c r="L99" s="100">
        <v>44377</v>
      </c>
      <c r="M99" s="56">
        <v>3.89</v>
      </c>
      <c r="N99" s="100">
        <v>44377</v>
      </c>
      <c r="O99" s="56">
        <v>3.89</v>
      </c>
      <c r="P99" s="100">
        <v>44377</v>
      </c>
      <c r="Q99" s="56">
        <v>3.89</v>
      </c>
    </row>
    <row r="100" spans="3:17" outlineLevel="1" x14ac:dyDescent="0.25">
      <c r="C100" s="24" t="s">
        <v>130</v>
      </c>
      <c r="D100" s="24" t="s">
        <v>194</v>
      </c>
      <c r="E100" s="24" t="s">
        <v>139</v>
      </c>
      <c r="F100" s="24" t="s">
        <v>174</v>
      </c>
      <c r="G100" s="24" t="s">
        <v>100</v>
      </c>
      <c r="H100" s="99" t="s">
        <v>87</v>
      </c>
      <c r="I100" s="40" t="s">
        <v>87</v>
      </c>
      <c r="J100" s="100">
        <v>44377</v>
      </c>
      <c r="K100" s="56">
        <v>3.96</v>
      </c>
      <c r="L100" s="100">
        <v>44377</v>
      </c>
      <c r="M100" s="56">
        <v>3.96</v>
      </c>
      <c r="N100" s="100">
        <v>44377</v>
      </c>
      <c r="O100" s="56">
        <v>3.96</v>
      </c>
      <c r="P100" s="100">
        <v>44377</v>
      </c>
      <c r="Q100" s="56">
        <v>3.96</v>
      </c>
    </row>
    <row r="101" spans="3:17" outlineLevel="1" x14ac:dyDescent="0.25">
      <c r="C101" s="24" t="s">
        <v>130</v>
      </c>
      <c r="D101" s="24" t="s">
        <v>195</v>
      </c>
      <c r="E101" s="24" t="s">
        <v>139</v>
      </c>
      <c r="F101" s="24" t="s">
        <v>174</v>
      </c>
      <c r="G101" s="24" t="s">
        <v>100</v>
      </c>
      <c r="H101" s="99" t="s">
        <v>87</v>
      </c>
      <c r="I101" s="40" t="s">
        <v>87</v>
      </c>
      <c r="J101" s="100">
        <v>44377</v>
      </c>
      <c r="K101" s="56">
        <v>3.95</v>
      </c>
      <c r="L101" s="100">
        <v>44377</v>
      </c>
      <c r="M101" s="56">
        <v>3.95</v>
      </c>
      <c r="N101" s="100">
        <v>44377</v>
      </c>
      <c r="O101" s="56">
        <v>3.95</v>
      </c>
      <c r="P101" s="100">
        <v>44377</v>
      </c>
      <c r="Q101" s="56">
        <v>3.95</v>
      </c>
    </row>
    <row r="102" spans="3:17" outlineLevel="1" x14ac:dyDescent="0.25">
      <c r="C102" s="24" t="s">
        <v>130</v>
      </c>
      <c r="D102" s="24" t="s">
        <v>196</v>
      </c>
      <c r="E102" s="24" t="s">
        <v>139</v>
      </c>
      <c r="F102" s="24" t="s">
        <v>174</v>
      </c>
      <c r="G102" s="24" t="s">
        <v>101</v>
      </c>
      <c r="H102" s="99" t="s">
        <v>87</v>
      </c>
      <c r="I102" s="40" t="s">
        <v>87</v>
      </c>
      <c r="J102" s="100">
        <v>44377</v>
      </c>
      <c r="K102" s="56">
        <v>17.508700000000001</v>
      </c>
      <c r="L102" s="100">
        <v>44377</v>
      </c>
      <c r="M102" s="56">
        <v>17.508700000000001</v>
      </c>
      <c r="N102" s="100">
        <v>44377</v>
      </c>
      <c r="O102" s="56">
        <v>17.508700000000001</v>
      </c>
      <c r="P102" s="100">
        <v>44377</v>
      </c>
      <c r="Q102" s="56">
        <v>17.508700000000001</v>
      </c>
    </row>
    <row r="103" spans="3:17" outlineLevel="1" x14ac:dyDescent="0.25">
      <c r="C103" s="24" t="s">
        <v>130</v>
      </c>
      <c r="D103" s="24" t="s">
        <v>197</v>
      </c>
      <c r="E103" s="24" t="s">
        <v>139</v>
      </c>
      <c r="F103" s="24" t="s">
        <v>174</v>
      </c>
      <c r="G103" s="24" t="s">
        <v>101</v>
      </c>
      <c r="H103" s="99" t="s">
        <v>87</v>
      </c>
      <c r="I103" s="40" t="s">
        <v>87</v>
      </c>
      <c r="J103" s="100">
        <v>44377</v>
      </c>
      <c r="K103" s="56">
        <v>13.02</v>
      </c>
      <c r="L103" s="100">
        <v>44377</v>
      </c>
      <c r="M103" s="56">
        <v>13.02</v>
      </c>
      <c r="N103" s="100">
        <v>44377</v>
      </c>
      <c r="O103" s="56">
        <v>13.02</v>
      </c>
      <c r="P103" s="100">
        <v>44377</v>
      </c>
      <c r="Q103" s="56">
        <v>13.02</v>
      </c>
    </row>
    <row r="104" spans="3:17" outlineLevel="1" x14ac:dyDescent="0.25">
      <c r="C104" s="24" t="s">
        <v>130</v>
      </c>
      <c r="D104" s="24" t="s">
        <v>198</v>
      </c>
      <c r="E104" s="24" t="s">
        <v>139</v>
      </c>
      <c r="F104" s="24" t="s">
        <v>174</v>
      </c>
      <c r="G104" s="24" t="s">
        <v>101</v>
      </c>
      <c r="H104" s="99" t="s">
        <v>87</v>
      </c>
      <c r="I104" s="40" t="s">
        <v>87</v>
      </c>
      <c r="J104" s="100">
        <v>44377</v>
      </c>
      <c r="K104" s="56">
        <v>14.331</v>
      </c>
      <c r="L104" s="100">
        <v>44377</v>
      </c>
      <c r="M104" s="56">
        <v>14.331</v>
      </c>
      <c r="N104" s="100">
        <v>44377</v>
      </c>
      <c r="O104" s="56">
        <v>14.331</v>
      </c>
      <c r="P104" s="100">
        <v>44377</v>
      </c>
      <c r="Q104" s="56">
        <v>14.331</v>
      </c>
    </row>
    <row r="105" spans="3:17" outlineLevel="1" x14ac:dyDescent="0.25">
      <c r="C105" s="24" t="s">
        <v>130</v>
      </c>
      <c r="D105" s="24" t="s">
        <v>199</v>
      </c>
      <c r="E105" s="24" t="s">
        <v>139</v>
      </c>
      <c r="F105" s="24" t="s">
        <v>174</v>
      </c>
      <c r="G105" s="24" t="s">
        <v>101</v>
      </c>
      <c r="H105" s="99" t="s">
        <v>87</v>
      </c>
      <c r="I105" s="40" t="s">
        <v>87</v>
      </c>
      <c r="J105" s="100">
        <v>44377</v>
      </c>
      <c r="K105" s="56">
        <v>14.75</v>
      </c>
      <c r="L105" s="100">
        <v>44377</v>
      </c>
      <c r="M105" s="56">
        <v>14.75</v>
      </c>
      <c r="N105" s="100">
        <v>44377</v>
      </c>
      <c r="O105" s="56">
        <v>14.75</v>
      </c>
      <c r="P105" s="100">
        <v>44377</v>
      </c>
      <c r="Q105" s="56">
        <v>14.75</v>
      </c>
    </row>
    <row r="106" spans="3:17" outlineLevel="1" x14ac:dyDescent="0.25">
      <c r="C106" s="24" t="s">
        <v>130</v>
      </c>
      <c r="D106" s="24" t="s">
        <v>200</v>
      </c>
      <c r="E106" s="24" t="s">
        <v>139</v>
      </c>
      <c r="F106" s="24" t="s">
        <v>174</v>
      </c>
      <c r="G106" s="24" t="s">
        <v>101</v>
      </c>
      <c r="H106" s="99" t="s">
        <v>87</v>
      </c>
      <c r="I106" s="40" t="s">
        <v>87</v>
      </c>
      <c r="J106" s="100">
        <v>44377</v>
      </c>
      <c r="K106" s="56">
        <v>13.99</v>
      </c>
      <c r="L106" s="100">
        <v>44377</v>
      </c>
      <c r="M106" s="56">
        <v>13.99</v>
      </c>
      <c r="N106" s="100">
        <v>44377</v>
      </c>
      <c r="O106" s="56">
        <v>13.99</v>
      </c>
      <c r="P106" s="100">
        <v>44377</v>
      </c>
      <c r="Q106" s="56">
        <v>13.99</v>
      </c>
    </row>
    <row r="107" spans="3:17" outlineLevel="1" x14ac:dyDescent="0.25">
      <c r="C107" s="24" t="s">
        <v>130</v>
      </c>
      <c r="D107" s="24" t="s">
        <v>201</v>
      </c>
      <c r="E107" s="24" t="s">
        <v>139</v>
      </c>
      <c r="F107" s="24" t="s">
        <v>174</v>
      </c>
      <c r="G107" s="24" t="s">
        <v>101</v>
      </c>
      <c r="H107" s="99" t="s">
        <v>87</v>
      </c>
      <c r="I107" s="40" t="s">
        <v>87</v>
      </c>
      <c r="J107" s="100">
        <v>44377</v>
      </c>
      <c r="K107" s="56">
        <v>4.2656000000000001</v>
      </c>
      <c r="L107" s="100">
        <v>44377</v>
      </c>
      <c r="M107" s="56">
        <v>4.2656000000000001</v>
      </c>
      <c r="N107" s="100">
        <v>44377</v>
      </c>
      <c r="O107" s="56">
        <v>4.2656000000000001</v>
      </c>
      <c r="P107" s="100">
        <v>44377</v>
      </c>
      <c r="Q107" s="56">
        <v>4.2656000000000001</v>
      </c>
    </row>
    <row r="108" spans="3:17" outlineLevel="1" x14ac:dyDescent="0.25">
      <c r="C108" s="24" t="s">
        <v>130</v>
      </c>
      <c r="D108" s="24" t="s">
        <v>202</v>
      </c>
      <c r="E108" s="24" t="s">
        <v>139</v>
      </c>
      <c r="F108" s="24" t="s">
        <v>174</v>
      </c>
      <c r="G108" s="24" t="s">
        <v>101</v>
      </c>
      <c r="H108" s="99" t="s">
        <v>87</v>
      </c>
      <c r="I108" s="40" t="s">
        <v>87</v>
      </c>
      <c r="J108" s="100">
        <v>44377</v>
      </c>
      <c r="K108" s="56">
        <v>2.89</v>
      </c>
      <c r="L108" s="100">
        <v>44377</v>
      </c>
      <c r="M108" s="56">
        <v>2.89</v>
      </c>
      <c r="N108" s="100">
        <v>44377</v>
      </c>
      <c r="O108" s="56">
        <v>2.89</v>
      </c>
      <c r="P108" s="100">
        <v>44377</v>
      </c>
      <c r="Q108" s="56">
        <v>2.89</v>
      </c>
    </row>
    <row r="109" spans="3:17" outlineLevel="1" x14ac:dyDescent="0.25">
      <c r="C109" s="24" t="s">
        <v>130</v>
      </c>
      <c r="D109" s="24" t="s">
        <v>203</v>
      </c>
      <c r="E109" s="24" t="s">
        <v>139</v>
      </c>
      <c r="F109" s="24" t="s">
        <v>174</v>
      </c>
      <c r="G109" s="24" t="s">
        <v>101</v>
      </c>
      <c r="H109" s="99" t="s">
        <v>87</v>
      </c>
      <c r="I109" s="40" t="s">
        <v>87</v>
      </c>
      <c r="J109" s="100">
        <v>44377</v>
      </c>
      <c r="K109" s="56">
        <v>3.052</v>
      </c>
      <c r="L109" s="100">
        <v>44377</v>
      </c>
      <c r="M109" s="56">
        <v>3.052</v>
      </c>
      <c r="N109" s="100">
        <v>44377</v>
      </c>
      <c r="O109" s="56">
        <v>3.052</v>
      </c>
      <c r="P109" s="100">
        <v>44377</v>
      </c>
      <c r="Q109" s="56">
        <v>3.052</v>
      </c>
    </row>
    <row r="110" spans="3:17" outlineLevel="1" x14ac:dyDescent="0.25">
      <c r="C110" s="24" t="s">
        <v>130</v>
      </c>
      <c r="D110" s="24" t="s">
        <v>204</v>
      </c>
      <c r="E110" s="24" t="s">
        <v>139</v>
      </c>
      <c r="F110" s="24" t="s">
        <v>174</v>
      </c>
      <c r="G110" s="24" t="s">
        <v>101</v>
      </c>
      <c r="H110" s="99" t="s">
        <v>87</v>
      </c>
      <c r="I110" s="40" t="s">
        <v>87</v>
      </c>
      <c r="J110" s="100">
        <v>44377</v>
      </c>
      <c r="K110" s="56">
        <v>3.28</v>
      </c>
      <c r="L110" s="100">
        <v>44377</v>
      </c>
      <c r="M110" s="56">
        <v>3.28</v>
      </c>
      <c r="N110" s="100">
        <v>44377</v>
      </c>
      <c r="O110" s="56">
        <v>3.28</v>
      </c>
      <c r="P110" s="100">
        <v>44377</v>
      </c>
      <c r="Q110" s="56">
        <v>3.28</v>
      </c>
    </row>
    <row r="111" spans="3:17" outlineLevel="1" x14ac:dyDescent="0.25">
      <c r="C111" s="24" t="s">
        <v>130</v>
      </c>
      <c r="D111" s="24" t="s">
        <v>205</v>
      </c>
      <c r="E111" s="24" t="s">
        <v>139</v>
      </c>
      <c r="F111" s="24" t="s">
        <v>174</v>
      </c>
      <c r="G111" s="24" t="s">
        <v>101</v>
      </c>
      <c r="H111" s="99" t="s">
        <v>87</v>
      </c>
      <c r="I111" s="40" t="s">
        <v>87</v>
      </c>
      <c r="J111" s="100">
        <v>44377</v>
      </c>
      <c r="K111" s="56">
        <v>3.11</v>
      </c>
      <c r="L111" s="100">
        <v>44377</v>
      </c>
      <c r="M111" s="56">
        <v>3.11</v>
      </c>
      <c r="N111" s="100">
        <v>44377</v>
      </c>
      <c r="O111" s="56">
        <v>3.11</v>
      </c>
      <c r="P111" s="100">
        <v>44377</v>
      </c>
      <c r="Q111" s="56">
        <v>3.11</v>
      </c>
    </row>
    <row r="112" spans="3:17" outlineLevel="1" x14ac:dyDescent="0.25">
      <c r="C112" s="24" t="s">
        <v>130</v>
      </c>
      <c r="D112" s="24" t="s">
        <v>206</v>
      </c>
      <c r="E112" s="24" t="s">
        <v>139</v>
      </c>
      <c r="F112" s="24" t="s">
        <v>174</v>
      </c>
      <c r="G112" s="24" t="s">
        <v>100</v>
      </c>
      <c r="H112" s="99">
        <v>44196</v>
      </c>
      <c r="I112" s="40">
        <v>3.8612000000000002</v>
      </c>
      <c r="J112" s="100">
        <v>44377</v>
      </c>
      <c r="K112" s="56">
        <v>4.2622999999999998</v>
      </c>
      <c r="L112" s="100">
        <v>44377</v>
      </c>
      <c r="M112" s="56">
        <v>4.2622999999999998</v>
      </c>
      <c r="N112" s="100">
        <v>44377</v>
      </c>
      <c r="O112" s="56">
        <v>4.2622999999999998</v>
      </c>
      <c r="P112" s="100">
        <v>44377</v>
      </c>
      <c r="Q112" s="56">
        <v>4.2622999999999998</v>
      </c>
    </row>
    <row r="113" spans="3:17" outlineLevel="1" x14ac:dyDescent="0.25">
      <c r="C113" s="24" t="s">
        <v>130</v>
      </c>
      <c r="D113" s="24" t="s">
        <v>207</v>
      </c>
      <c r="E113" s="24" t="s">
        <v>139</v>
      </c>
      <c r="F113" s="24" t="s">
        <v>174</v>
      </c>
      <c r="G113" s="24" t="s">
        <v>100</v>
      </c>
      <c r="H113" s="99">
        <v>44196</v>
      </c>
      <c r="I113" s="40">
        <v>2.09</v>
      </c>
      <c r="J113" s="100">
        <v>44377</v>
      </c>
      <c r="K113" s="56">
        <v>2.4700000000000002</v>
      </c>
      <c r="L113" s="100">
        <v>44377</v>
      </c>
      <c r="M113" s="56">
        <v>2.4700000000000002</v>
      </c>
      <c r="N113" s="100">
        <v>44377</v>
      </c>
      <c r="O113" s="56">
        <v>2.4700000000000002</v>
      </c>
      <c r="P113" s="100">
        <v>44377</v>
      </c>
      <c r="Q113" s="56">
        <v>2.4700000000000002</v>
      </c>
    </row>
    <row r="114" spans="3:17" outlineLevel="1" x14ac:dyDescent="0.25">
      <c r="C114" s="24" t="s">
        <v>130</v>
      </c>
      <c r="D114" s="24" t="s">
        <v>208</v>
      </c>
      <c r="E114" s="24" t="s">
        <v>139</v>
      </c>
      <c r="F114" s="24" t="s">
        <v>174</v>
      </c>
      <c r="G114" s="24" t="s">
        <v>100</v>
      </c>
      <c r="H114" s="99">
        <v>44196</v>
      </c>
      <c r="I114" s="40">
        <v>2.9159999999999999</v>
      </c>
      <c r="J114" s="100">
        <v>44377</v>
      </c>
      <c r="K114" s="56">
        <v>3.5990000000000002</v>
      </c>
      <c r="L114" s="100">
        <v>44377</v>
      </c>
      <c r="M114" s="56">
        <v>3.5990000000000002</v>
      </c>
      <c r="N114" s="100">
        <v>44377</v>
      </c>
      <c r="O114" s="56">
        <v>3.5990000000000002</v>
      </c>
      <c r="P114" s="100">
        <v>44377</v>
      </c>
      <c r="Q114" s="56">
        <v>3.5990000000000002</v>
      </c>
    </row>
    <row r="115" spans="3:17" outlineLevel="1" x14ac:dyDescent="0.25">
      <c r="C115" s="24" t="s">
        <v>130</v>
      </c>
      <c r="D115" s="24" t="s">
        <v>209</v>
      </c>
      <c r="E115" s="24" t="s">
        <v>139</v>
      </c>
      <c r="F115" s="24" t="s">
        <v>174</v>
      </c>
      <c r="G115" s="24" t="s">
        <v>100</v>
      </c>
      <c r="H115" s="99">
        <v>44196</v>
      </c>
      <c r="I115" s="40">
        <v>2.14</v>
      </c>
      <c r="J115" s="100">
        <v>44377</v>
      </c>
      <c r="K115" s="56">
        <v>2.39</v>
      </c>
      <c r="L115" s="100">
        <v>44377</v>
      </c>
      <c r="M115" s="56">
        <v>2.39</v>
      </c>
      <c r="N115" s="100">
        <v>44377</v>
      </c>
      <c r="O115" s="56">
        <v>2.39</v>
      </c>
      <c r="P115" s="100">
        <v>44377</v>
      </c>
      <c r="Q115" s="56">
        <v>2.39</v>
      </c>
    </row>
    <row r="116" spans="3:17" outlineLevel="1" x14ac:dyDescent="0.25">
      <c r="C116" s="45" t="s">
        <v>130</v>
      </c>
      <c r="D116" s="45" t="s">
        <v>210</v>
      </c>
      <c r="E116" s="45" t="s">
        <v>139</v>
      </c>
      <c r="F116" s="45" t="s">
        <v>174</v>
      </c>
      <c r="G116" s="24" t="s">
        <v>100</v>
      </c>
      <c r="H116" s="99">
        <v>44196</v>
      </c>
      <c r="I116" s="40">
        <v>1.73</v>
      </c>
      <c r="J116" s="100">
        <v>44377</v>
      </c>
      <c r="K116" s="56">
        <v>2.17</v>
      </c>
      <c r="L116" s="100">
        <v>44377</v>
      </c>
      <c r="M116" s="56">
        <v>2.17</v>
      </c>
      <c r="N116" s="100">
        <v>44377</v>
      </c>
      <c r="O116" s="56">
        <v>2.17</v>
      </c>
      <c r="P116" s="100">
        <v>44377</v>
      </c>
      <c r="Q116" s="56">
        <v>2.17</v>
      </c>
    </row>
    <row r="117" spans="3:17" outlineLevel="1" x14ac:dyDescent="0.25">
      <c r="C117" s="24" t="s">
        <v>211</v>
      </c>
      <c r="D117" s="24" t="s">
        <v>212</v>
      </c>
      <c r="E117" s="24" t="s">
        <v>11</v>
      </c>
      <c r="F117" s="24" t="s">
        <v>213</v>
      </c>
      <c r="G117" s="24" t="s">
        <v>119</v>
      </c>
      <c r="H117" s="99" t="s">
        <v>87</v>
      </c>
      <c r="I117" s="40">
        <v>6.0400000000000002E-2</v>
      </c>
      <c r="J117" s="99" t="s">
        <v>87</v>
      </c>
      <c r="K117" s="121">
        <v>6.0400000000000002E-2</v>
      </c>
      <c r="L117" s="99" t="s">
        <v>87</v>
      </c>
      <c r="M117" s="40">
        <v>6.0400000000000002E-2</v>
      </c>
      <c r="N117" s="100" t="s">
        <v>87</v>
      </c>
      <c r="O117" s="205">
        <v>6.0400000000000002E-2</v>
      </c>
      <c r="P117" s="100" t="s">
        <v>87</v>
      </c>
      <c r="Q117" s="205">
        <v>6.0400000000000002E-2</v>
      </c>
    </row>
    <row r="118" spans="3:17" outlineLevel="1" x14ac:dyDescent="0.25">
      <c r="C118" s="24" t="s">
        <v>214</v>
      </c>
      <c r="D118" s="128" t="s">
        <v>215</v>
      </c>
      <c r="E118" s="24" t="s">
        <v>11</v>
      </c>
      <c r="F118" s="24" t="s">
        <v>213</v>
      </c>
      <c r="G118" s="24" t="s">
        <v>119</v>
      </c>
      <c r="H118" s="99" t="s">
        <v>87</v>
      </c>
      <c r="I118" s="40">
        <v>0.99914999999999998</v>
      </c>
      <c r="J118" s="99" t="s">
        <v>87</v>
      </c>
      <c r="K118" s="121">
        <v>0.99914999999999998</v>
      </c>
      <c r="L118" s="99" t="s">
        <v>87</v>
      </c>
      <c r="M118" s="40">
        <v>0.99914999999999998</v>
      </c>
      <c r="N118" s="100" t="s">
        <v>87</v>
      </c>
      <c r="O118" s="205">
        <v>1.0016499999999999</v>
      </c>
      <c r="P118" s="100" t="s">
        <v>87</v>
      </c>
      <c r="Q118" s="205">
        <v>1.0056461538461539</v>
      </c>
    </row>
    <row r="119" spans="3:17" outlineLevel="1" x14ac:dyDescent="0.25">
      <c r="C119" s="24" t="s">
        <v>214</v>
      </c>
      <c r="D119" s="128" t="s">
        <v>216</v>
      </c>
      <c r="E119" s="24" t="s">
        <v>11</v>
      </c>
      <c r="F119" s="24" t="s">
        <v>213</v>
      </c>
      <c r="G119" s="24" t="s">
        <v>119</v>
      </c>
      <c r="H119" s="99" t="s">
        <v>87</v>
      </c>
      <c r="I119" s="40">
        <v>0.99780999999999997</v>
      </c>
      <c r="J119" s="99" t="s">
        <v>87</v>
      </c>
      <c r="K119" s="121">
        <v>0.99780999999999997</v>
      </c>
      <c r="L119" s="99" t="s">
        <v>87</v>
      </c>
      <c r="M119" s="40">
        <v>0.99780999999999997</v>
      </c>
      <c r="N119" s="100" t="s">
        <v>87</v>
      </c>
      <c r="O119" s="205">
        <v>0.99756</v>
      </c>
      <c r="P119" s="100" t="s">
        <v>87</v>
      </c>
      <c r="Q119" s="205">
        <v>0.99787777777777775</v>
      </c>
    </row>
    <row r="120" spans="3:17" outlineLevel="1" x14ac:dyDescent="0.25">
      <c r="C120" s="24" t="s">
        <v>214</v>
      </c>
      <c r="D120" s="128" t="s">
        <v>217</v>
      </c>
      <c r="E120" s="24" t="s">
        <v>11</v>
      </c>
      <c r="F120" s="24" t="s">
        <v>213</v>
      </c>
      <c r="G120" s="24" t="s">
        <v>119</v>
      </c>
      <c r="H120" s="99" t="s">
        <v>87</v>
      </c>
      <c r="I120" s="40">
        <v>0.99831111111111126</v>
      </c>
      <c r="J120" s="99" t="s">
        <v>87</v>
      </c>
      <c r="K120" s="121">
        <v>0.99831111111111126</v>
      </c>
      <c r="L120" s="99" t="s">
        <v>87</v>
      </c>
      <c r="M120" s="40">
        <v>0.99831111111111126</v>
      </c>
      <c r="N120" s="100" t="s">
        <v>87</v>
      </c>
      <c r="O120" s="205">
        <v>0.99891111111111108</v>
      </c>
      <c r="P120" s="100" t="s">
        <v>87</v>
      </c>
      <c r="Q120" s="205">
        <v>0.99932500000000002</v>
      </c>
    </row>
    <row r="121" spans="3:17" outlineLevel="1" x14ac:dyDescent="0.25">
      <c r="C121" s="24" t="s">
        <v>214</v>
      </c>
      <c r="D121" s="128" t="s">
        <v>218</v>
      </c>
      <c r="E121" s="24" t="s">
        <v>11</v>
      </c>
      <c r="F121" s="24" t="s">
        <v>213</v>
      </c>
      <c r="G121" s="24" t="s">
        <v>119</v>
      </c>
      <c r="H121" s="99" t="s">
        <v>87</v>
      </c>
      <c r="I121" s="40">
        <v>0.98904090909090892</v>
      </c>
      <c r="J121" s="99" t="s">
        <v>87</v>
      </c>
      <c r="K121" s="121">
        <v>0.98904090909090892</v>
      </c>
      <c r="L121" s="99" t="s">
        <v>87</v>
      </c>
      <c r="M121" s="40">
        <v>0.98904090909090892</v>
      </c>
      <c r="N121" s="100" t="s">
        <v>87</v>
      </c>
      <c r="O121" s="205">
        <v>0.99418636363636348</v>
      </c>
      <c r="P121" s="100" t="s">
        <v>87</v>
      </c>
      <c r="Q121" s="205">
        <v>0.99378947368421044</v>
      </c>
    </row>
    <row r="122" spans="3:17" outlineLevel="1" x14ac:dyDescent="0.25">
      <c r="C122" s="24" t="s">
        <v>214</v>
      </c>
      <c r="D122" s="128" t="s">
        <v>219</v>
      </c>
      <c r="E122" s="24" t="s">
        <v>11</v>
      </c>
      <c r="F122" s="24" t="s">
        <v>213</v>
      </c>
      <c r="G122" s="24" t="s">
        <v>119</v>
      </c>
      <c r="H122" s="99" t="s">
        <v>87</v>
      </c>
      <c r="I122" s="40">
        <v>0.99633000000000005</v>
      </c>
      <c r="J122" s="99" t="s">
        <v>87</v>
      </c>
      <c r="K122" s="121">
        <v>0.99633000000000005</v>
      </c>
      <c r="L122" s="99" t="s">
        <v>87</v>
      </c>
      <c r="M122" s="40">
        <v>0.99633000000000005</v>
      </c>
      <c r="N122" s="100" t="s">
        <v>87</v>
      </c>
      <c r="O122" s="205">
        <v>0.99576000000000009</v>
      </c>
      <c r="P122" s="100" t="s">
        <v>87</v>
      </c>
      <c r="Q122" s="205">
        <v>0.99566363636363631</v>
      </c>
    </row>
    <row r="123" spans="3:17" outlineLevel="1" x14ac:dyDescent="0.25">
      <c r="C123" s="24" t="s">
        <v>220</v>
      </c>
      <c r="D123" s="128" t="s">
        <v>221</v>
      </c>
      <c r="E123" s="24" t="s">
        <v>11</v>
      </c>
      <c r="F123" s="24" t="s">
        <v>213</v>
      </c>
      <c r="G123" s="24" t="s">
        <v>119</v>
      </c>
      <c r="H123" s="99" t="s">
        <v>87</v>
      </c>
      <c r="I123" s="40">
        <v>1.06795</v>
      </c>
      <c r="J123" s="99" t="s">
        <v>87</v>
      </c>
      <c r="K123" s="121">
        <v>1.06795</v>
      </c>
      <c r="L123" s="99" t="s">
        <v>87</v>
      </c>
      <c r="M123" s="40">
        <v>1.06795</v>
      </c>
      <c r="N123" s="100" t="s">
        <v>87</v>
      </c>
      <c r="O123" s="205">
        <v>1.0686</v>
      </c>
      <c r="P123" s="100" t="s">
        <v>87</v>
      </c>
      <c r="Q123" s="205">
        <v>1.0733923356752877</v>
      </c>
    </row>
    <row r="124" spans="3:17" outlineLevel="1" x14ac:dyDescent="0.25">
      <c r="C124" s="24" t="s">
        <v>220</v>
      </c>
      <c r="D124" s="128" t="s">
        <v>222</v>
      </c>
      <c r="E124" s="24" t="s">
        <v>11</v>
      </c>
      <c r="F124" s="24" t="s">
        <v>213</v>
      </c>
      <c r="G124" s="24" t="s">
        <v>119</v>
      </c>
      <c r="H124" s="99" t="s">
        <v>87</v>
      </c>
      <c r="I124" s="40">
        <v>1.0508999999999999</v>
      </c>
      <c r="J124" s="99" t="s">
        <v>87</v>
      </c>
      <c r="K124" s="121">
        <v>1.0508999999999999</v>
      </c>
      <c r="L124" s="99" t="s">
        <v>87</v>
      </c>
      <c r="M124" s="40">
        <v>1.0508999999999999</v>
      </c>
      <c r="N124" s="100" t="s">
        <v>87</v>
      </c>
      <c r="O124" s="205">
        <v>1.0525</v>
      </c>
      <c r="P124" s="100" t="s">
        <v>87</v>
      </c>
      <c r="Q124" s="205">
        <v>1.05</v>
      </c>
    </row>
    <row r="125" spans="3:17" outlineLevel="1" x14ac:dyDescent="0.25">
      <c r="C125" s="24" t="s">
        <v>220</v>
      </c>
      <c r="D125" s="128" t="s">
        <v>223</v>
      </c>
      <c r="E125" s="24" t="s">
        <v>11</v>
      </c>
      <c r="F125" s="24" t="s">
        <v>213</v>
      </c>
      <c r="G125" s="24" t="s">
        <v>119</v>
      </c>
      <c r="H125" s="99" t="s">
        <v>87</v>
      </c>
      <c r="I125" s="40">
        <v>1.0394000000000001</v>
      </c>
      <c r="J125" s="99" t="s">
        <v>87</v>
      </c>
      <c r="K125" s="121">
        <v>1.0394000000000001</v>
      </c>
      <c r="L125" s="99" t="s">
        <v>87</v>
      </c>
      <c r="M125" s="40">
        <v>1.0394000000000001</v>
      </c>
      <c r="N125" s="100" t="s">
        <v>87</v>
      </c>
      <c r="O125" s="205">
        <v>1.0429999999999999</v>
      </c>
      <c r="P125" s="100" t="s">
        <v>87</v>
      </c>
      <c r="Q125" s="205">
        <v>1.0429999999999999</v>
      </c>
    </row>
    <row r="126" spans="3:17" outlineLevel="1" x14ac:dyDescent="0.25">
      <c r="C126" s="24" t="s">
        <v>220</v>
      </c>
      <c r="D126" s="128" t="s">
        <v>224</v>
      </c>
      <c r="E126" s="24" t="s">
        <v>11</v>
      </c>
      <c r="F126" s="24" t="s">
        <v>213</v>
      </c>
      <c r="G126" s="24" t="s">
        <v>119</v>
      </c>
      <c r="H126" s="99" t="s">
        <v>87</v>
      </c>
      <c r="I126" s="40">
        <v>1.0829499999999999</v>
      </c>
      <c r="J126" s="99" t="s">
        <v>87</v>
      </c>
      <c r="K126" s="121">
        <v>1.0829499999999999</v>
      </c>
      <c r="L126" s="99" t="s">
        <v>87</v>
      </c>
      <c r="M126" s="40">
        <v>1.0829499999999999</v>
      </c>
      <c r="N126" s="100" t="s">
        <v>87</v>
      </c>
      <c r="O126" s="205">
        <v>1.0806</v>
      </c>
      <c r="P126" s="100" t="s">
        <v>87</v>
      </c>
      <c r="Q126" s="205">
        <v>1.0782239470237072</v>
      </c>
    </row>
    <row r="127" spans="3:17" outlineLevel="1" x14ac:dyDescent="0.25">
      <c r="C127" s="24" t="s">
        <v>220</v>
      </c>
      <c r="D127" s="128" t="s">
        <v>225</v>
      </c>
      <c r="E127" s="24" t="s">
        <v>11</v>
      </c>
      <c r="F127" s="24" t="s">
        <v>213</v>
      </c>
      <c r="G127" s="24" t="s">
        <v>119</v>
      </c>
      <c r="H127" s="99" t="s">
        <v>87</v>
      </c>
      <c r="I127" s="40">
        <v>1.0563</v>
      </c>
      <c r="J127" s="99" t="s">
        <v>87</v>
      </c>
      <c r="K127" s="121">
        <v>1.0563</v>
      </c>
      <c r="L127" s="99" t="s">
        <v>87</v>
      </c>
      <c r="M127" s="40">
        <v>1.0563</v>
      </c>
      <c r="N127" s="100" t="s">
        <v>87</v>
      </c>
      <c r="O127" s="205">
        <v>1.0525</v>
      </c>
      <c r="P127" s="100" t="s">
        <v>87</v>
      </c>
      <c r="Q127" s="205">
        <v>1.0525</v>
      </c>
    </row>
    <row r="128" spans="3:17" outlineLevel="1" x14ac:dyDescent="0.25"/>
    <row r="129" spans="1:18" x14ac:dyDescent="0.25">
      <c r="P129" s="234"/>
    </row>
    <row r="130" spans="1:18" ht="16.5" thickBot="1" x14ac:dyDescent="0.3">
      <c r="A130" s="1" t="s">
        <v>30</v>
      </c>
      <c r="B130" s="9">
        <f ca="1">MAX(B$3:B129)+0.1</f>
        <v>9.1999999999999993</v>
      </c>
      <c r="C130" s="29" t="s">
        <v>519</v>
      </c>
      <c r="D130" s="29"/>
      <c r="E130" s="29"/>
      <c r="F130" s="29"/>
      <c r="G130" s="29"/>
      <c r="H130" s="29"/>
      <c r="I130" s="29"/>
      <c r="J130" s="29"/>
      <c r="K130" s="29"/>
      <c r="L130" s="29"/>
      <c r="M130" s="29"/>
      <c r="N130" s="29"/>
      <c r="O130" s="29"/>
      <c r="P130" s="29"/>
      <c r="Q130" s="29"/>
      <c r="R130" s="29"/>
    </row>
    <row r="131" spans="1:18" outlineLevel="1" x14ac:dyDescent="0.25"/>
    <row r="132" spans="1:18" ht="15.75" outlineLevel="1" x14ac:dyDescent="0.25">
      <c r="H132" s="41" t="s">
        <v>108</v>
      </c>
      <c r="I132" s="2">
        <v>2021</v>
      </c>
      <c r="J132" s="2">
        <v>2021</v>
      </c>
      <c r="K132" s="2">
        <v>2021</v>
      </c>
      <c r="L132" s="2">
        <v>2022</v>
      </c>
      <c r="M132" s="2">
        <v>2022</v>
      </c>
    </row>
    <row r="133" spans="1:18" ht="15.75" outlineLevel="1" x14ac:dyDescent="0.25">
      <c r="H133" s="41" t="s">
        <v>109</v>
      </c>
      <c r="I133" s="42" t="str">
        <f>"VDO "&amp;I132&amp;" - "&amp;IF(LEFT(I135,1)="F","Final",IF(LEFT(I135,1)="D","Draft",IF(LEFT(I135,2)="VD","Variation draft",IF(LEFT(I135,2)="VF","Variation final"))))</f>
        <v>VDO 2021 - Final</v>
      </c>
      <c r="J133" s="42" t="str">
        <f>"VDO "&amp;J132&amp;" - "&amp;IF(LEFT(J135,1)="F","Final",IF(LEFT(J135,1)="D","Draft",IF(LEFT(J135,2)="VD","Variation draft",IF(LEFT(J135,2)="VF","Variation final"))))</f>
        <v>VDO 2021 - Variation draft</v>
      </c>
      <c r="K133" s="42" t="str">
        <f>"VDO "&amp;K132&amp;" - "&amp;IF(LEFT(K135,1)="F","Final",IF(LEFT(K135,1)="D","Draft",IF(LEFT(K135,2)="VD","Variation draft",IF(LEFT(K135,2)="VF","Variation final"))))</f>
        <v>VDO 2021 - Variation final</v>
      </c>
      <c r="L133" s="42" t="str">
        <f t="shared" ref="L133" si="0">"VDO "&amp;L132&amp;" - "&amp;IF(LEFT(L135,1)="F","Final",IF(LEFT(L135,1)="D","Draft",IF(LEFT(L135,2)="VD","Variation draft",IF(LEFT(L135,2)="VF","Variation final"))))</f>
        <v>VDO 2022 - Draft</v>
      </c>
      <c r="M133" s="42" t="str">
        <f t="shared" ref="M133" si="1">"VDO "&amp;M132&amp;" - "&amp;IF(LEFT(M135,1)="F","Final",IF(LEFT(M135,1)="D","Draft",IF(LEFT(M135,2)="VD","Variation draft",IF(LEFT(M135,2)="VF","Variation final"))))</f>
        <v>VDO 2022 - Final</v>
      </c>
    </row>
    <row r="134" spans="1:18" ht="15.75" outlineLevel="1" x14ac:dyDescent="0.25">
      <c r="C134" s="30" t="s">
        <v>572</v>
      </c>
    </row>
    <row r="135" spans="1:18" ht="15.75" outlineLevel="1" x14ac:dyDescent="0.25">
      <c r="C135" s="44" t="s">
        <v>226</v>
      </c>
      <c r="D135" s="44" t="s">
        <v>227</v>
      </c>
      <c r="E135" s="44" t="s">
        <v>228</v>
      </c>
      <c r="F135" s="44" t="s">
        <v>111</v>
      </c>
      <c r="G135" s="44" t="s">
        <v>99</v>
      </c>
      <c r="H135" s="44" t="s">
        <v>440</v>
      </c>
      <c r="I135" s="44" t="s">
        <v>55</v>
      </c>
      <c r="J135" s="44" t="s">
        <v>395</v>
      </c>
      <c r="K135" s="44" t="s">
        <v>397</v>
      </c>
      <c r="L135" s="44" t="s">
        <v>56</v>
      </c>
      <c r="M135" s="116" t="s">
        <v>57</v>
      </c>
    </row>
    <row r="136" spans="1:18" outlineLevel="1" x14ac:dyDescent="0.25">
      <c r="C136" s="24" t="s">
        <v>229</v>
      </c>
      <c r="D136" s="24" t="s">
        <v>230</v>
      </c>
      <c r="E136" s="83" t="str">
        <f>Input_Usage[[#This Row],[Profile name]]&amp;" - "&amp;Input_Usage[[#This Row],[Usage type]]</f>
        <v>Residential - small - Block 1</v>
      </c>
      <c r="F136" s="24" t="s">
        <v>231</v>
      </c>
      <c r="G136" s="24" t="s">
        <v>100</v>
      </c>
      <c r="H136" s="24" t="s">
        <v>515</v>
      </c>
      <c r="I136" s="40">
        <v>2000</v>
      </c>
      <c r="J136" s="39">
        <v>2000</v>
      </c>
      <c r="K136" s="39">
        <v>2000</v>
      </c>
      <c r="L136" s="39">
        <v>2000</v>
      </c>
      <c r="M136" s="39">
        <v>2000</v>
      </c>
      <c r="N136" s="117"/>
    </row>
    <row r="137" spans="1:18" outlineLevel="1" x14ac:dyDescent="0.25">
      <c r="C137" s="24" t="s">
        <v>232</v>
      </c>
      <c r="D137" s="24" t="s">
        <v>230</v>
      </c>
      <c r="E137" s="83" t="str">
        <f>Input_Usage[[#This Row],[Profile name]]&amp;" - "&amp;Input_Usage[[#This Row],[Usage type]]</f>
        <v>Residential - medium - Block 1</v>
      </c>
      <c r="F137" s="24" t="s">
        <v>231</v>
      </c>
      <c r="G137" s="24" t="s">
        <v>100</v>
      </c>
      <c r="H137" s="24" t="s">
        <v>515</v>
      </c>
      <c r="I137" s="40">
        <v>4000</v>
      </c>
      <c r="J137" s="39">
        <v>4000</v>
      </c>
      <c r="K137" s="39">
        <v>4000</v>
      </c>
      <c r="L137" s="39">
        <v>4000</v>
      </c>
      <c r="M137" s="39">
        <v>4000</v>
      </c>
      <c r="N137" s="117"/>
    </row>
    <row r="138" spans="1:18" outlineLevel="1" x14ac:dyDescent="0.25">
      <c r="C138" s="24" t="s">
        <v>233</v>
      </c>
      <c r="D138" s="24" t="s">
        <v>230</v>
      </c>
      <c r="E138" s="83" t="str">
        <f>Input_Usage[[#This Row],[Profile name]]&amp;" - "&amp;Input_Usage[[#This Row],[Usage type]]</f>
        <v>Residential - large - Block 1</v>
      </c>
      <c r="F138" s="24" t="s">
        <v>231</v>
      </c>
      <c r="G138" s="24" t="s">
        <v>100</v>
      </c>
      <c r="H138" s="24" t="s">
        <v>515</v>
      </c>
      <c r="I138" s="40">
        <v>4080</v>
      </c>
      <c r="J138" s="39">
        <v>4080</v>
      </c>
      <c r="K138" s="39">
        <v>4080</v>
      </c>
      <c r="L138" s="39">
        <v>4080</v>
      </c>
      <c r="M138" s="39">
        <v>4080</v>
      </c>
      <c r="N138" s="117"/>
    </row>
    <row r="139" spans="1:18" outlineLevel="1" x14ac:dyDescent="0.25">
      <c r="C139" s="24" t="s">
        <v>234</v>
      </c>
      <c r="D139" s="24" t="s">
        <v>230</v>
      </c>
      <c r="E139" s="83" t="str">
        <f>Input_Usage[[#This Row],[Profile name]]&amp;" - "&amp;Input_Usage[[#This Row],[Usage type]]</f>
        <v>Small business - small - Block 1</v>
      </c>
      <c r="F139" s="24" t="s">
        <v>231</v>
      </c>
      <c r="G139" s="24" t="s">
        <v>101</v>
      </c>
      <c r="H139" s="24" t="s">
        <v>515</v>
      </c>
      <c r="I139" s="40">
        <v>4080</v>
      </c>
      <c r="J139" s="39">
        <v>4080</v>
      </c>
      <c r="K139" s="39">
        <v>4080</v>
      </c>
      <c r="L139" s="39">
        <v>4080</v>
      </c>
      <c r="M139" s="39">
        <v>4080</v>
      </c>
      <c r="N139" s="117"/>
    </row>
    <row r="140" spans="1:18" outlineLevel="1" x14ac:dyDescent="0.25">
      <c r="C140" s="24" t="s">
        <v>235</v>
      </c>
      <c r="D140" s="24" t="s">
        <v>230</v>
      </c>
      <c r="E140" s="83" t="str">
        <f>Input_Usage[[#This Row],[Profile name]]&amp;" - "&amp;Input_Usage[[#This Row],[Usage type]]</f>
        <v>Small business - medium - Block 1</v>
      </c>
      <c r="F140" s="24" t="s">
        <v>231</v>
      </c>
      <c r="G140" s="24" t="s">
        <v>101</v>
      </c>
      <c r="H140" s="24" t="s">
        <v>515</v>
      </c>
      <c r="I140" s="40">
        <v>4080</v>
      </c>
      <c r="J140" s="39">
        <v>4080</v>
      </c>
      <c r="K140" s="39">
        <v>4080</v>
      </c>
      <c r="L140" s="39">
        <v>4080</v>
      </c>
      <c r="M140" s="39">
        <v>4080</v>
      </c>
      <c r="N140" s="117"/>
    </row>
    <row r="141" spans="1:18" outlineLevel="1" x14ac:dyDescent="0.25">
      <c r="C141" s="24" t="s">
        <v>236</v>
      </c>
      <c r="D141" s="24" t="s">
        <v>230</v>
      </c>
      <c r="E141" s="83" t="str">
        <f>Input_Usage[[#This Row],[Profile name]]&amp;" - "&amp;Input_Usage[[#This Row],[Usage type]]</f>
        <v>Small business - large - Block 1</v>
      </c>
      <c r="F141" s="24" t="s">
        <v>231</v>
      </c>
      <c r="G141" s="24" t="s">
        <v>101</v>
      </c>
      <c r="H141" s="24" t="s">
        <v>515</v>
      </c>
      <c r="I141" s="40">
        <v>4080</v>
      </c>
      <c r="J141" s="39">
        <v>4080</v>
      </c>
      <c r="K141" s="39">
        <v>4080</v>
      </c>
      <c r="L141" s="39">
        <v>4080</v>
      </c>
      <c r="M141" s="39">
        <v>4080</v>
      </c>
      <c r="N141" s="117"/>
    </row>
    <row r="142" spans="1:18" outlineLevel="1" x14ac:dyDescent="0.25">
      <c r="C142" s="24" t="s">
        <v>229</v>
      </c>
      <c r="D142" s="24" t="s">
        <v>237</v>
      </c>
      <c r="E142" s="83" t="str">
        <f>Input_Usage[[#This Row],[Profile name]]&amp;" - "&amp;Input_Usage[[#This Row],[Usage type]]</f>
        <v>Residential - small - Balance</v>
      </c>
      <c r="F142" s="24" t="s">
        <v>231</v>
      </c>
      <c r="G142" s="24" t="s">
        <v>100</v>
      </c>
      <c r="H142" s="24" t="s">
        <v>515</v>
      </c>
      <c r="I142" s="40">
        <v>0</v>
      </c>
      <c r="J142" s="39">
        <v>0</v>
      </c>
      <c r="K142" s="39">
        <v>0</v>
      </c>
      <c r="L142" s="39">
        <v>0</v>
      </c>
      <c r="M142" s="39">
        <v>0</v>
      </c>
      <c r="N142" s="117"/>
    </row>
    <row r="143" spans="1:18" outlineLevel="1" x14ac:dyDescent="0.25">
      <c r="C143" s="24" t="s">
        <v>232</v>
      </c>
      <c r="D143" s="24" t="s">
        <v>237</v>
      </c>
      <c r="E143" s="83" t="str">
        <f>Input_Usage[[#This Row],[Profile name]]&amp;" - "&amp;Input_Usage[[#This Row],[Usage type]]</f>
        <v>Residential - medium - Balance</v>
      </c>
      <c r="F143" s="24" t="s">
        <v>231</v>
      </c>
      <c r="G143" s="24" t="s">
        <v>100</v>
      </c>
      <c r="H143" s="24" t="s">
        <v>515</v>
      </c>
      <c r="I143" s="40">
        <v>0</v>
      </c>
      <c r="J143" s="39">
        <v>0</v>
      </c>
      <c r="K143" s="39">
        <v>0</v>
      </c>
      <c r="L143" s="39">
        <v>0</v>
      </c>
      <c r="M143" s="39">
        <v>0</v>
      </c>
      <c r="N143" s="117"/>
    </row>
    <row r="144" spans="1:18" outlineLevel="1" x14ac:dyDescent="0.25">
      <c r="C144" s="24" t="s">
        <v>233</v>
      </c>
      <c r="D144" s="24" t="s">
        <v>237</v>
      </c>
      <c r="E144" s="83" t="str">
        <f>Input_Usage[[#This Row],[Profile name]]&amp;" - "&amp;Input_Usage[[#This Row],[Usage type]]</f>
        <v>Residential - large - Balance</v>
      </c>
      <c r="F144" s="24" t="s">
        <v>231</v>
      </c>
      <c r="G144" s="24" t="s">
        <v>100</v>
      </c>
      <c r="H144" s="24" t="s">
        <v>515</v>
      </c>
      <c r="I144" s="40">
        <v>3920</v>
      </c>
      <c r="J144" s="39">
        <v>3920</v>
      </c>
      <c r="K144" s="39">
        <v>3920</v>
      </c>
      <c r="L144" s="39">
        <v>3920</v>
      </c>
      <c r="M144" s="39">
        <v>3920</v>
      </c>
      <c r="N144" s="117"/>
    </row>
    <row r="145" spans="3:14" outlineLevel="1" x14ac:dyDescent="0.25">
      <c r="C145" s="24" t="s">
        <v>234</v>
      </c>
      <c r="D145" s="24" t="s">
        <v>237</v>
      </c>
      <c r="E145" s="83" t="str">
        <f>Input_Usage[[#This Row],[Profile name]]&amp;" - "&amp;Input_Usage[[#This Row],[Usage type]]</f>
        <v>Small business - small - Balance</v>
      </c>
      <c r="F145" s="24" t="s">
        <v>231</v>
      </c>
      <c r="G145" s="24" t="s">
        <v>101</v>
      </c>
      <c r="H145" s="24" t="s">
        <v>515</v>
      </c>
      <c r="I145" s="40">
        <v>7920</v>
      </c>
      <c r="J145" s="39">
        <v>7920</v>
      </c>
      <c r="K145" s="39">
        <v>7920</v>
      </c>
      <c r="L145" s="39">
        <v>7920</v>
      </c>
      <c r="M145" s="39">
        <v>7920</v>
      </c>
      <c r="N145" s="117"/>
    </row>
    <row r="146" spans="3:14" outlineLevel="1" x14ac:dyDescent="0.25">
      <c r="C146" s="24" t="s">
        <v>235</v>
      </c>
      <c r="D146" s="24" t="s">
        <v>237</v>
      </c>
      <c r="E146" s="83" t="str">
        <f>Input_Usage[[#This Row],[Profile name]]&amp;" - "&amp;Input_Usage[[#This Row],[Usage type]]</f>
        <v>Small business - medium - Balance</v>
      </c>
      <c r="F146" s="24" t="s">
        <v>231</v>
      </c>
      <c r="G146" s="24" t="s">
        <v>101</v>
      </c>
      <c r="H146" s="24" t="s">
        <v>515</v>
      </c>
      <c r="I146" s="40">
        <v>15920</v>
      </c>
      <c r="J146" s="39">
        <v>15920</v>
      </c>
      <c r="K146" s="39">
        <v>15920</v>
      </c>
      <c r="L146" s="39">
        <v>15920</v>
      </c>
      <c r="M146" s="39">
        <v>15920</v>
      </c>
      <c r="N146" s="117"/>
    </row>
    <row r="147" spans="3:14" outlineLevel="1" x14ac:dyDescent="0.25">
      <c r="C147" s="24" t="s">
        <v>236</v>
      </c>
      <c r="D147" s="24" t="s">
        <v>237</v>
      </c>
      <c r="E147" s="83" t="str">
        <f>Input_Usage[[#This Row],[Profile name]]&amp;" - "&amp;Input_Usage[[#This Row],[Usage type]]</f>
        <v>Small business - large - Balance</v>
      </c>
      <c r="F147" s="24" t="s">
        <v>231</v>
      </c>
      <c r="G147" s="24" t="s">
        <v>101</v>
      </c>
      <c r="H147" s="24" t="s">
        <v>515</v>
      </c>
      <c r="I147" s="40">
        <v>35920</v>
      </c>
      <c r="J147" s="39">
        <v>35920</v>
      </c>
      <c r="K147" s="39">
        <v>35920</v>
      </c>
      <c r="L147" s="39">
        <v>35920</v>
      </c>
      <c r="M147" s="39">
        <v>35920</v>
      </c>
      <c r="N147" s="117"/>
    </row>
    <row r="148" spans="3:14" outlineLevel="1" x14ac:dyDescent="0.25">
      <c r="C148" s="24" t="s">
        <v>229</v>
      </c>
      <c r="D148" s="24" t="s">
        <v>238</v>
      </c>
      <c r="E148" s="83" t="str">
        <f>Input_Usage[[#This Row],[Profile name]]&amp;" - "&amp;Input_Usage[[#This Row],[Usage type]]</f>
        <v>Residential - small - Annual</v>
      </c>
      <c r="F148" s="24" t="s">
        <v>231</v>
      </c>
      <c r="G148" s="24" t="s">
        <v>100</v>
      </c>
      <c r="H148" s="24" t="s">
        <v>515</v>
      </c>
      <c r="I148" s="40">
        <v>2000</v>
      </c>
      <c r="J148" s="39">
        <v>2000</v>
      </c>
      <c r="K148" s="39">
        <v>2000</v>
      </c>
      <c r="L148" s="39">
        <v>2000</v>
      </c>
      <c r="M148" s="39">
        <v>2000</v>
      </c>
      <c r="N148" s="117"/>
    </row>
    <row r="149" spans="3:14" outlineLevel="1" x14ac:dyDescent="0.25">
      <c r="C149" s="24" t="s">
        <v>232</v>
      </c>
      <c r="D149" s="24" t="s">
        <v>238</v>
      </c>
      <c r="E149" s="83" t="str">
        <f>Input_Usage[[#This Row],[Profile name]]&amp;" - "&amp;Input_Usage[[#This Row],[Usage type]]</f>
        <v>Residential - medium - Annual</v>
      </c>
      <c r="F149" s="24" t="s">
        <v>231</v>
      </c>
      <c r="G149" s="24" t="s">
        <v>100</v>
      </c>
      <c r="H149" s="24" t="s">
        <v>515</v>
      </c>
      <c r="I149" s="40">
        <v>4000</v>
      </c>
      <c r="J149" s="39">
        <v>4000</v>
      </c>
      <c r="K149" s="39">
        <v>4000</v>
      </c>
      <c r="L149" s="39">
        <v>4000</v>
      </c>
      <c r="M149" s="39">
        <v>4000</v>
      </c>
      <c r="N149" s="117"/>
    </row>
    <row r="150" spans="3:14" outlineLevel="1" x14ac:dyDescent="0.25">
      <c r="C150" s="24" t="s">
        <v>233</v>
      </c>
      <c r="D150" s="24" t="s">
        <v>238</v>
      </c>
      <c r="E150" s="83" t="str">
        <f>Input_Usage[[#This Row],[Profile name]]&amp;" - "&amp;Input_Usage[[#This Row],[Usage type]]</f>
        <v>Residential - large - Annual</v>
      </c>
      <c r="F150" s="24" t="s">
        <v>231</v>
      </c>
      <c r="G150" s="24" t="s">
        <v>100</v>
      </c>
      <c r="H150" s="24" t="s">
        <v>515</v>
      </c>
      <c r="I150" s="40">
        <v>8000</v>
      </c>
      <c r="J150" s="39">
        <v>8000</v>
      </c>
      <c r="K150" s="39">
        <v>8000</v>
      </c>
      <c r="L150" s="39">
        <v>8000</v>
      </c>
      <c r="M150" s="39">
        <v>8000</v>
      </c>
      <c r="N150" s="117"/>
    </row>
    <row r="151" spans="3:14" outlineLevel="1" x14ac:dyDescent="0.25">
      <c r="C151" s="24" t="s">
        <v>234</v>
      </c>
      <c r="D151" s="24" t="s">
        <v>238</v>
      </c>
      <c r="E151" s="83" t="str">
        <f>Input_Usage[[#This Row],[Profile name]]&amp;" - "&amp;Input_Usage[[#This Row],[Usage type]]</f>
        <v>Small business - small - Annual</v>
      </c>
      <c r="F151" s="24" t="s">
        <v>231</v>
      </c>
      <c r="G151" s="24" t="s">
        <v>101</v>
      </c>
      <c r="H151" s="24" t="s">
        <v>515</v>
      </c>
      <c r="I151" s="40">
        <v>12000</v>
      </c>
      <c r="J151" s="39">
        <v>12000</v>
      </c>
      <c r="K151" s="39">
        <v>12000</v>
      </c>
      <c r="L151" s="39">
        <v>12000</v>
      </c>
      <c r="M151" s="39">
        <v>12000</v>
      </c>
      <c r="N151" s="117"/>
    </row>
    <row r="152" spans="3:14" outlineLevel="1" x14ac:dyDescent="0.25">
      <c r="C152" s="24" t="s">
        <v>235</v>
      </c>
      <c r="D152" s="24" t="s">
        <v>238</v>
      </c>
      <c r="E152" s="83" t="str">
        <f>Input_Usage[[#This Row],[Profile name]]&amp;" - "&amp;Input_Usage[[#This Row],[Usage type]]</f>
        <v>Small business - medium - Annual</v>
      </c>
      <c r="F152" s="24" t="s">
        <v>231</v>
      </c>
      <c r="G152" s="24" t="s">
        <v>101</v>
      </c>
      <c r="H152" s="24" t="s">
        <v>515</v>
      </c>
      <c r="I152" s="40">
        <v>20000</v>
      </c>
      <c r="J152" s="39">
        <v>20000</v>
      </c>
      <c r="K152" s="39">
        <v>20000</v>
      </c>
      <c r="L152" s="39">
        <v>20000</v>
      </c>
      <c r="M152" s="39">
        <v>20000</v>
      </c>
      <c r="N152" s="117"/>
    </row>
    <row r="153" spans="3:14" outlineLevel="1" x14ac:dyDescent="0.25">
      <c r="C153" s="24" t="s">
        <v>236</v>
      </c>
      <c r="D153" s="24" t="s">
        <v>238</v>
      </c>
      <c r="E153" s="83" t="str">
        <f>Input_Usage[[#This Row],[Profile name]]&amp;" - "&amp;Input_Usage[[#This Row],[Usage type]]</f>
        <v>Small business - large - Annual</v>
      </c>
      <c r="F153" s="24" t="s">
        <v>231</v>
      </c>
      <c r="G153" s="24" t="s">
        <v>101</v>
      </c>
      <c r="H153" s="24" t="s">
        <v>515</v>
      </c>
      <c r="I153" s="40">
        <v>40000</v>
      </c>
      <c r="J153" s="39">
        <v>40000</v>
      </c>
      <c r="K153" s="39">
        <v>40000</v>
      </c>
      <c r="L153" s="39">
        <v>40000</v>
      </c>
      <c r="M153" s="39">
        <v>40000</v>
      </c>
      <c r="N153" s="117"/>
    </row>
    <row r="154" spans="3:14" outlineLevel="1" x14ac:dyDescent="0.25">
      <c r="C154" s="60" t="s">
        <v>229</v>
      </c>
      <c r="D154" s="60" t="s">
        <v>508</v>
      </c>
      <c r="E154" s="83" t="str">
        <f>Input_Usage[[#This Row],[Profile name]]&amp;" - "&amp;Input_Usage[[#This Row],[Usage type]]</f>
        <v>Residential - small - Single rate</v>
      </c>
      <c r="F154" s="60" t="s">
        <v>231</v>
      </c>
      <c r="G154" s="60" t="s">
        <v>100</v>
      </c>
      <c r="H154" s="60" t="s">
        <v>515</v>
      </c>
      <c r="I154" s="40">
        <v>2000</v>
      </c>
      <c r="J154" s="39">
        <v>2000</v>
      </c>
      <c r="K154" s="39">
        <v>2000</v>
      </c>
      <c r="L154" s="39">
        <v>2000</v>
      </c>
      <c r="M154" s="39">
        <v>2000</v>
      </c>
    </row>
    <row r="155" spans="3:14" outlineLevel="1" x14ac:dyDescent="0.25">
      <c r="C155" s="60" t="s">
        <v>232</v>
      </c>
      <c r="D155" s="60" t="s">
        <v>508</v>
      </c>
      <c r="E155" s="83" t="str">
        <f>Input_Usage[[#This Row],[Profile name]]&amp;" - "&amp;Input_Usage[[#This Row],[Usage type]]</f>
        <v>Residential - medium - Single rate</v>
      </c>
      <c r="F155" s="60" t="s">
        <v>231</v>
      </c>
      <c r="G155" s="60" t="s">
        <v>100</v>
      </c>
      <c r="H155" s="60" t="s">
        <v>515</v>
      </c>
      <c r="I155" s="40">
        <v>4000</v>
      </c>
      <c r="J155" s="39">
        <v>4000</v>
      </c>
      <c r="K155" s="39">
        <v>4000</v>
      </c>
      <c r="L155" s="39">
        <v>4000</v>
      </c>
      <c r="M155" s="39">
        <v>4000</v>
      </c>
    </row>
    <row r="156" spans="3:14" outlineLevel="1" x14ac:dyDescent="0.25">
      <c r="C156" s="60" t="s">
        <v>233</v>
      </c>
      <c r="D156" s="60" t="s">
        <v>508</v>
      </c>
      <c r="E156" s="83" t="str">
        <f>Input_Usage[[#This Row],[Profile name]]&amp;" - "&amp;Input_Usage[[#This Row],[Usage type]]</f>
        <v>Residential - large - Single rate</v>
      </c>
      <c r="F156" s="60" t="s">
        <v>231</v>
      </c>
      <c r="G156" s="60" t="s">
        <v>100</v>
      </c>
      <c r="H156" s="60" t="s">
        <v>515</v>
      </c>
      <c r="I156" s="40">
        <v>8000</v>
      </c>
      <c r="J156" s="39">
        <v>8000</v>
      </c>
      <c r="K156" s="39">
        <v>8000</v>
      </c>
      <c r="L156" s="39">
        <v>8000</v>
      </c>
      <c r="M156" s="39">
        <v>8000</v>
      </c>
    </row>
    <row r="157" spans="3:14" outlineLevel="1" x14ac:dyDescent="0.25">
      <c r="C157" s="60" t="s">
        <v>234</v>
      </c>
      <c r="D157" s="60" t="s">
        <v>508</v>
      </c>
      <c r="E157" s="83" t="str">
        <f>Input_Usage[[#This Row],[Profile name]]&amp;" - "&amp;Input_Usage[[#This Row],[Usage type]]</f>
        <v>Small business - small - Single rate</v>
      </c>
      <c r="F157" s="60" t="s">
        <v>231</v>
      </c>
      <c r="G157" s="60" t="s">
        <v>101</v>
      </c>
      <c r="H157" s="60" t="s">
        <v>515</v>
      </c>
      <c r="I157" s="40">
        <v>12000</v>
      </c>
      <c r="J157" s="39">
        <v>12000</v>
      </c>
      <c r="K157" s="39">
        <v>12000</v>
      </c>
      <c r="L157" s="39">
        <v>12000</v>
      </c>
      <c r="M157" s="39">
        <v>12000</v>
      </c>
    </row>
    <row r="158" spans="3:14" outlineLevel="1" x14ac:dyDescent="0.25">
      <c r="C158" s="60" t="s">
        <v>235</v>
      </c>
      <c r="D158" s="60" t="s">
        <v>508</v>
      </c>
      <c r="E158" s="83" t="str">
        <f>Input_Usage[[#This Row],[Profile name]]&amp;" - "&amp;Input_Usage[[#This Row],[Usage type]]</f>
        <v>Small business - medium - Single rate</v>
      </c>
      <c r="F158" s="60" t="s">
        <v>231</v>
      </c>
      <c r="G158" s="60" t="s">
        <v>101</v>
      </c>
      <c r="H158" s="60" t="s">
        <v>515</v>
      </c>
      <c r="I158" s="40">
        <v>20000</v>
      </c>
      <c r="J158" s="39">
        <v>20000</v>
      </c>
      <c r="K158" s="39">
        <v>20000</v>
      </c>
      <c r="L158" s="39">
        <v>20000</v>
      </c>
      <c r="M158" s="39">
        <v>20000</v>
      </c>
    </row>
    <row r="159" spans="3:14" outlineLevel="1" x14ac:dyDescent="0.25">
      <c r="C159" s="60" t="s">
        <v>236</v>
      </c>
      <c r="D159" s="60" t="s">
        <v>508</v>
      </c>
      <c r="E159" s="83" t="str">
        <f>Input_Usage[[#This Row],[Profile name]]&amp;" - "&amp;Input_Usage[[#This Row],[Usage type]]</f>
        <v>Small business - large - Single rate</v>
      </c>
      <c r="F159" s="60" t="s">
        <v>231</v>
      </c>
      <c r="G159" s="60" t="s">
        <v>101</v>
      </c>
      <c r="H159" s="60" t="s">
        <v>515</v>
      </c>
      <c r="I159" s="40">
        <v>40000</v>
      </c>
      <c r="J159" s="39">
        <v>40000</v>
      </c>
      <c r="K159" s="39">
        <v>40000</v>
      </c>
      <c r="L159" s="39">
        <v>40000</v>
      </c>
      <c r="M159" s="39">
        <v>40000</v>
      </c>
    </row>
    <row r="160" spans="3:14" outlineLevel="1" x14ac:dyDescent="0.25">
      <c r="C160" s="60" t="s">
        <v>232</v>
      </c>
      <c r="D160" s="60" t="s">
        <v>296</v>
      </c>
      <c r="E160" s="83" t="str">
        <f>Input_Usage[[#This Row],[Profile name]]&amp;" - "&amp;Input_Usage[[#This Row],[Usage type]]</f>
        <v>Residential - medium - Controlled load</v>
      </c>
      <c r="F160" s="60" t="s">
        <v>231</v>
      </c>
      <c r="G160" s="60" t="s">
        <v>100</v>
      </c>
      <c r="H160" s="60" t="s">
        <v>515</v>
      </c>
      <c r="I160" s="40">
        <v>2000</v>
      </c>
      <c r="J160" s="39">
        <v>2000</v>
      </c>
      <c r="K160" s="39">
        <v>2000</v>
      </c>
      <c r="L160" s="39">
        <v>2000</v>
      </c>
      <c r="M160" s="39">
        <v>2000</v>
      </c>
    </row>
    <row r="161" spans="2:18" outlineLevel="1" x14ac:dyDescent="0.25">
      <c r="C161" s="24" t="s">
        <v>229</v>
      </c>
      <c r="D161" s="24" t="s">
        <v>239</v>
      </c>
      <c r="E161" s="83" t="str">
        <f>Input_Usage[[#This Row],[Profile name]]&amp;" - "&amp;Input_Usage[[#This Row],[Usage type]]</f>
        <v>Residential - small - Peak</v>
      </c>
      <c r="F161" s="24" t="s">
        <v>231</v>
      </c>
      <c r="G161" s="24" t="s">
        <v>100</v>
      </c>
      <c r="H161" s="24" t="s">
        <v>516</v>
      </c>
      <c r="I161" s="40" t="s">
        <v>87</v>
      </c>
      <c r="J161" s="130">
        <v>660</v>
      </c>
      <c r="K161" s="130">
        <v>660</v>
      </c>
      <c r="L161" s="130">
        <v>660</v>
      </c>
      <c r="M161" s="130">
        <v>660</v>
      </c>
      <c r="N161" s="117"/>
    </row>
    <row r="162" spans="2:18" outlineLevel="1" x14ac:dyDescent="0.25">
      <c r="C162" s="24" t="s">
        <v>232</v>
      </c>
      <c r="D162" s="24" t="s">
        <v>239</v>
      </c>
      <c r="E162" s="83" t="str">
        <f>Input_Usage[[#This Row],[Profile name]]&amp;" - "&amp;Input_Usage[[#This Row],[Usage type]]</f>
        <v>Residential - medium - Peak</v>
      </c>
      <c r="F162" s="24" t="s">
        <v>231</v>
      </c>
      <c r="G162" s="24" t="s">
        <v>100</v>
      </c>
      <c r="H162" s="24" t="s">
        <v>516</v>
      </c>
      <c r="I162" s="40" t="s">
        <v>87</v>
      </c>
      <c r="J162" s="130">
        <v>1320</v>
      </c>
      <c r="K162" s="130">
        <v>1320</v>
      </c>
      <c r="L162" s="130">
        <v>1320</v>
      </c>
      <c r="M162" s="130">
        <v>1320</v>
      </c>
      <c r="N162" s="117"/>
    </row>
    <row r="163" spans="2:18" outlineLevel="1" x14ac:dyDescent="0.25">
      <c r="C163" s="24" t="s">
        <v>233</v>
      </c>
      <c r="D163" s="24" t="s">
        <v>239</v>
      </c>
      <c r="E163" s="83" t="str">
        <f>Input_Usage[[#This Row],[Profile name]]&amp;" - "&amp;Input_Usage[[#This Row],[Usage type]]</f>
        <v>Residential - large - Peak</v>
      </c>
      <c r="F163" s="24" t="s">
        <v>231</v>
      </c>
      <c r="G163" s="24" t="s">
        <v>100</v>
      </c>
      <c r="H163" s="24" t="s">
        <v>516</v>
      </c>
      <c r="I163" s="40" t="s">
        <v>87</v>
      </c>
      <c r="J163" s="130">
        <v>2640</v>
      </c>
      <c r="K163" s="130">
        <v>2640</v>
      </c>
      <c r="L163" s="130">
        <v>2640</v>
      </c>
      <c r="M163" s="130">
        <v>2640</v>
      </c>
      <c r="N163" s="117"/>
    </row>
    <row r="164" spans="2:18" outlineLevel="1" x14ac:dyDescent="0.25">
      <c r="C164" s="24" t="s">
        <v>234</v>
      </c>
      <c r="D164" s="24" t="s">
        <v>239</v>
      </c>
      <c r="E164" s="83" t="str">
        <f>Input_Usage[[#This Row],[Profile name]]&amp;" - "&amp;Input_Usage[[#This Row],[Usage type]]</f>
        <v>Small business - small - Peak</v>
      </c>
      <c r="F164" s="24" t="s">
        <v>231</v>
      </c>
      <c r="G164" s="24" t="s">
        <v>101</v>
      </c>
      <c r="H164" s="24" t="s">
        <v>516</v>
      </c>
      <c r="I164" s="40" t="s">
        <v>87</v>
      </c>
      <c r="J164" s="130">
        <v>5880</v>
      </c>
      <c r="K164" s="130">
        <v>5880</v>
      </c>
      <c r="L164" s="130">
        <v>5880</v>
      </c>
      <c r="M164" s="130">
        <v>5880</v>
      </c>
      <c r="N164" s="117"/>
    </row>
    <row r="165" spans="2:18" outlineLevel="1" x14ac:dyDescent="0.25">
      <c r="C165" s="24" t="s">
        <v>235</v>
      </c>
      <c r="D165" s="24" t="s">
        <v>239</v>
      </c>
      <c r="E165" s="83" t="str">
        <f>Input_Usage[[#This Row],[Profile name]]&amp;" - "&amp;Input_Usage[[#This Row],[Usage type]]</f>
        <v>Small business - medium - Peak</v>
      </c>
      <c r="F165" s="24" t="s">
        <v>231</v>
      </c>
      <c r="G165" s="24" t="s">
        <v>101</v>
      </c>
      <c r="H165" s="24" t="s">
        <v>516</v>
      </c>
      <c r="I165" s="40" t="s">
        <v>87</v>
      </c>
      <c r="J165" s="130">
        <v>9800</v>
      </c>
      <c r="K165" s="130">
        <v>9800</v>
      </c>
      <c r="L165" s="130">
        <v>9800</v>
      </c>
      <c r="M165" s="130">
        <v>9800</v>
      </c>
      <c r="N165" s="117"/>
    </row>
    <row r="166" spans="2:18" outlineLevel="1" x14ac:dyDescent="0.25">
      <c r="C166" s="24" t="s">
        <v>236</v>
      </c>
      <c r="D166" s="24" t="s">
        <v>239</v>
      </c>
      <c r="E166" s="83" t="str">
        <f>Input_Usage[[#This Row],[Profile name]]&amp;" - "&amp;Input_Usage[[#This Row],[Usage type]]</f>
        <v>Small business - large - Peak</v>
      </c>
      <c r="F166" s="24" t="s">
        <v>231</v>
      </c>
      <c r="G166" s="24" t="s">
        <v>101</v>
      </c>
      <c r="H166" s="24" t="s">
        <v>516</v>
      </c>
      <c r="I166" s="40" t="s">
        <v>87</v>
      </c>
      <c r="J166" s="130">
        <v>19600</v>
      </c>
      <c r="K166" s="130">
        <v>19600</v>
      </c>
      <c r="L166" s="130">
        <v>19600</v>
      </c>
      <c r="M166" s="130">
        <v>19600</v>
      </c>
      <c r="N166" s="117"/>
    </row>
    <row r="167" spans="2:18" outlineLevel="1" x14ac:dyDescent="0.25">
      <c r="C167" s="24" t="s">
        <v>229</v>
      </c>
      <c r="D167" s="24" t="s">
        <v>538</v>
      </c>
      <c r="E167" s="83" t="str">
        <f>Input_Usage[[#This Row],[Profile name]]&amp;" - "&amp;Input_Usage[[#This Row],[Usage type]]</f>
        <v>Residential - small - Off peak</v>
      </c>
      <c r="F167" s="24" t="s">
        <v>231</v>
      </c>
      <c r="G167" s="24" t="s">
        <v>100</v>
      </c>
      <c r="H167" s="24" t="s">
        <v>516</v>
      </c>
      <c r="I167" s="40" t="s">
        <v>87</v>
      </c>
      <c r="J167" s="130">
        <v>1340</v>
      </c>
      <c r="K167" s="130">
        <v>1340</v>
      </c>
      <c r="L167" s="130">
        <v>1340</v>
      </c>
      <c r="M167" s="130">
        <v>1340</v>
      </c>
      <c r="N167" s="117"/>
    </row>
    <row r="168" spans="2:18" outlineLevel="1" x14ac:dyDescent="0.25">
      <c r="C168" s="24" t="s">
        <v>232</v>
      </c>
      <c r="D168" s="24" t="s">
        <v>538</v>
      </c>
      <c r="E168" s="83" t="str">
        <f>Input_Usage[[#This Row],[Profile name]]&amp;" - "&amp;Input_Usage[[#This Row],[Usage type]]</f>
        <v>Residential - medium - Off peak</v>
      </c>
      <c r="F168" s="24" t="s">
        <v>231</v>
      </c>
      <c r="G168" s="24" t="s">
        <v>100</v>
      </c>
      <c r="H168" s="24" t="s">
        <v>516</v>
      </c>
      <c r="I168" s="40" t="s">
        <v>87</v>
      </c>
      <c r="J168" s="130">
        <v>2680</v>
      </c>
      <c r="K168" s="130">
        <v>2680</v>
      </c>
      <c r="L168" s="130">
        <v>2680</v>
      </c>
      <c r="M168" s="130">
        <v>2680</v>
      </c>
      <c r="N168" s="117"/>
    </row>
    <row r="169" spans="2:18" outlineLevel="1" x14ac:dyDescent="0.25">
      <c r="C169" s="24" t="s">
        <v>233</v>
      </c>
      <c r="D169" s="24" t="s">
        <v>538</v>
      </c>
      <c r="E169" s="83" t="str">
        <f>Input_Usage[[#This Row],[Profile name]]&amp;" - "&amp;Input_Usage[[#This Row],[Usage type]]</f>
        <v>Residential - large - Off peak</v>
      </c>
      <c r="F169" s="24" t="s">
        <v>231</v>
      </c>
      <c r="G169" s="24" t="s">
        <v>100</v>
      </c>
      <c r="H169" s="24" t="s">
        <v>516</v>
      </c>
      <c r="I169" s="40" t="s">
        <v>87</v>
      </c>
      <c r="J169" s="130">
        <v>5360</v>
      </c>
      <c r="K169" s="130">
        <v>5360</v>
      </c>
      <c r="L169" s="130">
        <v>5360</v>
      </c>
      <c r="M169" s="130">
        <v>5360</v>
      </c>
      <c r="N169" s="117"/>
    </row>
    <row r="170" spans="2:18" outlineLevel="1" x14ac:dyDescent="0.25">
      <c r="C170" s="24" t="s">
        <v>234</v>
      </c>
      <c r="D170" s="24" t="s">
        <v>538</v>
      </c>
      <c r="E170" s="83" t="str">
        <f>Input_Usage[[#This Row],[Profile name]]&amp;" - "&amp;Input_Usage[[#This Row],[Usage type]]</f>
        <v>Small business - small - Off peak</v>
      </c>
      <c r="F170" s="24" t="s">
        <v>231</v>
      </c>
      <c r="G170" s="24" t="s">
        <v>101</v>
      </c>
      <c r="H170" s="24" t="s">
        <v>516</v>
      </c>
      <c r="I170" s="40" t="s">
        <v>87</v>
      </c>
      <c r="J170" s="130">
        <v>6120</v>
      </c>
      <c r="K170" s="130">
        <v>6120</v>
      </c>
      <c r="L170" s="130">
        <v>6120</v>
      </c>
      <c r="M170" s="130">
        <v>6120</v>
      </c>
      <c r="N170" s="117"/>
    </row>
    <row r="171" spans="2:18" outlineLevel="1" x14ac:dyDescent="0.25">
      <c r="C171" s="24" t="s">
        <v>235</v>
      </c>
      <c r="D171" s="24" t="s">
        <v>538</v>
      </c>
      <c r="E171" s="83" t="str">
        <f>Input_Usage[[#This Row],[Profile name]]&amp;" - "&amp;Input_Usage[[#This Row],[Usage type]]</f>
        <v>Small business - medium - Off peak</v>
      </c>
      <c r="F171" s="24" t="s">
        <v>231</v>
      </c>
      <c r="G171" s="24" t="s">
        <v>101</v>
      </c>
      <c r="H171" s="24" t="s">
        <v>516</v>
      </c>
      <c r="I171" s="40" t="s">
        <v>87</v>
      </c>
      <c r="J171" s="130">
        <v>10200</v>
      </c>
      <c r="K171" s="130">
        <v>10200</v>
      </c>
      <c r="L171" s="130">
        <v>10200</v>
      </c>
      <c r="M171" s="130">
        <v>10200</v>
      </c>
      <c r="N171" s="117"/>
    </row>
    <row r="172" spans="2:18" outlineLevel="1" x14ac:dyDescent="0.25">
      <c r="C172" s="24" t="s">
        <v>236</v>
      </c>
      <c r="D172" s="24" t="s">
        <v>538</v>
      </c>
      <c r="E172" s="83" t="str">
        <f>Input_Usage[[#This Row],[Profile name]]&amp;" - "&amp;Input_Usage[[#This Row],[Usage type]]</f>
        <v>Small business - large - Off peak</v>
      </c>
      <c r="F172" s="24" t="s">
        <v>231</v>
      </c>
      <c r="G172" s="24" t="s">
        <v>101</v>
      </c>
      <c r="H172" s="24" t="s">
        <v>516</v>
      </c>
      <c r="I172" s="40" t="s">
        <v>87</v>
      </c>
      <c r="J172" s="130">
        <v>20400</v>
      </c>
      <c r="K172" s="130">
        <v>20400</v>
      </c>
      <c r="L172" s="130">
        <v>20400</v>
      </c>
      <c r="M172" s="130">
        <v>20400</v>
      </c>
      <c r="N172" s="117"/>
    </row>
    <row r="174" spans="2:18" ht="16.5" thickBot="1" x14ac:dyDescent="0.3">
      <c r="B174" s="9">
        <f ca="1">MAX(B$3:B173)+0.1</f>
        <v>9.2999999999999989</v>
      </c>
      <c r="C174" s="29" t="s">
        <v>506</v>
      </c>
      <c r="D174" s="29"/>
      <c r="E174" s="29"/>
      <c r="F174" s="29"/>
      <c r="G174" s="29"/>
      <c r="H174" s="29"/>
      <c r="I174" s="29"/>
      <c r="J174" s="29"/>
      <c r="K174" s="29"/>
      <c r="L174" s="29"/>
      <c r="M174" s="29"/>
      <c r="N174" s="29"/>
      <c r="O174" s="29"/>
      <c r="P174" s="29"/>
      <c r="Q174" s="29"/>
      <c r="R174" s="29"/>
    </row>
    <row r="176" spans="2:18" ht="15.75" outlineLevel="1" x14ac:dyDescent="0.25">
      <c r="H176" s="41" t="s">
        <v>108</v>
      </c>
      <c r="I176" s="2">
        <v>2021</v>
      </c>
      <c r="J176" s="2">
        <v>2021</v>
      </c>
      <c r="K176" s="2">
        <v>2021</v>
      </c>
      <c r="L176" s="2">
        <v>2022</v>
      </c>
      <c r="M176" s="2">
        <v>2022</v>
      </c>
    </row>
    <row r="177" spans="3:13" ht="15.75" outlineLevel="1" x14ac:dyDescent="0.25">
      <c r="H177" s="41" t="s">
        <v>109</v>
      </c>
      <c r="I177" s="42" t="str">
        <f>"VDO "&amp;I176&amp;" - "&amp;IF(LEFT(I179,1)="F","Final",IF(LEFT(I179,1)="D","Draft",IF(LEFT(I179,2)="VD","Variation draft",IF(LEFT(I179,2)="VF","Variation final"))))</f>
        <v>VDO 2021 - Final</v>
      </c>
      <c r="J177" s="42" t="str">
        <f>"VDO "&amp;J176&amp;" - "&amp;IF(LEFT(J179,1)="F","Final",IF(LEFT(J179,1)="D","Draft",IF(LEFT(J179,2)="VD","Variation draft",IF(LEFT(J179,2)="VF","Variation final"))))</f>
        <v>VDO 2021 - Variation draft</v>
      </c>
      <c r="K177" s="42" t="str">
        <f>"VDO "&amp;K176&amp;" - "&amp;IF(LEFT(K179,1)="F","Final",IF(LEFT(K179,1)="D","Draft",IF(LEFT(K179,2)="VD","Variation draft",IF(LEFT(K179,2)="VF","Variation final"))))</f>
        <v>VDO 2021 - Variation final</v>
      </c>
      <c r="L177" s="42" t="str">
        <f>"VDO "&amp;L176&amp;" - "&amp;IF(LEFT(L179,1)="F","Final",IF(LEFT(L179,1)="D","Draft",IF(LEFT(L179,2)="VD","Variation draft",IF(LEFT(L179,2)="VF","Variation final"))))</f>
        <v>VDO 2022 - Draft</v>
      </c>
      <c r="M177" s="42" t="str">
        <f>"VDO "&amp;M176&amp;" - "&amp;IF(LEFT(M179,1)="F","Final",IF(LEFT(M179,1)="D","Draft",IF(LEFT(M179,2)="VD","Variation draft",IF(LEFT(M179,2)="VF","Variation final"))))</f>
        <v>VDO 2022 - Final</v>
      </c>
    </row>
    <row r="178" spans="3:13" ht="15.75" outlineLevel="1" x14ac:dyDescent="0.25">
      <c r="C178" s="30" t="s">
        <v>575</v>
      </c>
    </row>
    <row r="179" spans="3:13" ht="15.75" outlineLevel="1" x14ac:dyDescent="0.25">
      <c r="C179" s="44" t="s">
        <v>53</v>
      </c>
      <c r="D179" s="44" t="s">
        <v>54</v>
      </c>
      <c r="E179" s="44" t="s">
        <v>110</v>
      </c>
      <c r="F179" s="44" t="s">
        <v>111</v>
      </c>
      <c r="G179" s="44" t="s">
        <v>99</v>
      </c>
      <c r="H179" s="44" t="s">
        <v>527</v>
      </c>
      <c r="I179" s="44" t="s">
        <v>55</v>
      </c>
      <c r="J179" s="44" t="s">
        <v>395</v>
      </c>
      <c r="K179" s="44" t="s">
        <v>397</v>
      </c>
      <c r="L179" s="43" t="s">
        <v>56</v>
      </c>
      <c r="M179" s="43" t="s">
        <v>57</v>
      </c>
    </row>
    <row r="180" spans="3:13" outlineLevel="1" x14ac:dyDescent="0.25">
      <c r="C180" s="60" t="s">
        <v>160</v>
      </c>
      <c r="D180" s="60" t="s">
        <v>163</v>
      </c>
      <c r="E180" s="60" t="s">
        <v>87</v>
      </c>
      <c r="F180" s="24" t="s">
        <v>231</v>
      </c>
      <c r="G180" s="24" t="s">
        <v>119</v>
      </c>
      <c r="H180" s="24" t="s">
        <v>527</v>
      </c>
      <c r="I180" s="39"/>
      <c r="J180" s="39"/>
      <c r="K180" s="39"/>
      <c r="L180" s="39">
        <v>35.75</v>
      </c>
      <c r="M180" s="39">
        <v>35.75</v>
      </c>
    </row>
    <row r="181" spans="3:13" outlineLevel="1" x14ac:dyDescent="0.25">
      <c r="C181" s="60" t="s">
        <v>160</v>
      </c>
      <c r="D181" s="60" t="s">
        <v>167</v>
      </c>
      <c r="E181" s="60" t="s">
        <v>87</v>
      </c>
      <c r="F181" s="24" t="s">
        <v>213</v>
      </c>
      <c r="G181" s="24" t="s">
        <v>119</v>
      </c>
      <c r="H181" s="24" t="s">
        <v>527</v>
      </c>
      <c r="I181" s="56"/>
      <c r="J181" s="56"/>
      <c r="K181" s="56"/>
      <c r="L181" s="56">
        <v>0.18540000000000001</v>
      </c>
      <c r="M181" s="56">
        <v>0.18540000000000001</v>
      </c>
    </row>
    <row r="182" spans="3:13" outlineLevel="1" x14ac:dyDescent="0.25">
      <c r="C182" s="60" t="s">
        <v>160</v>
      </c>
      <c r="D182" s="60" t="s">
        <v>164</v>
      </c>
      <c r="E182" s="60" t="s">
        <v>87</v>
      </c>
      <c r="F182" s="24" t="s">
        <v>231</v>
      </c>
      <c r="G182" s="24" t="s">
        <v>119</v>
      </c>
      <c r="H182" s="24" t="s">
        <v>527</v>
      </c>
      <c r="I182" s="64"/>
      <c r="J182" s="64"/>
      <c r="K182" s="64"/>
      <c r="L182" s="64">
        <v>40</v>
      </c>
      <c r="M182" s="64">
        <v>40</v>
      </c>
    </row>
    <row r="183" spans="3:13" outlineLevel="1" x14ac:dyDescent="0.25">
      <c r="C183" s="60" t="s">
        <v>160</v>
      </c>
      <c r="D183" s="60" t="s">
        <v>168</v>
      </c>
      <c r="E183" s="60" t="s">
        <v>87</v>
      </c>
      <c r="F183" s="24" t="s">
        <v>213</v>
      </c>
      <c r="G183" s="24" t="s">
        <v>119</v>
      </c>
      <c r="H183" s="24" t="s">
        <v>527</v>
      </c>
      <c r="I183" s="56"/>
      <c r="J183" s="56"/>
      <c r="K183" s="56"/>
      <c r="L183" s="56">
        <v>0.28799999999999998</v>
      </c>
      <c r="M183" s="56">
        <v>0.28799999999999998</v>
      </c>
    </row>
    <row r="184" spans="3:13" outlineLevel="1" x14ac:dyDescent="0.25">
      <c r="C184" s="60" t="s">
        <v>160</v>
      </c>
      <c r="D184" s="60" t="s">
        <v>161</v>
      </c>
      <c r="E184" s="60" t="s">
        <v>87</v>
      </c>
      <c r="F184" s="24" t="s">
        <v>231</v>
      </c>
      <c r="G184" s="24" t="s">
        <v>119</v>
      </c>
      <c r="H184" s="24" t="s">
        <v>527</v>
      </c>
      <c r="I184" s="64"/>
      <c r="J184" s="64"/>
      <c r="K184" s="64"/>
      <c r="L184" s="64">
        <v>32.379354863483861</v>
      </c>
      <c r="M184" s="64">
        <v>32.379354863483861</v>
      </c>
    </row>
    <row r="185" spans="3:13" outlineLevel="1" x14ac:dyDescent="0.25">
      <c r="C185" s="60" t="s">
        <v>160</v>
      </c>
      <c r="D185" s="60" t="s">
        <v>165</v>
      </c>
      <c r="E185" s="60" t="s">
        <v>87</v>
      </c>
      <c r="F185" s="24" t="s">
        <v>213</v>
      </c>
      <c r="G185" s="24" t="s">
        <v>119</v>
      </c>
      <c r="H185" s="24" t="s">
        <v>527</v>
      </c>
      <c r="I185" s="56"/>
      <c r="J185" s="56"/>
      <c r="K185" s="56"/>
      <c r="L185" s="56">
        <v>0.17255000000000001</v>
      </c>
      <c r="M185" s="56">
        <v>0.17255000000000001</v>
      </c>
    </row>
    <row r="186" spans="3:13" outlineLevel="1" x14ac:dyDescent="0.25"/>
    <row r="187" spans="3:13" outlineLevel="1" x14ac:dyDescent="0.25"/>
    <row r="188" spans="3:13" ht="15.75" outlineLevel="1" x14ac:dyDescent="0.25">
      <c r="G188" s="41" t="s">
        <v>108</v>
      </c>
      <c r="H188" s="2">
        <v>2021</v>
      </c>
      <c r="I188" s="2">
        <v>2021</v>
      </c>
      <c r="J188" s="2">
        <v>2021</v>
      </c>
      <c r="K188" s="2">
        <v>2022</v>
      </c>
      <c r="L188" s="2">
        <v>2022</v>
      </c>
    </row>
    <row r="189" spans="3:13" ht="15.75" outlineLevel="1" x14ac:dyDescent="0.25">
      <c r="G189" s="41" t="s">
        <v>109</v>
      </c>
      <c r="H189" s="42" t="str">
        <f>"VDO "&amp;H188&amp;" - "&amp;IF(LEFT(H191,1)="F","Final",IF(LEFT(H191,1)="D","Draft",IF(LEFT(H191,2)="VD","Variation draft",IF(LEFT(H191,2)="VF","Variation final"))))</f>
        <v>VDO 2021 - Final</v>
      </c>
      <c r="I189" s="42" t="str">
        <f>"VDO "&amp;I188&amp;" - "&amp;IF(LEFT(I191,1)="F","Final",IF(LEFT(I191,1)="D","Draft",IF(LEFT(I191,2)="VD","Variation draft",IF(LEFT(I191,2)="VF","Variation final"))))</f>
        <v>VDO 2021 - Variation draft</v>
      </c>
      <c r="J189" s="42" t="str">
        <f>"VDO "&amp;J188&amp;" - "&amp;IF(LEFT(J191,1)="F","Final",IF(LEFT(J191,1)="D","Draft",IF(LEFT(J191,2)="VD","Variation draft",IF(LEFT(J191,2)="VF","Variation final"))))</f>
        <v>VDO 2021 - Variation final</v>
      </c>
      <c r="K189" s="42" t="str">
        <f>"VDO "&amp;K188&amp;" - "&amp;IF(LEFT(K191,1)="F","Final",IF(LEFT(K191,1)="D","Draft",IF(LEFT(K191,2)="VD","Variation draft",IF(LEFT(K191,2)="VF","Variation final"))))</f>
        <v>VDO 2022 - Draft</v>
      </c>
      <c r="L189" s="42" t="str">
        <f>"VDO "&amp;L188&amp;" - "&amp;IF(LEFT(L191,1)="F","Final",IF(LEFT(L191,1)="D","Draft",IF(LEFT(L191,2)="VD","Variation draft",IF(LEFT(L191,2)="VF","Variation final"))))</f>
        <v>VDO 2022 - Final</v>
      </c>
    </row>
    <row r="190" spans="3:13" ht="15.75" outlineLevel="1" x14ac:dyDescent="0.25">
      <c r="C190" s="30" t="s">
        <v>576</v>
      </c>
    </row>
    <row r="191" spans="3:13" ht="15.75" outlineLevel="1" x14ac:dyDescent="0.25">
      <c r="C191" s="178" t="s">
        <v>53</v>
      </c>
      <c r="D191" s="44" t="s">
        <v>563</v>
      </c>
      <c r="E191" s="44" t="s">
        <v>521</v>
      </c>
      <c r="F191" s="141" t="s">
        <v>99</v>
      </c>
      <c r="G191" s="44" t="s">
        <v>111</v>
      </c>
      <c r="H191" s="44" t="s">
        <v>55</v>
      </c>
      <c r="I191" s="44" t="s">
        <v>395</v>
      </c>
      <c r="J191" s="44" t="s">
        <v>397</v>
      </c>
      <c r="K191" s="44" t="s">
        <v>56</v>
      </c>
      <c r="L191" s="174" t="s">
        <v>57</v>
      </c>
    </row>
    <row r="192" spans="3:13" outlineLevel="1" x14ac:dyDescent="0.25">
      <c r="C192" s="60" t="s">
        <v>130</v>
      </c>
      <c r="D192" s="24" t="s">
        <v>562</v>
      </c>
      <c r="E192" s="24" t="s">
        <v>559</v>
      </c>
      <c r="F192" s="24" t="s">
        <v>100</v>
      </c>
      <c r="G192" s="105" t="s">
        <v>564</v>
      </c>
      <c r="H192" s="64"/>
      <c r="I192" s="64"/>
      <c r="J192" s="64"/>
      <c r="K192" s="130">
        <v>1384988558.2189994</v>
      </c>
      <c r="L192" s="130">
        <v>1390862726.4569998</v>
      </c>
    </row>
    <row r="193" spans="3:12" outlineLevel="1" x14ac:dyDescent="0.25">
      <c r="C193" s="60" t="s">
        <v>130</v>
      </c>
      <c r="D193" s="24" t="s">
        <v>562</v>
      </c>
      <c r="E193" s="24" t="s">
        <v>559</v>
      </c>
      <c r="F193" s="24" t="s">
        <v>101</v>
      </c>
      <c r="G193" s="105" t="s">
        <v>564</v>
      </c>
      <c r="H193" s="64"/>
      <c r="I193" s="64"/>
      <c r="J193" s="64"/>
      <c r="K193" s="130">
        <v>194313986.50000009</v>
      </c>
      <c r="L193" s="130">
        <v>213022007.22900003</v>
      </c>
    </row>
    <row r="194" spans="3:12" outlineLevel="1" x14ac:dyDescent="0.25">
      <c r="C194" s="60" t="s">
        <v>130</v>
      </c>
      <c r="D194" s="24" t="s">
        <v>562</v>
      </c>
      <c r="E194" s="24" t="s">
        <v>560</v>
      </c>
      <c r="F194" s="24" t="s">
        <v>100</v>
      </c>
      <c r="G194" s="105" t="s">
        <v>564</v>
      </c>
      <c r="H194" s="64"/>
      <c r="I194" s="64"/>
      <c r="J194" s="64"/>
      <c r="K194" s="130">
        <v>1297933782.0659995</v>
      </c>
      <c r="L194" s="130">
        <v>1178856385.7869997</v>
      </c>
    </row>
    <row r="195" spans="3:12" outlineLevel="1" x14ac:dyDescent="0.25">
      <c r="C195" s="60" t="s">
        <v>130</v>
      </c>
      <c r="D195" s="24" t="s">
        <v>562</v>
      </c>
      <c r="E195" s="24" t="s">
        <v>560</v>
      </c>
      <c r="F195" s="24" t="s">
        <v>101</v>
      </c>
      <c r="G195" s="105" t="s">
        <v>564</v>
      </c>
      <c r="H195" s="64"/>
      <c r="I195" s="64"/>
      <c r="J195" s="64"/>
      <c r="K195" s="130">
        <v>158824551.69600001</v>
      </c>
      <c r="L195" s="130">
        <v>181159117.31999996</v>
      </c>
    </row>
    <row r="196" spans="3:12" outlineLevel="1" x14ac:dyDescent="0.25">
      <c r="C196" s="60" t="s">
        <v>130</v>
      </c>
      <c r="D196" s="24" t="s">
        <v>558</v>
      </c>
      <c r="E196" s="24" t="s">
        <v>561</v>
      </c>
      <c r="F196" s="24" t="s">
        <v>100</v>
      </c>
      <c r="G196" s="105" t="s">
        <v>564</v>
      </c>
      <c r="H196" s="64"/>
      <c r="I196" s="64"/>
      <c r="J196" s="64"/>
      <c r="K196" s="130">
        <v>2713463</v>
      </c>
      <c r="L196" s="130">
        <v>2713463</v>
      </c>
    </row>
    <row r="197" spans="3:12" outlineLevel="1" x14ac:dyDescent="0.25">
      <c r="C197" s="60" t="s">
        <v>130</v>
      </c>
      <c r="D197" s="24" t="s">
        <v>558</v>
      </c>
      <c r="E197" s="24" t="s">
        <v>561</v>
      </c>
      <c r="F197" s="24" t="s">
        <v>101</v>
      </c>
      <c r="G197" s="105" t="s">
        <v>564</v>
      </c>
      <c r="H197" s="64"/>
      <c r="I197" s="64"/>
      <c r="J197" s="64"/>
      <c r="K197" s="130">
        <v>293515</v>
      </c>
      <c r="L197" s="130">
        <v>293515</v>
      </c>
    </row>
    <row r="198" spans="3:12" ht="15" customHeight="1" outlineLevel="1" x14ac:dyDescent="0.25">
      <c r="C198" s="60" t="s">
        <v>130</v>
      </c>
      <c r="D198" s="194" t="s">
        <v>587</v>
      </c>
      <c r="E198" s="194" t="s">
        <v>87</v>
      </c>
      <c r="F198" s="24" t="s">
        <v>100</v>
      </c>
      <c r="G198" s="195" t="s">
        <v>564</v>
      </c>
      <c r="H198" s="192"/>
      <c r="I198" s="192"/>
      <c r="J198" s="192"/>
      <c r="K198" s="193">
        <v>1020</v>
      </c>
      <c r="L198" s="193">
        <v>1020</v>
      </c>
    </row>
    <row r="199" spans="3:12" ht="15" customHeight="1" outlineLevel="1" x14ac:dyDescent="0.25">
      <c r="C199" s="60" t="s">
        <v>130</v>
      </c>
      <c r="D199" s="194" t="s">
        <v>587</v>
      </c>
      <c r="E199" s="194" t="s">
        <v>87</v>
      </c>
      <c r="F199" s="24" t="s">
        <v>101</v>
      </c>
      <c r="G199" s="195" t="s">
        <v>564</v>
      </c>
      <c r="H199" s="192"/>
      <c r="I199" s="192"/>
      <c r="J199" s="192"/>
      <c r="K199" s="193">
        <v>1020</v>
      </c>
      <c r="L199" s="193">
        <v>1020</v>
      </c>
    </row>
    <row r="200" spans="3:12" ht="15" customHeight="1" outlineLevel="1" x14ac:dyDescent="0.25">
      <c r="C200" s="272" t="s">
        <v>130</v>
      </c>
      <c r="D200" s="194" t="s">
        <v>716</v>
      </c>
      <c r="E200" s="194" t="s">
        <v>717</v>
      </c>
      <c r="F200" s="194" t="s">
        <v>100</v>
      </c>
      <c r="G200" s="195" t="s">
        <v>564</v>
      </c>
      <c r="H200" s="273"/>
      <c r="I200" s="273"/>
      <c r="J200" s="273"/>
      <c r="K200" s="274">
        <v>2682922340.2849989</v>
      </c>
      <c r="L200" s="271">
        <v>2682922340.2849989</v>
      </c>
    </row>
    <row r="201" spans="3:12" ht="15" customHeight="1" outlineLevel="1" x14ac:dyDescent="0.25">
      <c r="C201" s="272" t="s">
        <v>130</v>
      </c>
      <c r="D201" s="194" t="s">
        <v>716</v>
      </c>
      <c r="E201" s="194" t="s">
        <v>718</v>
      </c>
      <c r="F201" s="194" t="s">
        <v>100</v>
      </c>
      <c r="G201" s="195" t="s">
        <v>564</v>
      </c>
      <c r="H201" s="273"/>
      <c r="I201" s="273"/>
      <c r="J201" s="273"/>
      <c r="K201" s="274">
        <v>5276055251.795001</v>
      </c>
      <c r="L201" s="271">
        <v>5276055251.795001</v>
      </c>
    </row>
    <row r="202" spans="3:12" ht="15" customHeight="1" outlineLevel="1" x14ac:dyDescent="0.25">
      <c r="C202" s="272" t="s">
        <v>130</v>
      </c>
      <c r="D202" s="194" t="s">
        <v>716</v>
      </c>
      <c r="E202" s="194" t="s">
        <v>719</v>
      </c>
      <c r="F202" s="194" t="s">
        <v>100</v>
      </c>
      <c r="G202" s="195" t="s">
        <v>564</v>
      </c>
      <c r="H202" s="273"/>
      <c r="I202" s="273"/>
      <c r="J202" s="273"/>
      <c r="K202" s="274">
        <v>11053207689.419996</v>
      </c>
      <c r="L202" s="271">
        <v>11053207689.419996</v>
      </c>
    </row>
    <row r="203" spans="3:12" ht="15" customHeight="1" outlineLevel="1" x14ac:dyDescent="0.25"/>
    <row r="204" spans="3:12" ht="15" customHeight="1" outlineLevel="1" x14ac:dyDescent="0.25"/>
    <row r="205" spans="3:12" ht="15.75" outlineLevel="1" x14ac:dyDescent="0.25">
      <c r="E205" s="41" t="s">
        <v>108</v>
      </c>
      <c r="F205" s="2">
        <v>2021</v>
      </c>
      <c r="G205" s="2">
        <v>2021</v>
      </c>
      <c r="H205" s="2">
        <v>2021</v>
      </c>
      <c r="I205" s="2">
        <v>2022</v>
      </c>
      <c r="J205" s="2">
        <v>2022</v>
      </c>
    </row>
    <row r="206" spans="3:12" ht="15.75" outlineLevel="1" x14ac:dyDescent="0.25">
      <c r="E206" s="41" t="s">
        <v>109</v>
      </c>
      <c r="F206" s="42" t="str">
        <f>"VDO "&amp;F205&amp;" - "&amp;IF(LEFT(F208,1)="F","Final",IF(LEFT(F208,1)="D","Draft",IF(LEFT(F208,2)="VD","Variation draft",IF(LEFT(F208,2)="VF","Variation final"))))</f>
        <v>VDO 2021 - Final</v>
      </c>
      <c r="G206" s="42" t="str">
        <f>"VDO "&amp;G205&amp;" - "&amp;IF(LEFT(G208,1)="F","Final",IF(LEFT(G208,1)="D","Draft",IF(LEFT(G208,2)="VD","Variation draft",IF(LEFT(G208,2)="VF","Variation final"))))</f>
        <v>VDO 2021 - Variation draft</v>
      </c>
      <c r="H206" s="42" t="str">
        <f>"VDO "&amp;H205&amp;" - "&amp;IF(LEFT(H208,1)="F","Final",IF(LEFT(H208,1)="D","Draft",IF(LEFT(H208,2)="VD","Variation draft",IF(LEFT(H208,2)="VF","Variation final"))))</f>
        <v>VDO 2021 - Variation final</v>
      </c>
      <c r="I206" s="42" t="str">
        <f>"VDO "&amp;I205&amp;" - "&amp;IF(LEFT(I208,1)="F","Final",IF(LEFT(I208,1)="D","Draft",IF(LEFT(I208,2)="VD","Variation draft",IF(LEFT(I208,2)="VF","Variation final"))))</f>
        <v>VDO 2022 - Draft</v>
      </c>
      <c r="J206" s="42" t="str">
        <f>"VDO "&amp;J205&amp;" - "&amp;IF(LEFT(J208,1)="F","Final",IF(LEFT(J208,1)="D","Draft",IF(LEFT(J208,2)="VD","Variation draft",IF(LEFT(J208,2)="VF","Variation final"))))</f>
        <v>VDO 2022 - Final</v>
      </c>
    </row>
    <row r="207" spans="3:12" ht="15.75" outlineLevel="1" x14ac:dyDescent="0.25">
      <c r="C207" s="30" t="s">
        <v>577</v>
      </c>
    </row>
    <row r="208" spans="3:12" ht="15.75" outlineLevel="1" x14ac:dyDescent="0.25">
      <c r="C208" s="44" t="s">
        <v>227</v>
      </c>
      <c r="D208" s="141" t="s">
        <v>99</v>
      </c>
      <c r="E208" s="178" t="s">
        <v>111</v>
      </c>
      <c r="F208" s="178" t="s">
        <v>55</v>
      </c>
      <c r="G208" s="178" t="s">
        <v>395</v>
      </c>
      <c r="H208" s="178" t="s">
        <v>397</v>
      </c>
      <c r="I208" s="178" t="s">
        <v>56</v>
      </c>
      <c r="J208" s="181" t="s">
        <v>57</v>
      </c>
    </row>
    <row r="209" spans="3:12" outlineLevel="1" x14ac:dyDescent="0.25">
      <c r="C209" s="24" t="s">
        <v>239</v>
      </c>
      <c r="D209" s="24" t="s">
        <v>100</v>
      </c>
      <c r="E209" s="105" t="s">
        <v>213</v>
      </c>
      <c r="F209" s="179" t="str" cm="1">
        <f t="array" ref="F209">IFERROR(INDEX(Input_Usage[[F-CurrentVDO_Input]:[F-NextVDO_Input]],MATCH(1,(Input_Usage[[Usage type]:[Usage type]]=$C209)*(Input_Usage[[Profile name]:[Profile name]]=$D209&amp;" - medium"),0),MATCH(F$208,Input_Usage[[#Headers],[F-CurrentVDO_Input]:[F-NextVDO_Input]],0))/
INDEX(Input_Usage[[F-CurrentVDO_Input]:[F-NextVDO_Input]],MATCH(1,(Input_Usage[[Usage type]:[Usage type]]="Annual")*(Input_Usage[[Profile name]:[Profile name]]=$D209&amp;" - medium"),0),MATCH(F$208,Input_Usage[[#Headers],[F-CurrentVDO_Input]:[F-NextVDO_Input]],0)),"-")</f>
        <v>-</v>
      </c>
      <c r="G209" s="179" cm="1">
        <f t="array" ref="G209">IFERROR(INDEX(Input_Usage[[F-CurrentVDO_Input]:[F-NextVDO_Input]],MATCH(1,(Input_Usage[[Usage type]:[Usage type]]=$C209)*(Input_Usage[[Profile name]:[Profile name]]=$D209&amp;" - medium"),0),MATCH(G$208,Input_Usage[[#Headers],[F-CurrentVDO_Input]:[F-NextVDO_Input]],0))/
INDEX(Input_Usage[[F-CurrentVDO_Input]:[F-NextVDO_Input]],MATCH(1,(Input_Usage[[Usage type]:[Usage type]]="Annual")*(Input_Usage[[Profile name]:[Profile name]]=$D209&amp;" - medium"),0),MATCH(G$208,Input_Usage[[#Headers],[F-CurrentVDO_Input]:[F-NextVDO_Input]],0)),"-")</f>
        <v>0.33</v>
      </c>
      <c r="H209" s="179" cm="1">
        <f t="array" ref="H209">IFERROR(INDEX(Input_Usage[[F-CurrentVDO_Input]:[F-NextVDO_Input]],MATCH(1,(Input_Usage[[Usage type]:[Usage type]]=$C209)*(Input_Usage[[Profile name]:[Profile name]]=$D209&amp;" - medium"),0),MATCH(H$208,Input_Usage[[#Headers],[F-CurrentVDO_Input]:[F-NextVDO_Input]],0))/
INDEX(Input_Usage[[F-CurrentVDO_Input]:[F-NextVDO_Input]],MATCH(1,(Input_Usage[[Usage type]:[Usage type]]="Annual")*(Input_Usage[[Profile name]:[Profile name]]=$D209&amp;" - medium"),0),MATCH(H$208,Input_Usage[[#Headers],[F-CurrentVDO_Input]:[F-NextVDO_Input]],0)),"-")</f>
        <v>0.33</v>
      </c>
      <c r="I209" s="179" cm="1">
        <f t="array" ref="I209">IFERROR(INDEX(Input_Usage[[F-CurrentVDO_Input]:[F-NextVDO_Input]],MATCH(1,(Input_Usage[[Usage type]:[Usage type]]=$C209)*(Input_Usage[[Profile name]:[Profile name]]=$D209&amp;" - medium"),0),MATCH(I$208,Input_Usage[[#Headers],[F-CurrentVDO_Input]:[F-NextVDO_Input]],0))/
INDEX(Input_Usage[[F-CurrentVDO_Input]:[F-NextVDO_Input]],MATCH(1,(Input_Usage[[Usage type]:[Usage type]]="Annual")*(Input_Usage[[Profile name]:[Profile name]]=$D209&amp;" - medium"),0),MATCH(I$208,Input_Usage[[#Headers],[F-CurrentVDO_Input]:[F-NextVDO_Input]],0)),"-")</f>
        <v>0.33</v>
      </c>
      <c r="J209" s="180" cm="1">
        <f t="array" ref="J209">IFERROR(INDEX(Input_Usage[[F-CurrentVDO_Input]:[F-NextVDO_Input]],MATCH(1,(Input_Usage[[Usage type]:[Usage type]]=$C209)*(Input_Usage[[Profile name]:[Profile name]]=$D209&amp;" - medium"),0),MATCH(J$208,Input_Usage[[#Headers],[F-CurrentVDO_Input]:[F-NextVDO_Input]],0))/
INDEX(Input_Usage[[F-CurrentVDO_Input]:[F-NextVDO_Input]],MATCH(1,(Input_Usage[[Usage type]:[Usage type]]="Annual")*(Input_Usage[[Profile name]:[Profile name]]=$D209&amp;" - medium"),0),MATCH(J$208,Input_Usage[[#Headers],[F-CurrentVDO_Input]:[F-NextVDO_Input]],0)),"-")</f>
        <v>0.33</v>
      </c>
      <c r="L209" s="137"/>
    </row>
    <row r="210" spans="3:12" outlineLevel="1" x14ac:dyDescent="0.25">
      <c r="C210" s="24" t="s">
        <v>538</v>
      </c>
      <c r="D210" s="24" t="s">
        <v>100</v>
      </c>
      <c r="E210" s="105" t="s">
        <v>213</v>
      </c>
      <c r="F210" s="179" t="str" cm="1">
        <f t="array" ref="F210">IFERROR(INDEX(Input_Usage[[F-CurrentVDO_Input]:[F-NextVDO_Input]],MATCH(1,(Input_Usage[[Usage type]:[Usage type]]=$C210)*(Input_Usage[[Profile name]:[Profile name]]=$D210&amp;" - medium"),0),MATCH(F$208,Input_Usage[[#Headers],[F-CurrentVDO_Input]:[F-NextVDO_Input]],0))/
INDEX(Input_Usage[[F-CurrentVDO_Input]:[F-NextVDO_Input]],MATCH(1,(Input_Usage[[Usage type]:[Usage type]]="Annual")*(Input_Usage[[Profile name]:[Profile name]]=$D210&amp;" - medium"),0),MATCH(F$208,Input_Usage[[#Headers],[F-CurrentVDO_Input]:[F-NextVDO_Input]],0)),"-")</f>
        <v>-</v>
      </c>
      <c r="G210" s="179" cm="1">
        <f t="array" ref="G210">IFERROR(INDEX(Input_Usage[[F-CurrentVDO_Input]:[F-NextVDO_Input]],MATCH(1,(Input_Usage[[Usage type]:[Usage type]]=$C210)*(Input_Usage[[Profile name]:[Profile name]]=$D210&amp;" - medium"),0),MATCH(G$208,Input_Usage[[#Headers],[F-CurrentVDO_Input]:[F-NextVDO_Input]],0))/
INDEX(Input_Usage[[F-CurrentVDO_Input]:[F-NextVDO_Input]],MATCH(1,(Input_Usage[[Usage type]:[Usage type]]="Annual")*(Input_Usage[[Profile name]:[Profile name]]=$D210&amp;" - medium"),0),MATCH(G$208,Input_Usage[[#Headers],[F-CurrentVDO_Input]:[F-NextVDO_Input]],0)),"-")</f>
        <v>0.67</v>
      </c>
      <c r="H210" s="179" cm="1">
        <f t="array" ref="H210">IFERROR(INDEX(Input_Usage[[F-CurrentVDO_Input]:[F-NextVDO_Input]],MATCH(1,(Input_Usage[[Usage type]:[Usage type]]=$C210)*(Input_Usage[[Profile name]:[Profile name]]=$D210&amp;" - medium"),0),MATCH(H$208,Input_Usage[[#Headers],[F-CurrentVDO_Input]:[F-NextVDO_Input]],0))/
INDEX(Input_Usage[[F-CurrentVDO_Input]:[F-NextVDO_Input]],MATCH(1,(Input_Usage[[Usage type]:[Usage type]]="Annual")*(Input_Usage[[Profile name]:[Profile name]]=$D210&amp;" - medium"),0),MATCH(H$208,Input_Usage[[#Headers],[F-CurrentVDO_Input]:[F-NextVDO_Input]],0)),"-")</f>
        <v>0.67</v>
      </c>
      <c r="I210" s="179" cm="1">
        <f t="array" ref="I210">IFERROR(INDEX(Input_Usage[[F-CurrentVDO_Input]:[F-NextVDO_Input]],MATCH(1,(Input_Usage[[Usage type]:[Usage type]]=$C210)*(Input_Usage[[Profile name]:[Profile name]]=$D210&amp;" - medium"),0),MATCH(I$208,Input_Usage[[#Headers],[F-CurrentVDO_Input]:[F-NextVDO_Input]],0))/
INDEX(Input_Usage[[F-CurrentVDO_Input]:[F-NextVDO_Input]],MATCH(1,(Input_Usage[[Usage type]:[Usage type]]="Annual")*(Input_Usage[[Profile name]:[Profile name]]=$D210&amp;" - medium"),0),MATCH(I$208,Input_Usage[[#Headers],[F-CurrentVDO_Input]:[F-NextVDO_Input]],0)),"-")</f>
        <v>0.67</v>
      </c>
      <c r="J210" s="180" cm="1">
        <f t="array" ref="J210">IFERROR(INDEX(Input_Usage[[F-CurrentVDO_Input]:[F-NextVDO_Input]],MATCH(1,(Input_Usage[[Usage type]:[Usage type]]=$C210)*(Input_Usage[[Profile name]:[Profile name]]=$D210&amp;" - medium"),0),MATCH(J$208,Input_Usage[[#Headers],[F-CurrentVDO_Input]:[F-NextVDO_Input]],0))/
INDEX(Input_Usage[[F-CurrentVDO_Input]:[F-NextVDO_Input]],MATCH(1,(Input_Usage[[Usage type]:[Usage type]]="Annual")*(Input_Usage[[Profile name]:[Profile name]]=$D210&amp;" - medium"),0),MATCH(J$208,Input_Usage[[#Headers],[F-CurrentVDO_Input]:[F-NextVDO_Input]],0)),"-")</f>
        <v>0.67</v>
      </c>
      <c r="L210" s="137"/>
    </row>
    <row r="211" spans="3:12" outlineLevel="1" x14ac:dyDescent="0.25">
      <c r="C211" s="24" t="s">
        <v>230</v>
      </c>
      <c r="D211" s="24" t="s">
        <v>100</v>
      </c>
      <c r="E211" s="105" t="s">
        <v>213</v>
      </c>
      <c r="F211" s="179" cm="1">
        <f t="array" ref="F211">IFERROR(INDEX(Input_Usage[[F-CurrentVDO_Input]:[F-NextVDO_Input]],MATCH(1,(Input_Usage[[Usage type]:[Usage type]]=$C211)*(Input_Usage[[Profile name]:[Profile name]]=$D211&amp;" - medium"),0),MATCH(F$208,Input_Usage[[#Headers],[F-CurrentVDO_Input]:[F-NextVDO_Input]],0))/
INDEX(Input_Usage[[F-CurrentVDO_Input]:[F-NextVDO_Input]],MATCH(1,(Input_Usage[[Usage type]:[Usage type]]="Annual")*(Input_Usage[[Profile name]:[Profile name]]=$D211&amp;" - medium"),0),MATCH(F$208,Input_Usage[[#Headers],[F-CurrentVDO_Input]:[F-NextVDO_Input]],0)),"-")</f>
        <v>1</v>
      </c>
      <c r="G211" s="179" cm="1">
        <f t="array" ref="G211">IFERROR(INDEX(Input_Usage[[F-CurrentVDO_Input]:[F-NextVDO_Input]],MATCH(1,(Input_Usage[[Usage type]:[Usage type]]=$C211)*(Input_Usage[[Profile name]:[Profile name]]=$D211&amp;" - medium"),0),MATCH(G$208,Input_Usage[[#Headers],[F-CurrentVDO_Input]:[F-NextVDO_Input]],0))/
INDEX(Input_Usage[[F-CurrentVDO_Input]:[F-NextVDO_Input]],MATCH(1,(Input_Usage[[Usage type]:[Usage type]]="Annual")*(Input_Usage[[Profile name]:[Profile name]]=$D211&amp;" - medium"),0),MATCH(G$208,Input_Usage[[#Headers],[F-CurrentVDO_Input]:[F-NextVDO_Input]],0)),"-")</f>
        <v>1</v>
      </c>
      <c r="H211" s="179" cm="1">
        <f t="array" ref="H211">IFERROR(INDEX(Input_Usage[[F-CurrentVDO_Input]:[F-NextVDO_Input]],MATCH(1,(Input_Usage[[Usage type]:[Usage type]]=$C211)*(Input_Usage[[Profile name]:[Profile name]]=$D211&amp;" - medium"),0),MATCH(H$208,Input_Usage[[#Headers],[F-CurrentVDO_Input]:[F-NextVDO_Input]],0))/
INDEX(Input_Usage[[F-CurrentVDO_Input]:[F-NextVDO_Input]],MATCH(1,(Input_Usage[[Usage type]:[Usage type]]="Annual")*(Input_Usage[[Profile name]:[Profile name]]=$D211&amp;" - medium"),0),MATCH(H$208,Input_Usage[[#Headers],[F-CurrentVDO_Input]:[F-NextVDO_Input]],0)),"-")</f>
        <v>1</v>
      </c>
      <c r="I211" s="179" cm="1">
        <f t="array" ref="I211">IFERROR(INDEX(Input_Usage[[F-CurrentVDO_Input]:[F-NextVDO_Input]],MATCH(1,(Input_Usage[[Usage type]:[Usage type]]=$C211)*(Input_Usage[[Profile name]:[Profile name]]=$D211&amp;" - medium"),0),MATCH(I$208,Input_Usage[[#Headers],[F-CurrentVDO_Input]:[F-NextVDO_Input]],0))/
INDEX(Input_Usage[[F-CurrentVDO_Input]:[F-NextVDO_Input]],MATCH(1,(Input_Usage[[Usage type]:[Usage type]]="Annual")*(Input_Usage[[Profile name]:[Profile name]]=$D211&amp;" - medium"),0),MATCH(I$208,Input_Usage[[#Headers],[F-CurrentVDO_Input]:[F-NextVDO_Input]],0)),"-")</f>
        <v>1</v>
      </c>
      <c r="J211" s="180" cm="1">
        <f t="array" ref="J211">IFERROR(INDEX(Input_Usage[[F-CurrentVDO_Input]:[F-NextVDO_Input]],MATCH(1,(Input_Usage[[Usage type]:[Usage type]]=$C211)*(Input_Usage[[Profile name]:[Profile name]]=$D211&amp;" - medium"),0),MATCH(J$208,Input_Usage[[#Headers],[F-CurrentVDO_Input]:[F-NextVDO_Input]],0))/
INDEX(Input_Usage[[F-CurrentVDO_Input]:[F-NextVDO_Input]],MATCH(1,(Input_Usage[[Usage type]:[Usage type]]="Annual")*(Input_Usage[[Profile name]:[Profile name]]=$D211&amp;" - medium"),0),MATCH(J$208,Input_Usage[[#Headers],[F-CurrentVDO_Input]:[F-NextVDO_Input]],0)),"-")</f>
        <v>1</v>
      </c>
    </row>
    <row r="212" spans="3:12" outlineLevel="1" x14ac:dyDescent="0.25">
      <c r="C212" s="24" t="s">
        <v>237</v>
      </c>
      <c r="D212" s="24" t="s">
        <v>100</v>
      </c>
      <c r="E212" s="105" t="s">
        <v>213</v>
      </c>
      <c r="F212" s="179" cm="1">
        <f t="array" ref="F212">IFERROR(INDEX(Input_Usage[[F-CurrentVDO_Input]:[F-NextVDO_Input]],MATCH(1,(Input_Usage[[Usage type]:[Usage type]]=$C212)*(Input_Usage[[Profile name]:[Profile name]]=$D212&amp;" - medium"),0),MATCH(F$208,Input_Usage[[#Headers],[F-CurrentVDO_Input]:[F-NextVDO_Input]],0))/
INDEX(Input_Usage[[F-CurrentVDO_Input]:[F-NextVDO_Input]],MATCH(1,(Input_Usage[[Usage type]:[Usage type]]="Annual")*(Input_Usage[[Profile name]:[Profile name]]=$D212&amp;" - medium"),0),MATCH(F$208,Input_Usage[[#Headers],[F-CurrentVDO_Input]:[F-NextVDO_Input]],0)),"-")</f>
        <v>0</v>
      </c>
      <c r="G212" s="179" cm="1">
        <f t="array" ref="G212">IFERROR(INDEX(Input_Usage[[F-CurrentVDO_Input]:[F-NextVDO_Input]],MATCH(1,(Input_Usage[[Usage type]:[Usage type]]=$C212)*(Input_Usage[[Profile name]:[Profile name]]=$D212&amp;" - medium"),0),MATCH(G$208,Input_Usage[[#Headers],[F-CurrentVDO_Input]:[F-NextVDO_Input]],0))/
INDEX(Input_Usage[[F-CurrentVDO_Input]:[F-NextVDO_Input]],MATCH(1,(Input_Usage[[Usage type]:[Usage type]]="Annual")*(Input_Usage[[Profile name]:[Profile name]]=$D212&amp;" - medium"),0),MATCH(G$208,Input_Usage[[#Headers],[F-CurrentVDO_Input]:[F-NextVDO_Input]],0)),"-")</f>
        <v>0</v>
      </c>
      <c r="H212" s="179" cm="1">
        <f t="array" ref="H212">IFERROR(INDEX(Input_Usage[[F-CurrentVDO_Input]:[F-NextVDO_Input]],MATCH(1,(Input_Usage[[Usage type]:[Usage type]]=$C212)*(Input_Usage[[Profile name]:[Profile name]]=$D212&amp;" - medium"),0),MATCH(H$208,Input_Usage[[#Headers],[F-CurrentVDO_Input]:[F-NextVDO_Input]],0))/
INDEX(Input_Usage[[F-CurrentVDO_Input]:[F-NextVDO_Input]],MATCH(1,(Input_Usage[[Usage type]:[Usage type]]="Annual")*(Input_Usage[[Profile name]:[Profile name]]=$D212&amp;" - medium"),0),MATCH(H$208,Input_Usage[[#Headers],[F-CurrentVDO_Input]:[F-NextVDO_Input]],0)),"-")</f>
        <v>0</v>
      </c>
      <c r="I212" s="179" cm="1">
        <f t="array" ref="I212">IFERROR(INDEX(Input_Usage[[F-CurrentVDO_Input]:[F-NextVDO_Input]],MATCH(1,(Input_Usage[[Usage type]:[Usage type]]=$C212)*(Input_Usage[[Profile name]:[Profile name]]=$D212&amp;" - medium"),0),MATCH(I$208,Input_Usage[[#Headers],[F-CurrentVDO_Input]:[F-NextVDO_Input]],0))/
INDEX(Input_Usage[[F-CurrentVDO_Input]:[F-NextVDO_Input]],MATCH(1,(Input_Usage[[Usage type]:[Usage type]]="Annual")*(Input_Usage[[Profile name]:[Profile name]]=$D212&amp;" - medium"),0),MATCH(I$208,Input_Usage[[#Headers],[F-CurrentVDO_Input]:[F-NextVDO_Input]],0)),"-")</f>
        <v>0</v>
      </c>
      <c r="J212" s="180" cm="1">
        <f t="array" ref="J212">IFERROR(INDEX(Input_Usage[[F-CurrentVDO_Input]:[F-NextVDO_Input]],MATCH(1,(Input_Usage[[Usage type]:[Usage type]]=$C212)*(Input_Usage[[Profile name]:[Profile name]]=$D212&amp;" - medium"),0),MATCH(J$208,Input_Usage[[#Headers],[F-CurrentVDO_Input]:[F-NextVDO_Input]],0))/
INDEX(Input_Usage[[F-CurrentVDO_Input]:[F-NextVDO_Input]],MATCH(1,(Input_Usage[[Usage type]:[Usage type]]="Annual")*(Input_Usage[[Profile name]:[Profile name]]=$D212&amp;" - medium"),0),MATCH(J$208,Input_Usage[[#Headers],[F-CurrentVDO_Input]:[F-NextVDO_Input]],0)),"-")</f>
        <v>0</v>
      </c>
    </row>
    <row r="213" spans="3:12" outlineLevel="1" x14ac:dyDescent="0.25">
      <c r="C213" s="24" t="s">
        <v>508</v>
      </c>
      <c r="D213" s="24" t="s">
        <v>100</v>
      </c>
      <c r="E213" s="105" t="s">
        <v>213</v>
      </c>
      <c r="F213" s="179" cm="1">
        <f t="array" ref="F213">IFERROR(INDEX(Input_Usage[[F-CurrentVDO_Input]:[F-NextVDO_Input]],MATCH(1,(Input_Usage[[Usage type]:[Usage type]]=$C213)*(Input_Usage[[Profile name]:[Profile name]]=$D213&amp;" - medium"),0),MATCH(F$208,Input_Usage[[#Headers],[F-CurrentVDO_Input]:[F-NextVDO_Input]],0))/
INDEX(Input_Usage[[F-CurrentVDO_Input]:[F-NextVDO_Input]],MATCH(1,(Input_Usage[[Usage type]:[Usage type]]="Annual")*(Input_Usage[[Profile name]:[Profile name]]=$D213&amp;" - medium"),0),MATCH(F$208,Input_Usage[[#Headers],[F-CurrentVDO_Input]:[F-NextVDO_Input]],0)),"-")</f>
        <v>1</v>
      </c>
      <c r="G213" s="179" cm="1">
        <f t="array" ref="G213">IFERROR(INDEX(Input_Usage[[F-CurrentVDO_Input]:[F-NextVDO_Input]],MATCH(1,(Input_Usage[[Usage type]:[Usage type]]=$C213)*(Input_Usage[[Profile name]:[Profile name]]=$D213&amp;" - medium"),0),MATCH(G$208,Input_Usage[[#Headers],[F-CurrentVDO_Input]:[F-NextVDO_Input]],0))/
INDEX(Input_Usage[[F-CurrentVDO_Input]:[F-NextVDO_Input]],MATCH(1,(Input_Usage[[Usage type]:[Usage type]]="Annual")*(Input_Usage[[Profile name]:[Profile name]]=$D213&amp;" - medium"),0),MATCH(G$208,Input_Usage[[#Headers],[F-CurrentVDO_Input]:[F-NextVDO_Input]],0)),"-")</f>
        <v>1</v>
      </c>
      <c r="H213" s="179" cm="1">
        <f t="array" ref="H213">IFERROR(INDEX(Input_Usage[[F-CurrentVDO_Input]:[F-NextVDO_Input]],MATCH(1,(Input_Usage[[Usage type]:[Usage type]]=$C213)*(Input_Usage[[Profile name]:[Profile name]]=$D213&amp;" - medium"),0),MATCH(H$208,Input_Usage[[#Headers],[F-CurrentVDO_Input]:[F-NextVDO_Input]],0))/
INDEX(Input_Usage[[F-CurrentVDO_Input]:[F-NextVDO_Input]],MATCH(1,(Input_Usage[[Usage type]:[Usage type]]="Annual")*(Input_Usage[[Profile name]:[Profile name]]=$D213&amp;" - medium"),0),MATCH(H$208,Input_Usage[[#Headers],[F-CurrentVDO_Input]:[F-NextVDO_Input]],0)),"-")</f>
        <v>1</v>
      </c>
      <c r="I213" s="179" cm="1">
        <f t="array" ref="I213">IFERROR(INDEX(Input_Usage[[F-CurrentVDO_Input]:[F-NextVDO_Input]],MATCH(1,(Input_Usage[[Usage type]:[Usage type]]=$C213)*(Input_Usage[[Profile name]:[Profile name]]=$D213&amp;" - medium"),0),MATCH(I$208,Input_Usage[[#Headers],[F-CurrentVDO_Input]:[F-NextVDO_Input]],0))/
INDEX(Input_Usage[[F-CurrentVDO_Input]:[F-NextVDO_Input]],MATCH(1,(Input_Usage[[Usage type]:[Usage type]]="Annual")*(Input_Usage[[Profile name]:[Profile name]]=$D213&amp;" - medium"),0),MATCH(I$208,Input_Usage[[#Headers],[F-CurrentVDO_Input]:[F-NextVDO_Input]],0)),"-")</f>
        <v>1</v>
      </c>
      <c r="J213" s="180" cm="1">
        <f t="array" ref="J213">IFERROR(INDEX(Input_Usage[[F-CurrentVDO_Input]:[F-NextVDO_Input]],MATCH(1,(Input_Usage[[Usage type]:[Usage type]]=$C213)*(Input_Usage[[Profile name]:[Profile name]]=$D213&amp;" - medium"),0),MATCH(J$208,Input_Usage[[#Headers],[F-CurrentVDO_Input]:[F-NextVDO_Input]],0))/
INDEX(Input_Usage[[F-CurrentVDO_Input]:[F-NextVDO_Input]],MATCH(1,(Input_Usage[[Usage type]:[Usage type]]="Annual")*(Input_Usage[[Profile name]:[Profile name]]=$D213&amp;" - medium"),0),MATCH(J$208,Input_Usage[[#Headers],[F-CurrentVDO_Input]:[F-NextVDO_Input]],0)),"-")</f>
        <v>1</v>
      </c>
    </row>
    <row r="214" spans="3:12" outlineLevel="1" x14ac:dyDescent="0.25">
      <c r="C214" s="24" t="s">
        <v>239</v>
      </c>
      <c r="D214" s="24" t="s">
        <v>101</v>
      </c>
      <c r="E214" s="105" t="s">
        <v>213</v>
      </c>
      <c r="F214" s="179" t="str" cm="1">
        <f t="array" ref="F214">IFERROR(INDEX(Input_Usage[[F-CurrentVDO_Input]:[F-NextVDO_Input]],MATCH(1,(Input_Usage[[Usage type]:[Usage type]]=$C214)*(Input_Usage[[Profile name]:[Profile name]]=$D214&amp;" - medium"),0),MATCH(F$208,Input_Usage[[#Headers],[F-CurrentVDO_Input]:[F-NextVDO_Input]],0))/
INDEX(Input_Usage[[F-CurrentVDO_Input]:[F-NextVDO_Input]],MATCH(1,(Input_Usage[[Usage type]:[Usage type]]="Annual")*(Input_Usage[[Profile name]:[Profile name]]=$D214&amp;" - medium"),0),MATCH(F$208,Input_Usage[[#Headers],[F-CurrentVDO_Input]:[F-NextVDO_Input]],0)),"-")</f>
        <v>-</v>
      </c>
      <c r="G214" s="179" cm="1">
        <f t="array" ref="G214">IFERROR(INDEX(Input_Usage[[F-CurrentVDO_Input]:[F-NextVDO_Input]],MATCH(1,(Input_Usage[[Usage type]:[Usage type]]=$C214)*(Input_Usage[[Profile name]:[Profile name]]=$D214&amp;" - medium"),0),MATCH(G$208,Input_Usage[[#Headers],[F-CurrentVDO_Input]:[F-NextVDO_Input]],0))/
INDEX(Input_Usage[[F-CurrentVDO_Input]:[F-NextVDO_Input]],MATCH(1,(Input_Usage[[Usage type]:[Usage type]]="Annual")*(Input_Usage[[Profile name]:[Profile name]]=$D214&amp;" - medium"),0),MATCH(G$208,Input_Usage[[#Headers],[F-CurrentVDO_Input]:[F-NextVDO_Input]],0)),"-")</f>
        <v>0.49</v>
      </c>
      <c r="H214" s="179" cm="1">
        <f t="array" ref="H214">IFERROR(INDEX(Input_Usage[[F-CurrentVDO_Input]:[F-NextVDO_Input]],MATCH(1,(Input_Usage[[Usage type]:[Usage type]]=$C214)*(Input_Usage[[Profile name]:[Profile name]]=$D214&amp;" - medium"),0),MATCH(H$208,Input_Usage[[#Headers],[F-CurrentVDO_Input]:[F-NextVDO_Input]],0))/
INDEX(Input_Usage[[F-CurrentVDO_Input]:[F-NextVDO_Input]],MATCH(1,(Input_Usage[[Usage type]:[Usage type]]="Annual")*(Input_Usage[[Profile name]:[Profile name]]=$D214&amp;" - medium"),0),MATCH(H$208,Input_Usage[[#Headers],[F-CurrentVDO_Input]:[F-NextVDO_Input]],0)),"-")</f>
        <v>0.49</v>
      </c>
      <c r="I214" s="179" cm="1">
        <f t="array" ref="I214">IFERROR(INDEX(Input_Usage[[F-CurrentVDO_Input]:[F-NextVDO_Input]],MATCH(1,(Input_Usage[[Usage type]:[Usage type]]=$C214)*(Input_Usage[[Profile name]:[Profile name]]=$D214&amp;" - medium"),0),MATCH(I$208,Input_Usage[[#Headers],[F-CurrentVDO_Input]:[F-NextVDO_Input]],0))/
INDEX(Input_Usage[[F-CurrentVDO_Input]:[F-NextVDO_Input]],MATCH(1,(Input_Usage[[Usage type]:[Usage type]]="Annual")*(Input_Usage[[Profile name]:[Profile name]]=$D214&amp;" - medium"),0),MATCH(I$208,Input_Usage[[#Headers],[F-CurrentVDO_Input]:[F-NextVDO_Input]],0)),"-")</f>
        <v>0.49</v>
      </c>
      <c r="J214" s="180" cm="1">
        <f t="array" ref="J214">IFERROR(INDEX(Input_Usage[[F-CurrentVDO_Input]:[F-NextVDO_Input]],MATCH(1,(Input_Usage[[Usage type]:[Usage type]]=$C214)*(Input_Usage[[Profile name]:[Profile name]]=$D214&amp;" - medium"),0),MATCH(J$208,Input_Usage[[#Headers],[F-CurrentVDO_Input]:[F-NextVDO_Input]],0))/
INDEX(Input_Usage[[F-CurrentVDO_Input]:[F-NextVDO_Input]],MATCH(1,(Input_Usage[[Usage type]:[Usage type]]="Annual")*(Input_Usage[[Profile name]:[Profile name]]=$D214&amp;" - medium"),0),MATCH(J$208,Input_Usage[[#Headers],[F-CurrentVDO_Input]:[F-NextVDO_Input]],0)),"-")</f>
        <v>0.49</v>
      </c>
    </row>
    <row r="215" spans="3:12" outlineLevel="1" x14ac:dyDescent="0.25">
      <c r="C215" s="24" t="s">
        <v>538</v>
      </c>
      <c r="D215" s="24" t="s">
        <v>101</v>
      </c>
      <c r="E215" s="105" t="s">
        <v>213</v>
      </c>
      <c r="F215" s="179" t="str" cm="1">
        <f t="array" ref="F215">IFERROR(INDEX(Input_Usage[[F-CurrentVDO_Input]:[F-NextVDO_Input]],MATCH(1,(Input_Usage[[Usage type]:[Usage type]]=$C215)*(Input_Usage[[Profile name]:[Profile name]]=$D215&amp;" - medium"),0),MATCH(F$208,Input_Usage[[#Headers],[F-CurrentVDO_Input]:[F-NextVDO_Input]],0))/
INDEX(Input_Usage[[F-CurrentVDO_Input]:[F-NextVDO_Input]],MATCH(1,(Input_Usage[[Usage type]:[Usage type]]="Annual")*(Input_Usage[[Profile name]:[Profile name]]=$D215&amp;" - medium"),0),MATCH(F$208,Input_Usage[[#Headers],[F-CurrentVDO_Input]:[F-NextVDO_Input]],0)),"-")</f>
        <v>-</v>
      </c>
      <c r="G215" s="179" cm="1">
        <f t="array" ref="G215">IFERROR(INDEX(Input_Usage[[F-CurrentVDO_Input]:[F-NextVDO_Input]],MATCH(1,(Input_Usage[[Usage type]:[Usage type]]=$C215)*(Input_Usage[[Profile name]:[Profile name]]=$D215&amp;" - medium"),0),MATCH(G$208,Input_Usage[[#Headers],[F-CurrentVDO_Input]:[F-NextVDO_Input]],0))/
INDEX(Input_Usage[[F-CurrentVDO_Input]:[F-NextVDO_Input]],MATCH(1,(Input_Usage[[Usage type]:[Usage type]]="Annual")*(Input_Usage[[Profile name]:[Profile name]]=$D215&amp;" - medium"),0),MATCH(G$208,Input_Usage[[#Headers],[F-CurrentVDO_Input]:[F-NextVDO_Input]],0)),"-")</f>
        <v>0.51</v>
      </c>
      <c r="H215" s="179" cm="1">
        <f t="array" ref="H215">IFERROR(INDEX(Input_Usage[[F-CurrentVDO_Input]:[F-NextVDO_Input]],MATCH(1,(Input_Usage[[Usage type]:[Usage type]]=$C215)*(Input_Usage[[Profile name]:[Profile name]]=$D215&amp;" - medium"),0),MATCH(H$208,Input_Usage[[#Headers],[F-CurrentVDO_Input]:[F-NextVDO_Input]],0))/
INDEX(Input_Usage[[F-CurrentVDO_Input]:[F-NextVDO_Input]],MATCH(1,(Input_Usage[[Usage type]:[Usage type]]="Annual")*(Input_Usage[[Profile name]:[Profile name]]=$D215&amp;" - medium"),0),MATCH(H$208,Input_Usage[[#Headers],[F-CurrentVDO_Input]:[F-NextVDO_Input]],0)),"-")</f>
        <v>0.51</v>
      </c>
      <c r="I215" s="179" cm="1">
        <f t="array" ref="I215">IFERROR(INDEX(Input_Usage[[F-CurrentVDO_Input]:[F-NextVDO_Input]],MATCH(1,(Input_Usage[[Usage type]:[Usage type]]=$C215)*(Input_Usage[[Profile name]:[Profile name]]=$D215&amp;" - medium"),0),MATCH(I$208,Input_Usage[[#Headers],[F-CurrentVDO_Input]:[F-NextVDO_Input]],0))/
INDEX(Input_Usage[[F-CurrentVDO_Input]:[F-NextVDO_Input]],MATCH(1,(Input_Usage[[Usage type]:[Usage type]]="Annual")*(Input_Usage[[Profile name]:[Profile name]]=$D215&amp;" - medium"),0),MATCH(I$208,Input_Usage[[#Headers],[F-CurrentVDO_Input]:[F-NextVDO_Input]],0)),"-")</f>
        <v>0.51</v>
      </c>
      <c r="J215" s="180" cm="1">
        <f t="array" ref="J215">IFERROR(INDEX(Input_Usage[[F-CurrentVDO_Input]:[F-NextVDO_Input]],MATCH(1,(Input_Usage[[Usage type]:[Usage type]]=$C215)*(Input_Usage[[Profile name]:[Profile name]]=$D215&amp;" - medium"),0),MATCH(J$208,Input_Usage[[#Headers],[F-CurrentVDO_Input]:[F-NextVDO_Input]],0))/
INDEX(Input_Usage[[F-CurrentVDO_Input]:[F-NextVDO_Input]],MATCH(1,(Input_Usage[[Usage type]:[Usage type]]="Annual")*(Input_Usage[[Profile name]:[Profile name]]=$D215&amp;" - medium"),0),MATCH(J$208,Input_Usage[[#Headers],[F-CurrentVDO_Input]:[F-NextVDO_Input]],0)),"-")</f>
        <v>0.51</v>
      </c>
    </row>
    <row r="216" spans="3:12" outlineLevel="1" x14ac:dyDescent="0.25">
      <c r="C216" s="24" t="s">
        <v>230</v>
      </c>
      <c r="D216" s="24" t="s">
        <v>101</v>
      </c>
      <c r="E216" s="105" t="s">
        <v>213</v>
      </c>
      <c r="F216" s="179" cm="1">
        <f t="array" ref="F216">IFERROR(INDEX(Input_Usage[[F-CurrentVDO_Input]:[F-NextVDO_Input]],MATCH(1,(Input_Usage[[Usage type]:[Usage type]]=$C216)*(Input_Usage[[Profile name]:[Profile name]]=$D216&amp;" - medium"),0),MATCH(F$208,Input_Usage[[#Headers],[F-CurrentVDO_Input]:[F-NextVDO_Input]],0))/
INDEX(Input_Usage[[F-CurrentVDO_Input]:[F-NextVDO_Input]],MATCH(1,(Input_Usage[[Usage type]:[Usage type]]="Annual")*(Input_Usage[[Profile name]:[Profile name]]=$D216&amp;" - medium"),0),MATCH(F$208,Input_Usage[[#Headers],[F-CurrentVDO_Input]:[F-NextVDO_Input]],0)),"-")</f>
        <v>0.20399999999999999</v>
      </c>
      <c r="G216" s="179" cm="1">
        <f t="array" ref="G216">IFERROR(INDEX(Input_Usage[[F-CurrentVDO_Input]:[F-NextVDO_Input]],MATCH(1,(Input_Usage[[Usage type]:[Usage type]]=$C216)*(Input_Usage[[Profile name]:[Profile name]]=$D216&amp;" - medium"),0),MATCH(G$208,Input_Usage[[#Headers],[F-CurrentVDO_Input]:[F-NextVDO_Input]],0))/
INDEX(Input_Usage[[F-CurrentVDO_Input]:[F-NextVDO_Input]],MATCH(1,(Input_Usage[[Usage type]:[Usage type]]="Annual")*(Input_Usage[[Profile name]:[Profile name]]=$D216&amp;" - medium"),0),MATCH(G$208,Input_Usage[[#Headers],[F-CurrentVDO_Input]:[F-NextVDO_Input]],0)),"-")</f>
        <v>0.20399999999999999</v>
      </c>
      <c r="H216" s="179" cm="1">
        <f t="array" ref="H216">IFERROR(INDEX(Input_Usage[[F-CurrentVDO_Input]:[F-NextVDO_Input]],MATCH(1,(Input_Usage[[Usage type]:[Usage type]]=$C216)*(Input_Usage[[Profile name]:[Profile name]]=$D216&amp;" - medium"),0),MATCH(H$208,Input_Usage[[#Headers],[F-CurrentVDO_Input]:[F-NextVDO_Input]],0))/
INDEX(Input_Usage[[F-CurrentVDO_Input]:[F-NextVDO_Input]],MATCH(1,(Input_Usage[[Usage type]:[Usage type]]="Annual")*(Input_Usage[[Profile name]:[Profile name]]=$D216&amp;" - medium"),0),MATCH(H$208,Input_Usage[[#Headers],[F-CurrentVDO_Input]:[F-NextVDO_Input]],0)),"-")</f>
        <v>0.20399999999999999</v>
      </c>
      <c r="I216" s="179" cm="1">
        <f t="array" ref="I216">IFERROR(INDEX(Input_Usage[[F-CurrentVDO_Input]:[F-NextVDO_Input]],MATCH(1,(Input_Usage[[Usage type]:[Usage type]]=$C216)*(Input_Usage[[Profile name]:[Profile name]]=$D216&amp;" - medium"),0),MATCH(I$208,Input_Usage[[#Headers],[F-CurrentVDO_Input]:[F-NextVDO_Input]],0))/
INDEX(Input_Usage[[F-CurrentVDO_Input]:[F-NextVDO_Input]],MATCH(1,(Input_Usage[[Usage type]:[Usage type]]="Annual")*(Input_Usage[[Profile name]:[Profile name]]=$D216&amp;" - medium"),0),MATCH(I$208,Input_Usage[[#Headers],[F-CurrentVDO_Input]:[F-NextVDO_Input]],0)),"-")</f>
        <v>0.20399999999999999</v>
      </c>
      <c r="J216" s="180" cm="1">
        <f t="array" ref="J216">IFERROR(INDEX(Input_Usage[[F-CurrentVDO_Input]:[F-NextVDO_Input]],MATCH(1,(Input_Usage[[Usage type]:[Usage type]]=$C216)*(Input_Usage[[Profile name]:[Profile name]]=$D216&amp;" - medium"),0),MATCH(J$208,Input_Usage[[#Headers],[F-CurrentVDO_Input]:[F-NextVDO_Input]],0))/
INDEX(Input_Usage[[F-CurrentVDO_Input]:[F-NextVDO_Input]],MATCH(1,(Input_Usage[[Usage type]:[Usage type]]="Annual")*(Input_Usage[[Profile name]:[Profile name]]=$D216&amp;" - medium"),0),MATCH(J$208,Input_Usage[[#Headers],[F-CurrentVDO_Input]:[F-NextVDO_Input]],0)),"-")</f>
        <v>0.20399999999999999</v>
      </c>
    </row>
    <row r="217" spans="3:12" outlineLevel="1" x14ac:dyDescent="0.25">
      <c r="C217" s="24" t="s">
        <v>237</v>
      </c>
      <c r="D217" s="24" t="s">
        <v>101</v>
      </c>
      <c r="E217" s="105" t="s">
        <v>213</v>
      </c>
      <c r="F217" s="179" cm="1">
        <f t="array" ref="F217">IFERROR(INDEX(Input_Usage[[F-CurrentVDO_Input]:[F-NextVDO_Input]],MATCH(1,(Input_Usage[[Usage type]:[Usage type]]=$C217)*(Input_Usage[[Profile name]:[Profile name]]=$D217&amp;" - medium"),0),MATCH(F$208,Input_Usage[[#Headers],[F-CurrentVDO_Input]:[F-NextVDO_Input]],0))/
INDEX(Input_Usage[[F-CurrentVDO_Input]:[F-NextVDO_Input]],MATCH(1,(Input_Usage[[Usage type]:[Usage type]]="Annual")*(Input_Usage[[Profile name]:[Profile name]]=$D217&amp;" - medium"),0),MATCH(F$208,Input_Usage[[#Headers],[F-CurrentVDO_Input]:[F-NextVDO_Input]],0)),"-")</f>
        <v>0.79600000000000004</v>
      </c>
      <c r="G217" s="179" cm="1">
        <f t="array" ref="G217">IFERROR(INDEX(Input_Usage[[F-CurrentVDO_Input]:[F-NextVDO_Input]],MATCH(1,(Input_Usage[[Usage type]:[Usage type]]=$C217)*(Input_Usage[[Profile name]:[Profile name]]=$D217&amp;" - medium"),0),MATCH(G$208,Input_Usage[[#Headers],[F-CurrentVDO_Input]:[F-NextVDO_Input]],0))/
INDEX(Input_Usage[[F-CurrentVDO_Input]:[F-NextVDO_Input]],MATCH(1,(Input_Usage[[Usage type]:[Usage type]]="Annual")*(Input_Usage[[Profile name]:[Profile name]]=$D217&amp;" - medium"),0),MATCH(G$208,Input_Usage[[#Headers],[F-CurrentVDO_Input]:[F-NextVDO_Input]],0)),"-")</f>
        <v>0.79600000000000004</v>
      </c>
      <c r="H217" s="179" cm="1">
        <f t="array" ref="H217">IFERROR(INDEX(Input_Usage[[F-CurrentVDO_Input]:[F-NextVDO_Input]],MATCH(1,(Input_Usage[[Usage type]:[Usage type]]=$C217)*(Input_Usage[[Profile name]:[Profile name]]=$D217&amp;" - medium"),0),MATCH(H$208,Input_Usage[[#Headers],[F-CurrentVDO_Input]:[F-NextVDO_Input]],0))/
INDEX(Input_Usage[[F-CurrentVDO_Input]:[F-NextVDO_Input]],MATCH(1,(Input_Usage[[Usage type]:[Usage type]]="Annual")*(Input_Usage[[Profile name]:[Profile name]]=$D217&amp;" - medium"),0),MATCH(H$208,Input_Usage[[#Headers],[F-CurrentVDO_Input]:[F-NextVDO_Input]],0)),"-")</f>
        <v>0.79600000000000004</v>
      </c>
      <c r="I217" s="179" cm="1">
        <f t="array" ref="I217">IFERROR(INDEX(Input_Usage[[F-CurrentVDO_Input]:[F-NextVDO_Input]],MATCH(1,(Input_Usage[[Usage type]:[Usage type]]=$C217)*(Input_Usage[[Profile name]:[Profile name]]=$D217&amp;" - medium"),0),MATCH(I$208,Input_Usage[[#Headers],[F-CurrentVDO_Input]:[F-NextVDO_Input]],0))/
INDEX(Input_Usage[[F-CurrentVDO_Input]:[F-NextVDO_Input]],MATCH(1,(Input_Usage[[Usage type]:[Usage type]]="Annual")*(Input_Usage[[Profile name]:[Profile name]]=$D217&amp;" - medium"),0),MATCH(I$208,Input_Usage[[#Headers],[F-CurrentVDO_Input]:[F-NextVDO_Input]],0)),"-")</f>
        <v>0.79600000000000004</v>
      </c>
      <c r="J217" s="180" cm="1">
        <f t="array" ref="J217">IFERROR(INDEX(Input_Usage[[F-CurrentVDO_Input]:[F-NextVDO_Input]],MATCH(1,(Input_Usage[[Usage type]:[Usage type]]=$C217)*(Input_Usage[[Profile name]:[Profile name]]=$D217&amp;" - medium"),0),MATCH(J$208,Input_Usage[[#Headers],[F-CurrentVDO_Input]:[F-NextVDO_Input]],0))/
INDEX(Input_Usage[[F-CurrentVDO_Input]:[F-NextVDO_Input]],MATCH(1,(Input_Usage[[Usage type]:[Usage type]]="Annual")*(Input_Usage[[Profile name]:[Profile name]]=$D217&amp;" - medium"),0),MATCH(J$208,Input_Usage[[#Headers],[F-CurrentVDO_Input]:[F-NextVDO_Input]],0)),"-")</f>
        <v>0.79600000000000004</v>
      </c>
    </row>
    <row r="218" spans="3:12" outlineLevel="1" x14ac:dyDescent="0.25">
      <c r="C218" s="24" t="s">
        <v>508</v>
      </c>
      <c r="D218" s="24" t="s">
        <v>101</v>
      </c>
      <c r="E218" s="105" t="s">
        <v>213</v>
      </c>
      <c r="F218" s="179" cm="1">
        <f t="array" ref="F218">IFERROR(INDEX(Input_Usage[[F-CurrentVDO_Input]:[F-NextVDO_Input]],MATCH(1,(Input_Usage[[Usage type]:[Usage type]]=$C218)*(Input_Usage[[Profile name]:[Profile name]]=$D218&amp;" - medium"),0),MATCH(F$208,Input_Usage[[#Headers],[F-CurrentVDO_Input]:[F-NextVDO_Input]],0))/
INDEX(Input_Usage[[F-CurrentVDO_Input]:[F-NextVDO_Input]],MATCH(1,(Input_Usage[[Usage type]:[Usage type]]="Annual")*(Input_Usage[[Profile name]:[Profile name]]=$D218&amp;" - medium"),0),MATCH(F$208,Input_Usage[[#Headers],[F-CurrentVDO_Input]:[F-NextVDO_Input]],0)),"-")</f>
        <v>1</v>
      </c>
      <c r="G218" s="179" cm="1">
        <f t="array" ref="G218">IFERROR(INDEX(Input_Usage[[F-CurrentVDO_Input]:[F-NextVDO_Input]],MATCH(1,(Input_Usage[[Usage type]:[Usage type]]=$C218)*(Input_Usage[[Profile name]:[Profile name]]=$D218&amp;" - medium"),0),MATCH(G$208,Input_Usage[[#Headers],[F-CurrentVDO_Input]:[F-NextVDO_Input]],0))/
INDEX(Input_Usage[[F-CurrentVDO_Input]:[F-NextVDO_Input]],MATCH(1,(Input_Usage[[Usage type]:[Usage type]]="Annual")*(Input_Usage[[Profile name]:[Profile name]]=$D218&amp;" - medium"),0),MATCH(G$208,Input_Usage[[#Headers],[F-CurrentVDO_Input]:[F-NextVDO_Input]],0)),"-")</f>
        <v>1</v>
      </c>
      <c r="H218" s="179" cm="1">
        <f t="array" ref="H218">IFERROR(INDEX(Input_Usage[[F-CurrentVDO_Input]:[F-NextVDO_Input]],MATCH(1,(Input_Usage[[Usage type]:[Usage type]]=$C218)*(Input_Usage[[Profile name]:[Profile name]]=$D218&amp;" - medium"),0),MATCH(H$208,Input_Usage[[#Headers],[F-CurrentVDO_Input]:[F-NextVDO_Input]],0))/
INDEX(Input_Usage[[F-CurrentVDO_Input]:[F-NextVDO_Input]],MATCH(1,(Input_Usage[[Usage type]:[Usage type]]="Annual")*(Input_Usage[[Profile name]:[Profile name]]=$D218&amp;" - medium"),0),MATCH(H$208,Input_Usage[[#Headers],[F-CurrentVDO_Input]:[F-NextVDO_Input]],0)),"-")</f>
        <v>1</v>
      </c>
      <c r="I218" s="179" cm="1">
        <f t="array" ref="I218">IFERROR(INDEX(Input_Usage[[F-CurrentVDO_Input]:[F-NextVDO_Input]],MATCH(1,(Input_Usage[[Usage type]:[Usage type]]=$C218)*(Input_Usage[[Profile name]:[Profile name]]=$D218&amp;" - medium"),0),MATCH(I$208,Input_Usage[[#Headers],[F-CurrentVDO_Input]:[F-NextVDO_Input]],0))/
INDEX(Input_Usage[[F-CurrentVDO_Input]:[F-NextVDO_Input]],MATCH(1,(Input_Usage[[Usage type]:[Usage type]]="Annual")*(Input_Usage[[Profile name]:[Profile name]]=$D218&amp;" - medium"),0),MATCH(I$208,Input_Usage[[#Headers],[F-CurrentVDO_Input]:[F-NextVDO_Input]],0)),"-")</f>
        <v>1</v>
      </c>
      <c r="J218" s="180" cm="1">
        <f t="array" ref="J218">IFERROR(INDEX(Input_Usage[[F-CurrentVDO_Input]:[F-NextVDO_Input]],MATCH(1,(Input_Usage[[Usage type]:[Usage type]]=$C218)*(Input_Usage[[Profile name]:[Profile name]]=$D218&amp;" - medium"),0),MATCH(J$208,Input_Usage[[#Headers],[F-CurrentVDO_Input]:[F-NextVDO_Input]],0))/
INDEX(Input_Usage[[F-CurrentVDO_Input]:[F-NextVDO_Input]],MATCH(1,(Input_Usage[[Usage type]:[Usage type]]="Annual")*(Input_Usage[[Profile name]:[Profile name]]=$D218&amp;" - medium"),0),MATCH(J$208,Input_Usage[[#Headers],[F-CurrentVDO_Input]:[F-NextVDO_Input]],0)),"-")</f>
        <v>1</v>
      </c>
    </row>
    <row r="219" spans="3:12" outlineLevel="1" x14ac:dyDescent="0.25"/>
    <row r="220" spans="3:12" ht="15.75" outlineLevel="1" x14ac:dyDescent="0.25">
      <c r="E220" s="30" t="s">
        <v>565</v>
      </c>
      <c r="F220" s="182" t="str">
        <f>IF(INDEX(Input_TUNet_Props[F-CurrentVDO_Input],MATCH("Peak",Input_TUNet_Props[[Usage type]:[Usage type]],0),1)="-","-",
IF(AND(
SUMIFS(Input_TUNet_Props[F-CurrentVDO_Input],Input_TUNet_Props[[Customer type]:[Customer type]],"Residential",Input_TUNet_Props[[Usage type]:[Usage type]],"Peak")+
SUMIFS(Input_TUNet_Props[F-CurrentVDO_Input],Input_TUNet_Props[[Customer type]:[Customer type]],"Residential",Input_TUNet_Props[[Usage type]:[Usage type]],"Off peak")=1,
SUMIFS(Input_TUNet_Props[F-CurrentVDO_Input],Input_TUNet_Props[[Customer type]:[Customer type]],"Small business",Input_TUNet_Props[[Usage type]:[Usage type]],"Peak")+
SUMIFS(Input_TUNet_Props[F-CurrentVDO_Input],Input_TUNet_Props[[Customer type]:[Customer type]],"Small business",Input_TUNet_Props[[Usage type]:[Usage type]],"Off peak")=1),0,1))</f>
        <v>-</v>
      </c>
      <c r="G220" s="182">
        <f>IF(INDEX(Input_TUNet_Props[VD-CurrentVDO_Input],MATCH("Peak",Input_TUNet_Props[[Usage type]:[Usage type]],0),1)="-","-",
IF(AND(
SUMIFS(Input_TUNet_Props[VD-CurrentVDO_Input],Input_TUNet_Props[[Customer type]:[Customer type]],"Residential",Input_TUNet_Props[[Usage type]:[Usage type]],"Peak")+
SUMIFS(Input_TUNet_Props[VD-CurrentVDO_Input],Input_TUNet_Props[[Customer type]:[Customer type]],"Residential",Input_TUNet_Props[[Usage type]:[Usage type]],"Off peak")=1,
SUMIFS(Input_TUNet_Props[VD-CurrentVDO_Input],Input_TUNet_Props[[Customer type]:[Customer type]],"Small business",Input_TUNet_Props[[Usage type]:[Usage type]],"Peak")+
SUMIFS(Input_TUNet_Props[VD-CurrentVDO_Input],Input_TUNet_Props[[Customer type]:[Customer type]],"Small business",Input_TUNet_Props[[Usage type]:[Usage type]],"Off peak")=1),0,1))</f>
        <v>0</v>
      </c>
      <c r="H220" s="182">
        <f>IF(INDEX(Input_TUNet_Props[VF-CurrentVDO_Input],MATCH("Peak",Input_TUNet_Props[[Usage type]:[Usage type]],0),1)="-","-",
IF(AND(
SUMIFS(Input_TUNet_Props[VF-CurrentVDO_Input],Input_TUNet_Props[[Customer type]:[Customer type]],"Residential",Input_TUNet_Props[[Usage type]:[Usage type]],"Peak")+
SUMIFS(Input_TUNet_Props[VF-CurrentVDO_Input],Input_TUNet_Props[[Customer type]:[Customer type]],"Residential",Input_TUNet_Props[[Usage type]:[Usage type]],"Off peak")=1,
SUMIFS(Input_TUNet_Props[VF-CurrentVDO_Input],Input_TUNet_Props[[Customer type]:[Customer type]],"Small business",Input_TUNet_Props[[Usage type]:[Usage type]],"Peak")+
SUMIFS(Input_TUNet_Props[VF-CurrentVDO_Input],Input_TUNet_Props[[Customer type]:[Customer type]],"Small business",Input_TUNet_Props[[Usage type]:[Usage type]],"Off peak")=1),0,1))</f>
        <v>0</v>
      </c>
      <c r="I220" s="182">
        <f>IF(INDEX(Input_TUNet_Props[D-NextVDO_Input],MATCH("Peak",Input_TUNet_Props[[Usage type]:[Usage type]],0),1)="-","-",
IF(AND(
SUMIFS(Input_TUNet_Props[D-NextVDO_Input],Input_TUNet_Props[[Customer type]:[Customer type]],"Residential",Input_TUNet_Props[[Usage type]:[Usage type]],"Peak")+
SUMIFS(Input_TUNet_Props[D-NextVDO_Input],Input_TUNet_Props[[Customer type]:[Customer type]],"Residential",Input_TUNet_Props[[Usage type]:[Usage type]],"Off peak")=1,
SUMIFS(Input_TUNet_Props[D-NextVDO_Input],Input_TUNet_Props[[Customer type]:[Customer type]],"Small business",Input_TUNet_Props[[Usage type]:[Usage type]],"Peak")+
SUMIFS(Input_TUNet_Props[D-NextVDO_Input],Input_TUNet_Props[[Customer type]:[Customer type]],"Small business",Input_TUNet_Props[[Usage type]:[Usage type]],"Off peak")=1),0,1))</f>
        <v>0</v>
      </c>
      <c r="J220" s="182">
        <f>IF(INDEX(Input_TUNet_Props[F-NextVDO_Input],MATCH("Peak",Input_TUNet_Props[[Usage type]:[Usage type]],0),1)="-","-",
IF(AND(
SUMIFS(Input_TUNet_Props[F-NextVDO_Input],Input_TUNet_Props[[Customer type]:[Customer type]],"Residential",Input_TUNet_Props[[Usage type]:[Usage type]],"Peak")+
SUMIFS(Input_TUNet_Props[F-NextVDO_Input],Input_TUNet_Props[[Customer type]:[Customer type]],"Residential",Input_TUNet_Props[[Usage type]:[Usage type]],"Off peak")=1,
SUMIFS(Input_TUNet_Props[F-NextVDO_Input],Input_TUNet_Props[[Customer type]:[Customer type]],"Small business",Input_TUNet_Props[[Usage type]:[Usage type]],"Peak")+
SUMIFS(Input_TUNet_Props[F-NextVDO_Input],Input_TUNet_Props[[Customer type]:[Customer type]],"Small business",Input_TUNet_Props[[Usage type]:[Usage type]],"Off peak")=1),0,1))</f>
        <v>0</v>
      </c>
    </row>
    <row r="221" spans="3:12" ht="15.75" outlineLevel="1" x14ac:dyDescent="0.25">
      <c r="E221" s="30" t="s">
        <v>566</v>
      </c>
      <c r="F221" s="182">
        <f>IF(INDEX(Input_TUNet_Props[F-CurrentVDO_Input],MATCH("Block 1",Input_TUNet_Props[[Usage type]:[Usage type]],0),1)="-","-",
IF(AND(
SUMIFS(Input_TUNet_Props[F-CurrentVDO_Input],Input_TUNet_Props[[Customer type]:[Customer type]],"Residential",Input_TUNet_Props[[Usage type]:[Usage type]],"Block 1")+
SUMIFS(Input_TUNet_Props[F-CurrentVDO_Input],Input_TUNet_Props[[Customer type]:[Customer type]],"Residential",Input_TUNet_Props[[Usage type]:[Usage type]],"Balance")=1,
SUMIFS(Input_TUNet_Props[F-CurrentVDO_Input],Input_TUNet_Props[[Customer type]:[Customer type]],"Small business",Input_TUNet_Props[[Usage type]:[Usage type]],"Block 1")+
SUMIFS(Input_TUNet_Props[F-CurrentVDO_Input],Input_TUNet_Props[[Customer type]:[Customer type]],"Small business",Input_TUNet_Props[[Usage type]:[Usage type]],"Balance")=1),0,1))</f>
        <v>0</v>
      </c>
      <c r="G221" s="182">
        <f>IF(INDEX(Input_TUNet_Props[VD-CurrentVDO_Input],MATCH("Block 1",Input_TUNet_Props[[Usage type]:[Usage type]],0),1)="-","-",
IF(AND(
SUMIFS(Input_TUNet_Props[VD-CurrentVDO_Input],Input_TUNet_Props[[Customer type]:[Customer type]],"Residential",Input_TUNet_Props[[Usage type]:[Usage type]],"Block 1")+
SUMIFS(Input_TUNet_Props[VD-CurrentVDO_Input],Input_TUNet_Props[[Customer type]:[Customer type]],"Residential",Input_TUNet_Props[[Usage type]:[Usage type]],"Balance")=1,
SUMIFS(Input_TUNet_Props[VD-CurrentVDO_Input],Input_TUNet_Props[[Customer type]:[Customer type]],"Small business",Input_TUNet_Props[[Usage type]:[Usage type]],"Block 1")+
SUMIFS(Input_TUNet_Props[VD-CurrentVDO_Input],Input_TUNet_Props[[Customer type]:[Customer type]],"Small business",Input_TUNet_Props[[Usage type]:[Usage type]],"Balance")=1),0,1))</f>
        <v>0</v>
      </c>
      <c r="H221" s="182">
        <f>IF(INDEX(Input_TUNet_Props[VF-CurrentVDO_Input],MATCH("Block 1",Input_TUNet_Props[[Usage type]:[Usage type]],0),1)="-","-",
IF(AND(
SUMIFS(Input_TUNet_Props[VF-CurrentVDO_Input],Input_TUNet_Props[[Customer type]:[Customer type]],"Residential",Input_TUNet_Props[[Usage type]:[Usage type]],"Block 1")+
SUMIFS(Input_TUNet_Props[VF-CurrentVDO_Input],Input_TUNet_Props[[Customer type]:[Customer type]],"Residential",Input_TUNet_Props[[Usage type]:[Usage type]],"Balance")=1,
SUMIFS(Input_TUNet_Props[VF-CurrentVDO_Input],Input_TUNet_Props[[Customer type]:[Customer type]],"Small business",Input_TUNet_Props[[Usage type]:[Usage type]],"Block 1")+
SUMIFS(Input_TUNet_Props[VF-CurrentVDO_Input],Input_TUNet_Props[[Customer type]:[Customer type]],"Small business",Input_TUNet_Props[[Usage type]:[Usage type]],"Balance")=1),0,1))</f>
        <v>0</v>
      </c>
      <c r="I221" s="182">
        <f>IF(INDEX(Input_TUNet_Props[D-NextVDO_Input],MATCH("Block 1",Input_TUNet_Props[[Usage type]:[Usage type]],0),1)="-","-",
IF(AND(
SUMIFS(Input_TUNet_Props[D-NextVDO_Input],Input_TUNet_Props[[Customer type]:[Customer type]],"Residential",Input_TUNet_Props[[Usage type]:[Usage type]],"Block 1")+
SUMIFS(Input_TUNet_Props[D-NextVDO_Input],Input_TUNet_Props[[Customer type]:[Customer type]],"Residential",Input_TUNet_Props[[Usage type]:[Usage type]],"Balance")=1,
SUMIFS(Input_TUNet_Props[D-NextVDO_Input],Input_TUNet_Props[[Customer type]:[Customer type]],"Small business",Input_TUNet_Props[[Usage type]:[Usage type]],"Block 1")+
SUMIFS(Input_TUNet_Props[D-NextVDO_Input],Input_TUNet_Props[[Customer type]:[Customer type]],"Small business",Input_TUNet_Props[[Usage type]:[Usage type]],"Balance")=1),0,1))</f>
        <v>0</v>
      </c>
      <c r="J221" s="182">
        <f>IF(INDEX(Input_TUNet_Props[F-NextVDO_Input],MATCH("Block 1",Input_TUNet_Props[[Usage type]:[Usage type]],0),1)="-","-",
IF(AND(
SUMIFS(Input_TUNet_Props[F-NextVDO_Input],Input_TUNet_Props[[Customer type]:[Customer type]],"Residential",Input_TUNet_Props[[Usage type]:[Usage type]],"Block 1")+
SUMIFS(Input_TUNet_Props[F-NextVDO_Input],Input_TUNet_Props[[Customer type]:[Customer type]],"Residential",Input_TUNet_Props[[Usage type]:[Usage type]],"Balance")=1,
SUMIFS(Input_TUNet_Props[F-NextVDO_Input],Input_TUNet_Props[[Customer type]:[Customer type]],"Small business",Input_TUNet_Props[[Usage type]:[Usage type]],"Block 1")+
SUMIFS(Input_TUNet_Props[F-NextVDO_Input],Input_TUNet_Props[[Customer type]:[Customer type]],"Small business",Input_TUNet_Props[[Usage type]:[Usage type]],"Balance")=1),0,1))</f>
        <v>0</v>
      </c>
    </row>
    <row r="222" spans="3:12" ht="15.75" outlineLevel="1" x14ac:dyDescent="0.25">
      <c r="E222" s="30" t="s">
        <v>567</v>
      </c>
      <c r="F222" s="182">
        <f>IF(INDEX(Input_TUNet_Props[F-CurrentVDO_Input],MATCH("Block 1",Input_TUNet_Props[[Usage type]:[Usage type]],0),1)="-","-",
IF(AND(
SUMIFS(Input_TUNet_Props[F-CurrentVDO_Input],Input_TUNet_Props[[Customer type]:[Customer type]],"Residential",Input_TUNet_Props[[Usage type]:[Usage type]],"Single rate")=1,
SUMIFS(Input_TUNet_Props[F-CurrentVDO_Input],Input_TUNet_Props[[Customer type]:[Customer type]],"Small business",Input_TUNet_Props[[Usage type]:[Usage type]],"Single rate")=1),0,1))</f>
        <v>0</v>
      </c>
      <c r="G222" s="182">
        <f>IF(INDEX(Input_TUNet_Props[VD-CurrentVDO_Input],MATCH("Block 1",Input_TUNet_Props[[Usage type]:[Usage type]],0),1)="-","-",
IF(AND(
SUMIFS(Input_TUNet_Props[VD-CurrentVDO_Input],Input_TUNet_Props[[Customer type]:[Customer type]],"Residential",Input_TUNet_Props[[Usage type]:[Usage type]],"Single rate")=1,
SUMIFS(Input_TUNet_Props[VD-CurrentVDO_Input],Input_TUNet_Props[[Customer type]:[Customer type]],"Small business",Input_TUNet_Props[[Usage type]:[Usage type]],"Single rate")=1),0,1))</f>
        <v>0</v>
      </c>
      <c r="H222" s="182">
        <f>IF(INDEX(Input_TUNet_Props[VF-CurrentVDO_Input],MATCH("Block 1",Input_TUNet_Props[[Usage type]:[Usage type]],0),1)="-","-",
IF(AND(
SUMIFS(Input_TUNet_Props[VF-CurrentVDO_Input],Input_TUNet_Props[[Customer type]:[Customer type]],"Residential",Input_TUNet_Props[[Usage type]:[Usage type]],"Single rate")=1,
SUMIFS(Input_TUNet_Props[VF-CurrentVDO_Input],Input_TUNet_Props[[Customer type]:[Customer type]],"Small business",Input_TUNet_Props[[Usage type]:[Usage type]],"Single rate")=1),0,1))</f>
        <v>0</v>
      </c>
      <c r="I222" s="182">
        <f>IF(INDEX(Input_TUNet_Props[D-NextVDO_Input],MATCH("Block 1",Input_TUNet_Props[[Usage type]:[Usage type]],0),1)="-","-",
IF(AND(
SUMIFS(Input_TUNet_Props[D-NextVDO_Input],Input_TUNet_Props[[Customer type]:[Customer type]],"Residential",Input_TUNet_Props[[Usage type]:[Usage type]],"Single rate")=1,
SUMIFS(Input_TUNet_Props[D-NextVDO_Input],Input_TUNet_Props[[Customer type]:[Customer type]],"Small business",Input_TUNet_Props[[Usage type]:[Usage type]],"Single rate")=1),0,1))</f>
        <v>0</v>
      </c>
      <c r="J222" s="182">
        <f>IF(INDEX(Input_TUNet_Props[F-NextVDO_Input],MATCH("Block 1",Input_TUNet_Props[[Usage type]:[Usage type]],0),1)="-","-",
IF(AND(
SUMIFS(Input_TUNet_Props[F-NextVDO_Input],Input_TUNet_Props[[Customer type]:[Customer type]],"Residential",Input_TUNet_Props[[Usage type]:[Usage type]],"Single rate")=1,
SUMIFS(Input_TUNet_Props[F-NextVDO_Input],Input_TUNet_Props[[Customer type]:[Customer type]],"Small business",Input_TUNet_Props[[Usage type]:[Usage type]],"Single rate")=1),0,1))</f>
        <v>0</v>
      </c>
    </row>
    <row r="223" spans="3:12" outlineLevel="1" x14ac:dyDescent="0.25"/>
    <row r="224" spans="3:12" outlineLevel="1" x14ac:dyDescent="0.25"/>
    <row r="225" spans="3:10" ht="15.75" outlineLevel="1" x14ac:dyDescent="0.25">
      <c r="E225" s="41" t="s">
        <v>108</v>
      </c>
      <c r="F225" s="2">
        <v>2021</v>
      </c>
      <c r="G225" s="2">
        <v>2021</v>
      </c>
      <c r="H225" s="2">
        <v>2021</v>
      </c>
      <c r="I225" s="2">
        <v>2022</v>
      </c>
      <c r="J225" s="2">
        <v>2022</v>
      </c>
    </row>
    <row r="226" spans="3:10" ht="15.75" outlineLevel="1" x14ac:dyDescent="0.25">
      <c r="E226" s="41" t="s">
        <v>109</v>
      </c>
      <c r="F226" s="42" t="str">
        <f>"VDO "&amp;F225&amp;" - "&amp;IF(LEFT(F228,1)="F","Final",IF(LEFT(F228,1)="D","Draft",IF(LEFT(F228,2)="VD","Variation draft",IF(LEFT(F228,2)="VF","Variation final"))))</f>
        <v>VDO 2021 - Final</v>
      </c>
      <c r="G226" s="42" t="str">
        <f>"VDO "&amp;G225&amp;" - "&amp;IF(LEFT(G228,1)="F","Final",IF(LEFT(G228,1)="D","Draft",IF(LEFT(G228,2)="VD","Variation draft",IF(LEFT(G228,2)="VF","Variation final"))))</f>
        <v>VDO 2021 - Variation draft</v>
      </c>
      <c r="H226" s="42" t="str">
        <f>"VDO "&amp;H225&amp;" - "&amp;IF(LEFT(H228,1)="F","Final",IF(LEFT(H228,1)="D","Draft",IF(LEFT(H228,2)="VD","Variation draft",IF(LEFT(H228,2)="VF","Variation final"))))</f>
        <v>VDO 2021 - Variation final</v>
      </c>
      <c r="I226" s="42" t="str">
        <f>"VDO "&amp;I225&amp;" - "&amp;IF(LEFT(I228,1)="F","Final",IF(LEFT(I228,1)="D","Draft",IF(LEFT(I228,2)="VD","Variation draft",IF(LEFT(I228,2)="VF","Variation final"))))</f>
        <v>VDO 2022 - Draft</v>
      </c>
      <c r="J226" s="42" t="str">
        <f>"VDO "&amp;J225&amp;" - "&amp;IF(LEFT(J228,1)="F","Final",IF(LEFT(J228,1)="D","Draft",IF(LEFT(J228,2)="VD","Variation draft",IF(LEFT(J228,2)="VF","Variation final"))))</f>
        <v>VDO 2022 - Final</v>
      </c>
    </row>
    <row r="227" spans="3:10" ht="15.75" outlineLevel="1" x14ac:dyDescent="0.25">
      <c r="C227" s="30" t="s">
        <v>586</v>
      </c>
    </row>
    <row r="228" spans="3:10" ht="15.75" outlineLevel="1" x14ac:dyDescent="0.25">
      <c r="C228" s="178" t="s">
        <v>53</v>
      </c>
      <c r="D228" s="178" t="s">
        <v>563</v>
      </c>
      <c r="E228" s="178" t="s">
        <v>111</v>
      </c>
      <c r="F228" s="178" t="s">
        <v>55</v>
      </c>
      <c r="G228" s="178" t="s">
        <v>395</v>
      </c>
      <c r="H228" s="178" t="s">
        <v>397</v>
      </c>
      <c r="I228" s="178" t="s">
        <v>56</v>
      </c>
      <c r="J228" s="181" t="s">
        <v>57</v>
      </c>
    </row>
    <row r="229" spans="3:10" outlineLevel="1" x14ac:dyDescent="0.25">
      <c r="C229" s="24" t="s">
        <v>130</v>
      </c>
      <c r="D229" s="24" t="s">
        <v>511</v>
      </c>
      <c r="E229" s="105" t="s">
        <v>261</v>
      </c>
      <c r="F229" s="15" t="s">
        <v>11</v>
      </c>
      <c r="G229" s="15" t="s">
        <v>11</v>
      </c>
      <c r="H229" s="15" t="s">
        <v>11</v>
      </c>
      <c r="I229" s="15">
        <v>44378</v>
      </c>
      <c r="J229" s="15">
        <v>44378</v>
      </c>
    </row>
    <row r="230" spans="3:10" outlineLevel="1" x14ac:dyDescent="0.25">
      <c r="C230" s="24" t="s">
        <v>130</v>
      </c>
      <c r="D230" s="24" t="s">
        <v>512</v>
      </c>
      <c r="E230" s="105" t="s">
        <v>261</v>
      </c>
      <c r="F230" s="15" t="s">
        <v>11</v>
      </c>
      <c r="G230" s="15" t="s">
        <v>11</v>
      </c>
      <c r="H230" s="15" t="s">
        <v>11</v>
      </c>
      <c r="I230" s="15">
        <v>44439</v>
      </c>
      <c r="J230" s="15">
        <v>44439</v>
      </c>
    </row>
    <row r="231" spans="3:10" outlineLevel="1" x14ac:dyDescent="0.25">
      <c r="C231" s="24" t="s">
        <v>130</v>
      </c>
      <c r="D231" s="24" t="s">
        <v>513</v>
      </c>
      <c r="E231" s="105" t="s">
        <v>261</v>
      </c>
      <c r="F231" s="15" t="s">
        <v>11</v>
      </c>
      <c r="G231" s="15" t="s">
        <v>11</v>
      </c>
      <c r="H231" s="15" t="s">
        <v>11</v>
      </c>
      <c r="I231" s="15">
        <v>44562</v>
      </c>
      <c r="J231" s="15">
        <v>44562</v>
      </c>
    </row>
    <row r="232" spans="3:10" outlineLevel="1" x14ac:dyDescent="0.25">
      <c r="C232" s="24" t="s">
        <v>130</v>
      </c>
      <c r="D232" s="24" t="s">
        <v>514</v>
      </c>
      <c r="E232" s="105" t="s">
        <v>261</v>
      </c>
      <c r="F232" s="15" t="s">
        <v>11</v>
      </c>
      <c r="G232" s="15" t="s">
        <v>11</v>
      </c>
      <c r="H232" s="15" t="s">
        <v>11</v>
      </c>
      <c r="I232" s="15">
        <v>44742</v>
      </c>
      <c r="J232" s="15">
        <v>44742</v>
      </c>
    </row>
    <row r="233" spans="3:10" outlineLevel="1" x14ac:dyDescent="0.25"/>
    <row r="234" spans="3:10" outlineLevel="1" x14ac:dyDescent="0.25"/>
    <row r="235" spans="3:10" outlineLevel="1" x14ac:dyDescent="0.25"/>
    <row r="236" spans="3:10" ht="15.75" outlineLevel="1" x14ac:dyDescent="0.25">
      <c r="E236" s="41" t="s">
        <v>108</v>
      </c>
      <c r="F236" s="2">
        <v>2021</v>
      </c>
      <c r="G236" s="2">
        <v>2021</v>
      </c>
      <c r="H236" s="2">
        <v>2021</v>
      </c>
      <c r="I236" s="2">
        <v>2022</v>
      </c>
      <c r="J236" s="2">
        <v>2022</v>
      </c>
    </row>
    <row r="237" spans="3:10" ht="15.75" outlineLevel="1" x14ac:dyDescent="0.25">
      <c r="E237" s="41" t="s">
        <v>109</v>
      </c>
      <c r="F237" s="42" t="str">
        <f>"VDO "&amp;F236&amp;" - "&amp;IF(LEFT(F239,1)="F","Final",IF(LEFT(F239,1)="D","Draft",IF(LEFT(F239,2)="VD","Variation draft",IF(LEFT(F239,2)="VF","Variation final"))))</f>
        <v>VDO 2021 - Final</v>
      </c>
      <c r="G237" s="42" t="str">
        <f>"VDO "&amp;G236&amp;" - "&amp;IF(LEFT(G239,1)="F","Final",IF(LEFT(G239,1)="D","Draft",IF(LEFT(G239,2)="VD","Variation draft",IF(LEFT(G239,2)="VF","Variation final"))))</f>
        <v>VDO 2021 - Variation draft</v>
      </c>
      <c r="H237" s="42" t="str">
        <f>"VDO "&amp;H236&amp;" - "&amp;IF(LEFT(H239,1)="F","Final",IF(LEFT(H239,1)="D","Draft",IF(LEFT(H239,2)="VD","Variation draft",IF(LEFT(H239,2)="VF","Variation final"))))</f>
        <v>VDO 2021 - Variation final</v>
      </c>
      <c r="I237" s="42" t="str">
        <f>"VDO "&amp;I236&amp;" - "&amp;IF(LEFT(I239,1)="F","Final",IF(LEFT(I239,1)="D","Draft",IF(LEFT(I239,2)="VD","Variation draft",IF(LEFT(I239,2)="VF","Variation final"))))</f>
        <v>VDO 2022 - Draft</v>
      </c>
      <c r="J237" s="42" t="str">
        <f>"VDO "&amp;J236&amp;" - "&amp;IF(LEFT(J239,1)="F","Final",IF(LEFT(J239,1)="D","Draft",IF(LEFT(J239,2)="VD","Variation draft",IF(LEFT(J239,2)="VF","Variation final"))))</f>
        <v>VDO 2022 - Final</v>
      </c>
    </row>
    <row r="238" spans="3:10" outlineLevel="1" x14ac:dyDescent="0.25"/>
    <row r="239" spans="3:10" ht="15.75" outlineLevel="1" x14ac:dyDescent="0.25">
      <c r="D239" s="141" t="s">
        <v>563</v>
      </c>
      <c r="E239" s="178" t="s">
        <v>111</v>
      </c>
      <c r="F239" s="178" t="s">
        <v>55</v>
      </c>
      <c r="G239" s="178" t="s">
        <v>395</v>
      </c>
      <c r="H239" s="178" t="s">
        <v>397</v>
      </c>
      <c r="I239" s="178" t="s">
        <v>56</v>
      </c>
      <c r="J239" s="181" t="s">
        <v>57</v>
      </c>
    </row>
    <row r="240" spans="3:10" outlineLevel="1" x14ac:dyDescent="0.25">
      <c r="D240" s="98" t="s">
        <v>656</v>
      </c>
      <c r="E240" s="105" t="s">
        <v>434</v>
      </c>
      <c r="F240" s="2">
        <v>365</v>
      </c>
      <c r="G240" s="2">
        <v>62</v>
      </c>
      <c r="H240" s="2">
        <v>62</v>
      </c>
      <c r="I240" s="2">
        <v>181</v>
      </c>
      <c r="J240" s="186">
        <v>181</v>
      </c>
    </row>
    <row r="241" spans="3:5" outlineLevel="1" x14ac:dyDescent="0.25"/>
    <row r="242" spans="3:5" outlineLevel="1" x14ac:dyDescent="0.25"/>
    <row r="243" spans="3:5" outlineLevel="1" x14ac:dyDescent="0.25"/>
    <row r="244" spans="3:5" ht="15.75" hidden="1" outlineLevel="1" x14ac:dyDescent="0.25">
      <c r="C244" s="43" t="s">
        <v>507</v>
      </c>
      <c r="D244" s="56">
        <v>6.5500000000000003E-2</v>
      </c>
    </row>
    <row r="245" spans="3:5" hidden="1" outlineLevel="1" x14ac:dyDescent="0.25"/>
    <row r="246" spans="3:5" hidden="1" outlineLevel="1" x14ac:dyDescent="0.25"/>
    <row r="247" spans="3:5" ht="15.75" outlineLevel="1" x14ac:dyDescent="0.25">
      <c r="C247" s="30" t="s">
        <v>573</v>
      </c>
    </row>
    <row r="248" spans="3:5" ht="15.75" outlineLevel="1" x14ac:dyDescent="0.25">
      <c r="C248" s="173" t="s">
        <v>557</v>
      </c>
      <c r="D248" s="44" t="s">
        <v>524</v>
      </c>
      <c r="E248" s="174" t="s">
        <v>525</v>
      </c>
    </row>
    <row r="249" spans="3:5" outlineLevel="1" x14ac:dyDescent="0.25">
      <c r="C249" s="171" t="s">
        <v>266</v>
      </c>
      <c r="D249" s="134" t="s">
        <v>266</v>
      </c>
      <c r="E249" s="172" t="s">
        <v>11</v>
      </c>
    </row>
    <row r="250" spans="3:5" outlineLevel="1" x14ac:dyDescent="0.25">
      <c r="C250" s="171" t="s">
        <v>398</v>
      </c>
      <c r="D250" s="134" t="s">
        <v>398</v>
      </c>
      <c r="E250" s="172" t="s">
        <v>266</v>
      </c>
    </row>
    <row r="251" spans="3:5" outlineLevel="1" x14ac:dyDescent="0.25">
      <c r="C251" s="171" t="s">
        <v>421</v>
      </c>
      <c r="D251" s="134" t="s">
        <v>421</v>
      </c>
      <c r="E251" s="172" t="s">
        <v>266</v>
      </c>
    </row>
    <row r="252" spans="3:5" outlineLevel="1" x14ac:dyDescent="0.25">
      <c r="C252" s="171" t="s">
        <v>267</v>
      </c>
      <c r="D252" s="134" t="s">
        <v>267</v>
      </c>
      <c r="E252" s="172" t="s">
        <v>266</v>
      </c>
    </row>
    <row r="253" spans="3:5" outlineLevel="1" x14ac:dyDescent="0.25">
      <c r="C253" s="175" t="s">
        <v>268</v>
      </c>
      <c r="D253" s="176" t="s">
        <v>268</v>
      </c>
      <c r="E253" s="172" t="s">
        <v>266</v>
      </c>
    </row>
    <row r="254" spans="3:5" outlineLevel="1" x14ac:dyDescent="0.25"/>
    <row r="255" spans="3:5" outlineLevel="1" x14ac:dyDescent="0.25"/>
    <row r="256" spans="3:5" outlineLevel="1" x14ac:dyDescent="0.25"/>
    <row r="257" outlineLevel="1" x14ac:dyDescent="0.25"/>
    <row r="258" outlineLevel="1" x14ac:dyDescent="0.25"/>
    <row r="259" outlineLevel="1" x14ac:dyDescent="0.25"/>
    <row r="260" outlineLevel="1" x14ac:dyDescent="0.25"/>
  </sheetData>
  <sheetProtection algorithmName="SHA-512" hashValue="GmGavpNcMloU46a2bBdLL0zxfES7MCvLaY6og7CWu1cvNI+5Gm4fdfRL5aPoxDuqoXQpXucBohoxFLsP66UNSA==" saltValue="6jXUgJr4mGwwG64IOMoD0w==" spinCount="100000" sheet="1" objects="1" scenarios="1"/>
  <mergeCells count="1">
    <mergeCell ref="A2:A3"/>
  </mergeCells>
  <phoneticPr fontId="30" type="noConversion"/>
  <pageMargins left="0.7" right="0.7" top="0.75" bottom="0.75" header="0.3" footer="0.3"/>
  <pageSetup paperSize="9" orientation="portrait" r:id="rId1"/>
  <legacyDrawing r:id="rId2"/>
  <tableParts count="8">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count="3">
        <x14:dataValidation type="list" allowBlank="1" showInputMessage="1" showErrorMessage="1" xr:uid="{91387222-6A44-4153-A021-02393A24BC27}">
          <x14:formula1>
            <xm:f>'Lookup refs'!$C$8:$C$10</xm:f>
          </x14:formula1>
          <xm:sqref>E11:E127</xm:sqref>
        </x14:dataValidation>
        <x14:dataValidation type="list" allowBlank="1" showInputMessage="1" showErrorMessage="1" xr:uid="{6E9DAD93-16AF-4726-A2A9-3D3AE290FDD5}">
          <x14:formula1>
            <xm:f>'Lookup refs'!$E$8:$E$20</xm:f>
          </x14:formula1>
          <xm:sqref>F11:F127 E209:E218 E229:E232 F180:F185 F136:F172 G192:G202</xm:sqref>
        </x14:dataValidation>
        <x14:dataValidation type="list" allowBlank="1" showInputMessage="1" showErrorMessage="1" xr:uid="{DB7F5277-E0C5-4ABC-A2EC-0899E5776FE1}">
          <x14:formula1>
            <xm:f>'Lookup refs'!$G$8:$G$10</xm:f>
          </x14:formula1>
          <xm:sqref>G11:G127 G180:G185 G136:G172 D209:D218 F192:F202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3DB55-A1B8-4BF5-ACF4-AC560D0EC1E6}">
  <sheetPr codeName="Sheet12">
    <tabColor theme="4" tint="0.79998168889431442"/>
  </sheetPr>
  <dimension ref="A1:Z27"/>
  <sheetViews>
    <sheetView showGridLines="0" topLeftCell="B1" zoomScale="70" zoomScaleNormal="70" workbookViewId="0">
      <pane ySplit="3" topLeftCell="A4" activePane="bottomLeft" state="frozen"/>
      <selection activeCell="D43" sqref="D43"/>
      <selection pane="bottomLeft"/>
    </sheetView>
  </sheetViews>
  <sheetFormatPr defaultColWidth="9.140625" defaultRowHeight="15" outlineLevelCol="1" x14ac:dyDescent="0.25"/>
  <cols>
    <col min="1" max="1" width="100.7109375" hidden="1" customWidth="1" outlineLevel="1"/>
    <col min="2" max="2" width="10.7109375" style="6" customWidth="1" collapsed="1"/>
    <col min="3" max="3" width="50.7109375" customWidth="1"/>
    <col min="4" max="26" width="25.7109375" customWidth="1"/>
  </cols>
  <sheetData>
    <row r="1" spans="1:26" ht="15" customHeight="1" x14ac:dyDescent="0.25">
      <c r="A1" s="1" t="s">
        <v>27</v>
      </c>
      <c r="B1" s="22"/>
      <c r="C1" s="23"/>
      <c r="D1" s="23"/>
      <c r="E1" s="23"/>
      <c r="F1" s="23"/>
      <c r="G1" s="23"/>
      <c r="H1" s="23"/>
      <c r="I1" s="23"/>
      <c r="J1" s="23"/>
      <c r="K1" s="23"/>
      <c r="L1" s="23"/>
      <c r="M1" s="23"/>
      <c r="N1" s="23"/>
      <c r="O1" s="23"/>
      <c r="P1" s="23"/>
      <c r="Q1" s="23"/>
      <c r="R1" s="23"/>
      <c r="S1" s="23"/>
      <c r="T1" s="23"/>
      <c r="U1" s="23"/>
      <c r="V1" s="23"/>
      <c r="W1" s="23"/>
      <c r="X1" s="23"/>
      <c r="Y1" s="23"/>
      <c r="Z1" s="23"/>
    </row>
    <row r="2" spans="1:26" s="4" customFormat="1" ht="50.1" customHeight="1" x14ac:dyDescent="0.25">
      <c r="A2" s="293" t="s">
        <v>28</v>
      </c>
      <c r="B2" s="26"/>
      <c r="C2" s="26" t="str">
        <f>Disclaimer!$B$1</f>
        <v>VDO calculation model</v>
      </c>
      <c r="D2" s="26"/>
      <c r="E2" s="26"/>
      <c r="F2" s="26"/>
      <c r="G2" s="26"/>
      <c r="H2" s="26"/>
      <c r="I2" s="26"/>
      <c r="J2" s="26"/>
      <c r="K2" s="26"/>
      <c r="L2" s="26"/>
      <c r="M2" s="26"/>
      <c r="N2" s="26"/>
      <c r="O2" s="26"/>
      <c r="P2" s="26"/>
      <c r="Q2" s="26"/>
      <c r="R2" s="26"/>
      <c r="S2" s="26"/>
      <c r="T2" s="26"/>
      <c r="U2" s="26"/>
      <c r="V2" s="26"/>
      <c r="W2" s="26"/>
      <c r="X2" s="26"/>
      <c r="Y2" s="26"/>
      <c r="Z2" s="26"/>
    </row>
    <row r="3" spans="1:26" s="4" customFormat="1" ht="30" customHeight="1" x14ac:dyDescent="0.25">
      <c r="A3" s="294"/>
      <c r="B3" s="28">
        <f ca="1">_xlfn.SHEET()</f>
        <v>10</v>
      </c>
      <c r="C3" s="27" t="s">
        <v>240</v>
      </c>
      <c r="D3" s="27"/>
      <c r="E3" s="27"/>
      <c r="F3" s="27"/>
      <c r="G3" s="27"/>
      <c r="H3" s="27"/>
      <c r="I3" s="27"/>
      <c r="J3" s="27"/>
      <c r="K3" s="27"/>
      <c r="L3" s="27"/>
      <c r="M3" s="27"/>
      <c r="N3" s="27"/>
      <c r="O3" s="27"/>
      <c r="P3" s="27"/>
      <c r="Q3" s="27"/>
      <c r="R3" s="27"/>
      <c r="S3" s="27"/>
      <c r="T3" s="27"/>
      <c r="U3" s="27"/>
      <c r="V3" s="27"/>
      <c r="W3" s="27"/>
      <c r="X3" s="27"/>
      <c r="Y3" s="27"/>
      <c r="Z3" s="27"/>
    </row>
    <row r="4" spans="1:26" x14ac:dyDescent="0.25">
      <c r="B4"/>
    </row>
    <row r="5" spans="1:26" ht="16.5" thickBot="1" x14ac:dyDescent="0.3">
      <c r="A5" s="1" t="s">
        <v>30</v>
      </c>
      <c r="B5" s="9">
        <f ca="1">MAX(B$3:B4)+0.1</f>
        <v>10.1</v>
      </c>
      <c r="C5" s="29" t="s">
        <v>241</v>
      </c>
      <c r="D5" s="29"/>
      <c r="E5" s="29"/>
    </row>
    <row r="7" spans="1:26" x14ac:dyDescent="0.25">
      <c r="C7" t="s">
        <v>242</v>
      </c>
      <c r="D7" s="2">
        <v>365</v>
      </c>
      <c r="E7" s="17" t="s">
        <v>243</v>
      </c>
    </row>
    <row r="8" spans="1:26" x14ac:dyDescent="0.25">
      <c r="C8" t="s">
        <v>244</v>
      </c>
      <c r="D8" s="2">
        <v>12</v>
      </c>
      <c r="E8" s="17" t="s">
        <v>245</v>
      </c>
    </row>
    <row r="9" spans="1:26" x14ac:dyDescent="0.25">
      <c r="C9" t="s">
        <v>246</v>
      </c>
      <c r="D9" s="2">
        <v>3</v>
      </c>
      <c r="E9" s="17" t="s">
        <v>247</v>
      </c>
    </row>
    <row r="10" spans="1:26" x14ac:dyDescent="0.25">
      <c r="C10" t="s">
        <v>248</v>
      </c>
      <c r="D10" s="2">
        <v>52</v>
      </c>
      <c r="E10" s="17" t="s">
        <v>249</v>
      </c>
    </row>
    <row r="12" spans="1:26" x14ac:dyDescent="0.25">
      <c r="C12" s="10" t="s">
        <v>250</v>
      </c>
      <c r="D12" s="16" t="s">
        <v>251</v>
      </c>
      <c r="E12" s="17" t="s">
        <v>252</v>
      </c>
    </row>
    <row r="13" spans="1:26" x14ac:dyDescent="0.25">
      <c r="C13" s="10" t="s">
        <v>253</v>
      </c>
      <c r="D13" s="2">
        <v>6</v>
      </c>
      <c r="E13" s="35" t="s">
        <v>254</v>
      </c>
    </row>
    <row r="15" spans="1:26" x14ac:dyDescent="0.25">
      <c r="C15" t="s">
        <v>255</v>
      </c>
      <c r="D15" s="70">
        <v>0.1</v>
      </c>
      <c r="E15" s="17" t="s">
        <v>256</v>
      </c>
    </row>
    <row r="19" spans="1:5" ht="16.5" thickBot="1" x14ac:dyDescent="0.3">
      <c r="A19" s="1" t="s">
        <v>30</v>
      </c>
      <c r="B19" s="9">
        <f ca="1">MAX(B$3:B18)+0.1</f>
        <v>10.199999999999999</v>
      </c>
      <c r="C19" s="29" t="s">
        <v>520</v>
      </c>
      <c r="D19" s="29"/>
      <c r="E19" s="29"/>
    </row>
    <row r="22" spans="1:5" x14ac:dyDescent="0.25">
      <c r="C22" t="s">
        <v>109</v>
      </c>
      <c r="D22" t="s">
        <v>522</v>
      </c>
    </row>
    <row r="23" spans="1:5" x14ac:dyDescent="0.25">
      <c r="C23" s="83" t="s">
        <v>55</v>
      </c>
      <c r="D23" s="83">
        <v>1</v>
      </c>
    </row>
    <row r="24" spans="1:5" x14ac:dyDescent="0.25">
      <c r="C24" s="83" t="s">
        <v>395</v>
      </c>
      <c r="D24" s="83">
        <v>2</v>
      </c>
    </row>
    <row r="25" spans="1:5" x14ac:dyDescent="0.25">
      <c r="C25" s="83" t="s">
        <v>397</v>
      </c>
      <c r="D25" s="83">
        <v>3</v>
      </c>
    </row>
    <row r="26" spans="1:5" x14ac:dyDescent="0.25">
      <c r="C26" s="83" t="s">
        <v>56</v>
      </c>
      <c r="D26" s="83">
        <v>4</v>
      </c>
    </row>
    <row r="27" spans="1:5" x14ac:dyDescent="0.25">
      <c r="C27" s="83" t="s">
        <v>57</v>
      </c>
      <c r="D27" s="83">
        <v>5</v>
      </c>
    </row>
  </sheetData>
  <sheetProtection algorithmName="SHA-512" hashValue="UclKunH7/dn2GuSxGnyz1EE8PMabL1X5YXqEZ1fGYGM9jNHSj4hjR4ApkV3a2Z2SPPaB8+9TwJwqltjPyqotOw==" saltValue="U7i9eEIcY/gyHpmUHDMPiQ==" spinCount="100000" sheet="1" objects="1" scenarios="1"/>
  <mergeCells count="1">
    <mergeCell ref="A2:A3"/>
  </mergeCell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0A701-190F-4971-BB2B-9D28766803C5}">
  <sheetPr>
    <tabColor theme="4" tint="0.79998168889431442"/>
  </sheetPr>
  <dimension ref="A1:Z79"/>
  <sheetViews>
    <sheetView showGridLines="0" topLeftCell="B1" zoomScale="70" zoomScaleNormal="70" workbookViewId="0">
      <pane ySplit="3" topLeftCell="A4" activePane="bottomLeft" state="frozen"/>
      <selection activeCell="D43" sqref="D43"/>
      <selection pane="bottomLeft" activeCell="G44" sqref="G44"/>
    </sheetView>
  </sheetViews>
  <sheetFormatPr defaultColWidth="9.140625" defaultRowHeight="15" outlineLevelCol="1" x14ac:dyDescent="0.25"/>
  <cols>
    <col min="1" max="1" width="100.7109375" hidden="1" customWidth="1" outlineLevel="1"/>
    <col min="2" max="2" width="10.7109375" style="6" customWidth="1" collapsed="1"/>
    <col min="3" max="26" width="25.7109375" customWidth="1"/>
  </cols>
  <sheetData>
    <row r="1" spans="1:26" ht="15" customHeight="1" x14ac:dyDescent="0.25">
      <c r="A1" s="1" t="s">
        <v>27</v>
      </c>
      <c r="B1" s="22"/>
      <c r="C1" s="23"/>
      <c r="D1" s="23"/>
      <c r="E1" s="23"/>
      <c r="F1" s="23"/>
      <c r="G1" s="23"/>
      <c r="H1" s="23"/>
      <c r="I1" s="23"/>
      <c r="J1" s="23"/>
      <c r="K1" s="23"/>
      <c r="L1" s="23"/>
      <c r="M1" s="23"/>
      <c r="N1" s="23"/>
      <c r="O1" s="23"/>
      <c r="P1" s="23"/>
      <c r="Q1" s="23"/>
      <c r="R1" s="23"/>
      <c r="S1" s="23"/>
      <c r="T1" s="23"/>
      <c r="U1" s="23"/>
      <c r="V1" s="23"/>
      <c r="W1" s="23"/>
      <c r="X1" s="23"/>
      <c r="Y1" s="23"/>
      <c r="Z1" s="23"/>
    </row>
    <row r="2" spans="1:26" s="4" customFormat="1" ht="50.1" customHeight="1" x14ac:dyDescent="0.25">
      <c r="A2" s="293" t="s">
        <v>257</v>
      </c>
      <c r="B2" s="26"/>
      <c r="C2" s="26" t="str">
        <f>Disclaimer!$B$1</f>
        <v>VDO calculation model</v>
      </c>
      <c r="D2" s="26"/>
      <c r="E2" s="26"/>
      <c r="F2" s="26"/>
      <c r="G2" s="26"/>
      <c r="H2" s="26"/>
      <c r="I2" s="26"/>
      <c r="J2" s="26"/>
      <c r="K2" s="26"/>
      <c r="L2" s="26"/>
      <c r="M2" s="26"/>
      <c r="N2" s="26"/>
      <c r="O2" s="26"/>
      <c r="P2" s="26"/>
      <c r="Q2" s="26"/>
      <c r="R2" s="26"/>
      <c r="S2" s="26"/>
      <c r="T2" s="26"/>
      <c r="U2" s="26"/>
      <c r="V2" s="26"/>
      <c r="W2" s="26"/>
      <c r="X2" s="26"/>
      <c r="Y2" s="26"/>
      <c r="Z2" s="26"/>
    </row>
    <row r="3" spans="1:26" s="4" customFormat="1" ht="30" customHeight="1" x14ac:dyDescent="0.25">
      <c r="A3" s="294"/>
      <c r="B3" s="28">
        <f ca="1">_xlfn.SHEET()</f>
        <v>11</v>
      </c>
      <c r="C3" s="27" t="s">
        <v>258</v>
      </c>
      <c r="D3" s="27"/>
      <c r="E3" s="27"/>
      <c r="F3" s="27"/>
      <c r="G3" s="27"/>
      <c r="H3" s="27"/>
      <c r="I3" s="27"/>
      <c r="J3" s="27"/>
      <c r="K3" s="27"/>
      <c r="L3" s="27"/>
      <c r="M3" s="27"/>
      <c r="N3" s="27"/>
      <c r="O3" s="27"/>
      <c r="P3" s="27"/>
      <c r="Q3" s="27"/>
      <c r="R3" s="27"/>
      <c r="S3" s="27"/>
      <c r="T3" s="27"/>
      <c r="U3" s="27"/>
      <c r="V3" s="27"/>
      <c r="W3" s="27"/>
      <c r="X3" s="27"/>
      <c r="Y3" s="27"/>
      <c r="Z3" s="27"/>
    </row>
    <row r="4" spans="1:26" x14ac:dyDescent="0.25">
      <c r="B4"/>
    </row>
    <row r="5" spans="1:26" ht="16.5" thickBot="1" x14ac:dyDescent="0.3">
      <c r="A5" s="1" t="s">
        <v>30</v>
      </c>
      <c r="B5" s="9">
        <f ca="1">MAX(B$3:B4)+0.1</f>
        <v>11.1</v>
      </c>
      <c r="C5" s="29" t="s">
        <v>259</v>
      </c>
      <c r="D5" s="29"/>
      <c r="E5" s="29"/>
      <c r="F5" s="29"/>
      <c r="G5" s="29"/>
      <c r="H5" s="29"/>
      <c r="I5" s="29"/>
    </row>
    <row r="7" spans="1:26" ht="15.75" x14ac:dyDescent="0.25">
      <c r="C7" s="44" t="s">
        <v>260</v>
      </c>
      <c r="D7" s="48" t="s">
        <v>261</v>
      </c>
      <c r="E7" s="49" t="s">
        <v>262</v>
      </c>
    </row>
    <row r="8" spans="1:26" x14ac:dyDescent="0.25">
      <c r="C8" s="24" t="s">
        <v>263</v>
      </c>
      <c r="D8" s="50">
        <v>43465</v>
      </c>
      <c r="E8" s="76">
        <f>IFERROR(INDEX(CPI[Indice],MATCH(D8,CPI[Period],0),1),"-")</f>
        <v>114.1</v>
      </c>
    </row>
    <row r="9" spans="1:26" x14ac:dyDescent="0.25">
      <c r="C9" s="24" t="s">
        <v>264</v>
      </c>
      <c r="D9" s="50">
        <v>43738</v>
      </c>
      <c r="E9" s="76">
        <f>IFERROR(INDEX(CPI[Indice],MATCH(D9,CPI[Period],0),1),"-")</f>
        <v>115.4</v>
      </c>
    </row>
    <row r="10" spans="1:26" x14ac:dyDescent="0.25">
      <c r="C10" s="24" t="s">
        <v>265</v>
      </c>
      <c r="D10" s="50">
        <v>44012</v>
      </c>
      <c r="E10" s="76">
        <f>IFERROR(INDEX(CPI[Indice],MATCH(D10,CPI[Period],0),1),"-")</f>
        <v>114.4</v>
      </c>
    </row>
    <row r="11" spans="1:26" x14ac:dyDescent="0.25">
      <c r="C11" s="24" t="s">
        <v>266</v>
      </c>
      <c r="D11" s="50">
        <v>44104</v>
      </c>
      <c r="E11" s="76">
        <f>IFERROR(INDEX(CPI[Indice],MATCH(D11,CPI[Period],0),1),"-")</f>
        <v>116.2</v>
      </c>
    </row>
    <row r="12" spans="1:26" x14ac:dyDescent="0.25">
      <c r="C12" s="24" t="s">
        <v>398</v>
      </c>
      <c r="D12" s="50">
        <v>44104</v>
      </c>
      <c r="E12" s="76">
        <f>IFERROR(INDEX(CPI[Indice],MATCH(D12,CPI[Period],0),1),"-")</f>
        <v>116.2</v>
      </c>
    </row>
    <row r="13" spans="1:26" x14ac:dyDescent="0.25">
      <c r="C13" s="24" t="s">
        <v>421</v>
      </c>
      <c r="D13" s="50">
        <v>44104</v>
      </c>
      <c r="E13" s="76">
        <f>IFERROR(INDEX(CPI[Indice],MATCH(D13,CPI[Period],0),1),"-")</f>
        <v>116.2</v>
      </c>
    </row>
    <row r="14" spans="1:26" x14ac:dyDescent="0.25">
      <c r="C14" s="24" t="s">
        <v>267</v>
      </c>
      <c r="D14" s="50">
        <v>44377</v>
      </c>
      <c r="E14" s="76">
        <f>IFERROR(INDEX(CPI[Indice],MATCH(D14,CPI[Period],0),1),"-")</f>
        <v>118.8</v>
      </c>
    </row>
    <row r="15" spans="1:26" x14ac:dyDescent="0.25">
      <c r="C15" s="24" t="s">
        <v>268</v>
      </c>
      <c r="D15" s="50">
        <v>44469</v>
      </c>
      <c r="E15" s="76">
        <f>IFERROR(INDEX(CPI[Indice],MATCH(D15,CPI[Period],0),1),"-")</f>
        <v>119.7</v>
      </c>
    </row>
    <row r="18" spans="1:9" ht="16.5" thickBot="1" x14ac:dyDescent="0.3">
      <c r="A18" s="1" t="s">
        <v>30</v>
      </c>
      <c r="B18" s="9">
        <f ca="1">MAX(B$3:B17)+0.1</f>
        <v>11.2</v>
      </c>
      <c r="C18" s="29" t="s">
        <v>269</v>
      </c>
      <c r="D18" s="29"/>
      <c r="E18" s="29"/>
      <c r="F18" s="29"/>
      <c r="G18" s="29"/>
      <c r="H18" s="29"/>
      <c r="I18" s="29"/>
    </row>
    <row r="20" spans="1:9" ht="15.75" x14ac:dyDescent="0.25">
      <c r="C20" s="30" t="s">
        <v>270</v>
      </c>
    </row>
    <row r="21" spans="1:9" ht="15.75" x14ac:dyDescent="0.25">
      <c r="C21" s="30" t="s">
        <v>271</v>
      </c>
    </row>
    <row r="23" spans="1:9" ht="15.75" hidden="1" x14ac:dyDescent="0.25">
      <c r="C23" s="55" t="s">
        <v>595</v>
      </c>
      <c r="D23" s="196" t="str">
        <f>"September 2021"</f>
        <v>September 2021</v>
      </c>
    </row>
    <row r="24" spans="1:9" ht="15.75" hidden="1" x14ac:dyDescent="0.25">
      <c r="C24" s="55" t="s">
        <v>596</v>
      </c>
      <c r="D24" s="196" t="s">
        <v>735</v>
      </c>
    </row>
    <row r="25" spans="1:9" hidden="1" x14ac:dyDescent="0.25"/>
    <row r="26" spans="1:9" ht="15.75" x14ac:dyDescent="0.25">
      <c r="C26" s="44" t="s">
        <v>272</v>
      </c>
      <c r="D26" s="49" t="s">
        <v>262</v>
      </c>
    </row>
    <row r="27" spans="1:9" x14ac:dyDescent="0.25">
      <c r="C27" s="46">
        <v>41090</v>
      </c>
      <c r="D27" s="47">
        <v>100.4</v>
      </c>
    </row>
    <row r="28" spans="1:9" x14ac:dyDescent="0.25">
      <c r="C28" s="46">
        <v>41182</v>
      </c>
      <c r="D28" s="47">
        <v>101.8</v>
      </c>
    </row>
    <row r="29" spans="1:9" x14ac:dyDescent="0.25">
      <c r="C29" s="46">
        <v>41274</v>
      </c>
      <c r="D29" s="47">
        <v>102</v>
      </c>
    </row>
    <row r="30" spans="1:9" x14ac:dyDescent="0.25">
      <c r="C30" s="46">
        <v>41364</v>
      </c>
      <c r="D30" s="47">
        <v>102.4</v>
      </c>
    </row>
    <row r="31" spans="1:9" x14ac:dyDescent="0.25">
      <c r="C31" s="46">
        <v>41455</v>
      </c>
      <c r="D31" s="47">
        <v>102.8</v>
      </c>
    </row>
    <row r="32" spans="1:9" x14ac:dyDescent="0.25">
      <c r="C32" s="46">
        <v>41547</v>
      </c>
      <c r="D32" s="47">
        <v>104</v>
      </c>
    </row>
    <row r="33" spans="3:4" x14ac:dyDescent="0.25">
      <c r="C33" s="46">
        <v>41639</v>
      </c>
      <c r="D33" s="47">
        <v>104.8</v>
      </c>
    </row>
    <row r="34" spans="3:4" x14ac:dyDescent="0.25">
      <c r="C34" s="46">
        <v>41729</v>
      </c>
      <c r="D34" s="47">
        <v>105.4</v>
      </c>
    </row>
    <row r="35" spans="3:4" x14ac:dyDescent="0.25">
      <c r="C35" s="46">
        <v>41820</v>
      </c>
      <c r="D35" s="47">
        <v>105.9</v>
      </c>
    </row>
    <row r="36" spans="3:4" x14ac:dyDescent="0.25">
      <c r="C36" s="46">
        <v>41912</v>
      </c>
      <c r="D36" s="47">
        <v>106.4</v>
      </c>
    </row>
    <row r="37" spans="3:4" x14ac:dyDescent="0.25">
      <c r="C37" s="46">
        <v>42004</v>
      </c>
      <c r="D37" s="47">
        <v>106.6</v>
      </c>
    </row>
    <row r="38" spans="3:4" x14ac:dyDescent="0.25">
      <c r="C38" s="46">
        <v>42094</v>
      </c>
      <c r="D38" s="47">
        <v>106.8</v>
      </c>
    </row>
    <row r="39" spans="3:4" x14ac:dyDescent="0.25">
      <c r="C39" s="46">
        <v>42185</v>
      </c>
      <c r="D39" s="47">
        <v>107.5</v>
      </c>
    </row>
    <row r="40" spans="3:4" x14ac:dyDescent="0.25">
      <c r="C40" s="46">
        <v>42277</v>
      </c>
      <c r="D40" s="47">
        <v>108</v>
      </c>
    </row>
    <row r="41" spans="3:4" x14ac:dyDescent="0.25">
      <c r="C41" s="46">
        <v>42369</v>
      </c>
      <c r="D41" s="47">
        <v>108.4</v>
      </c>
    </row>
    <row r="42" spans="3:4" x14ac:dyDescent="0.25">
      <c r="C42" s="46">
        <v>42460</v>
      </c>
      <c r="D42" s="47">
        <v>108.2</v>
      </c>
    </row>
    <row r="43" spans="3:4" x14ac:dyDescent="0.25">
      <c r="C43" s="46">
        <v>42551</v>
      </c>
      <c r="D43" s="47">
        <v>108.6</v>
      </c>
    </row>
    <row r="44" spans="3:4" x14ac:dyDescent="0.25">
      <c r="C44" s="46">
        <v>42643</v>
      </c>
      <c r="D44" s="47">
        <v>109.4</v>
      </c>
    </row>
    <row r="45" spans="3:4" x14ac:dyDescent="0.25">
      <c r="C45" s="46">
        <v>42735</v>
      </c>
      <c r="D45" s="47">
        <v>110</v>
      </c>
    </row>
    <row r="46" spans="3:4" x14ac:dyDescent="0.25">
      <c r="C46" s="46">
        <v>42825</v>
      </c>
      <c r="D46" s="47">
        <v>110.5</v>
      </c>
    </row>
    <row r="47" spans="3:4" x14ac:dyDescent="0.25">
      <c r="C47" s="46">
        <v>42916</v>
      </c>
      <c r="D47" s="47">
        <v>110.7</v>
      </c>
    </row>
    <row r="48" spans="3:4" x14ac:dyDescent="0.25">
      <c r="C48" s="46">
        <v>43008</v>
      </c>
      <c r="D48" s="47">
        <v>111.4</v>
      </c>
    </row>
    <row r="49" spans="3:4" x14ac:dyDescent="0.25">
      <c r="C49" s="46">
        <v>43100</v>
      </c>
      <c r="D49" s="47">
        <v>112.1</v>
      </c>
    </row>
    <row r="50" spans="3:4" x14ac:dyDescent="0.25">
      <c r="C50" s="46">
        <v>43190</v>
      </c>
      <c r="D50" s="47">
        <v>112.6</v>
      </c>
    </row>
    <row r="51" spans="3:4" x14ac:dyDescent="0.25">
      <c r="C51" s="46">
        <v>43281</v>
      </c>
      <c r="D51" s="47">
        <v>113</v>
      </c>
    </row>
    <row r="52" spans="3:4" x14ac:dyDescent="0.25">
      <c r="C52" s="46">
        <v>43373</v>
      </c>
      <c r="D52" s="47">
        <v>113.5</v>
      </c>
    </row>
    <row r="53" spans="3:4" x14ac:dyDescent="0.25">
      <c r="C53" s="46">
        <v>43465</v>
      </c>
      <c r="D53" s="47">
        <v>114.1</v>
      </c>
    </row>
    <row r="54" spans="3:4" x14ac:dyDescent="0.25">
      <c r="C54" s="46">
        <v>43555</v>
      </c>
      <c r="D54" s="47">
        <v>114.1</v>
      </c>
    </row>
    <row r="55" spans="3:4" x14ac:dyDescent="0.25">
      <c r="C55" s="46">
        <v>43646</v>
      </c>
      <c r="D55" s="47">
        <v>114.8</v>
      </c>
    </row>
    <row r="56" spans="3:4" x14ac:dyDescent="0.25">
      <c r="C56" s="46">
        <v>43738</v>
      </c>
      <c r="D56" s="47">
        <v>115.4</v>
      </c>
    </row>
    <row r="57" spans="3:4" x14ac:dyDescent="0.25">
      <c r="C57" s="46">
        <v>43830</v>
      </c>
      <c r="D57" s="47">
        <v>116.2</v>
      </c>
    </row>
    <row r="58" spans="3:4" x14ac:dyDescent="0.25">
      <c r="C58" s="46">
        <v>43921</v>
      </c>
      <c r="D58" s="47">
        <v>116.6</v>
      </c>
    </row>
    <row r="59" spans="3:4" x14ac:dyDescent="0.25">
      <c r="C59" s="46">
        <v>44012</v>
      </c>
      <c r="D59" s="47">
        <v>114.4</v>
      </c>
    </row>
    <row r="60" spans="3:4" x14ac:dyDescent="0.25">
      <c r="C60" s="46">
        <v>44104</v>
      </c>
      <c r="D60" s="47">
        <v>116.2</v>
      </c>
    </row>
    <row r="61" spans="3:4" x14ac:dyDescent="0.25">
      <c r="C61" s="46">
        <v>44196</v>
      </c>
      <c r="D61" s="47">
        <v>117.2</v>
      </c>
    </row>
    <row r="62" spans="3:4" x14ac:dyDescent="0.25">
      <c r="C62" s="107">
        <v>44286</v>
      </c>
      <c r="D62" s="47">
        <v>117.9</v>
      </c>
    </row>
    <row r="63" spans="3:4" x14ac:dyDescent="0.25">
      <c r="C63" s="107">
        <v>44377</v>
      </c>
      <c r="D63" s="47">
        <v>118.8</v>
      </c>
    </row>
    <row r="64" spans="3:4" x14ac:dyDescent="0.25">
      <c r="C64" s="107">
        <v>44469</v>
      </c>
      <c r="D64" s="47">
        <v>119.7</v>
      </c>
    </row>
    <row r="65" spans="1:9" x14ac:dyDescent="0.25">
      <c r="C65" s="107">
        <v>44561</v>
      </c>
      <c r="D65" s="47"/>
    </row>
    <row r="68" spans="1:9" hidden="1" x14ac:dyDescent="0.25"/>
    <row r="69" spans="1:9" ht="16.5" hidden="1" thickBot="1" x14ac:dyDescent="0.3">
      <c r="A69" s="1" t="s">
        <v>30</v>
      </c>
      <c r="B69" s="9">
        <f ca="1">MAX(B$3:B68)+0.1</f>
        <v>11.299999999999999</v>
      </c>
      <c r="C69" s="29" t="s">
        <v>745</v>
      </c>
      <c r="D69" s="29"/>
      <c r="E69" s="29"/>
      <c r="F69" s="29"/>
      <c r="G69" s="29"/>
      <c r="H69" s="29"/>
      <c r="I69" s="29"/>
    </row>
    <row r="70" spans="1:9" hidden="1" x14ac:dyDescent="0.25"/>
    <row r="71" spans="1:9" hidden="1" x14ac:dyDescent="0.25">
      <c r="C71" t="s">
        <v>54</v>
      </c>
      <c r="D71" t="s">
        <v>266</v>
      </c>
      <c r="E71" t="s">
        <v>398</v>
      </c>
      <c r="F71" t="s">
        <v>421</v>
      </c>
      <c r="G71" t="s">
        <v>267</v>
      </c>
      <c r="H71" t="s">
        <v>268</v>
      </c>
    </row>
    <row r="72" spans="1:9" hidden="1" x14ac:dyDescent="0.25">
      <c r="C72" t="s">
        <v>116</v>
      </c>
      <c r="D72" s="2" t="s">
        <v>570</v>
      </c>
      <c r="E72" s="2" t="s">
        <v>570</v>
      </c>
      <c r="F72" s="2" t="s">
        <v>570</v>
      </c>
      <c r="G72" s="2" t="s">
        <v>570</v>
      </c>
      <c r="H72" s="2" t="s">
        <v>570</v>
      </c>
    </row>
    <row r="73" spans="1:9" hidden="1" x14ac:dyDescent="0.25">
      <c r="C73" t="s">
        <v>123</v>
      </c>
      <c r="D73" s="2" t="s">
        <v>570</v>
      </c>
      <c r="E73" s="2" t="s">
        <v>570</v>
      </c>
      <c r="F73" s="2" t="s">
        <v>570</v>
      </c>
      <c r="G73" s="2" t="s">
        <v>570</v>
      </c>
      <c r="H73" s="2" t="s">
        <v>570</v>
      </c>
    </row>
    <row r="74" spans="1:9" hidden="1" x14ac:dyDescent="0.25">
      <c r="C74" t="s">
        <v>125</v>
      </c>
      <c r="D74" s="2" t="s">
        <v>570</v>
      </c>
      <c r="E74" s="2" t="s">
        <v>570</v>
      </c>
      <c r="F74" s="2" t="s">
        <v>570</v>
      </c>
      <c r="G74" s="2" t="s">
        <v>570</v>
      </c>
      <c r="H74" s="2" t="s">
        <v>326</v>
      </c>
    </row>
    <row r="75" spans="1:9" hidden="1" x14ac:dyDescent="0.25">
      <c r="C75" t="s">
        <v>126</v>
      </c>
      <c r="D75" s="2" t="s">
        <v>570</v>
      </c>
      <c r="E75" s="2" t="s">
        <v>570</v>
      </c>
      <c r="F75" s="2" t="s">
        <v>570</v>
      </c>
      <c r="G75" s="2" t="s">
        <v>570</v>
      </c>
      <c r="H75" s="2" t="s">
        <v>570</v>
      </c>
    </row>
    <row r="76" spans="1:9" hidden="1" x14ac:dyDescent="0.25">
      <c r="C76" t="s">
        <v>633</v>
      </c>
      <c r="D76" s="2" t="s">
        <v>570</v>
      </c>
      <c r="E76" s="2" t="s">
        <v>570</v>
      </c>
      <c r="F76" s="2" t="s">
        <v>570</v>
      </c>
      <c r="G76" s="2" t="s">
        <v>326</v>
      </c>
      <c r="H76" s="2" t="s">
        <v>326</v>
      </c>
    </row>
    <row r="77" spans="1:9" hidden="1" x14ac:dyDescent="0.25">
      <c r="C77" t="s">
        <v>129</v>
      </c>
      <c r="D77" s="2" t="s">
        <v>570</v>
      </c>
      <c r="E77" s="2" t="s">
        <v>570</v>
      </c>
      <c r="F77" s="2" t="s">
        <v>570</v>
      </c>
      <c r="G77" s="2" t="s">
        <v>326</v>
      </c>
      <c r="H77" s="2" t="s">
        <v>326</v>
      </c>
    </row>
    <row r="78" spans="1:9" hidden="1" x14ac:dyDescent="0.25">
      <c r="C78" t="s">
        <v>169</v>
      </c>
      <c r="D78" s="2" t="s">
        <v>570</v>
      </c>
      <c r="E78" s="2" t="s">
        <v>570</v>
      </c>
      <c r="F78" s="2" t="s">
        <v>570</v>
      </c>
      <c r="G78" s="2" t="s">
        <v>326</v>
      </c>
      <c r="H78" s="2" t="s">
        <v>326</v>
      </c>
    </row>
    <row r="79" spans="1:9" hidden="1" x14ac:dyDescent="0.25"/>
  </sheetData>
  <sheetProtection algorithmName="SHA-512" hashValue="XGrdNPiG3PdM0hUxyRJ/UpyaXyErqNZnV8BHhQmrc/LBiyhI+ld+n9wQdOa57UhqYM8YpXPCnjTf7gLWg1PVIA==" saltValue="bZ5yEMWoP1eY1w6/roWXzg==" spinCount="100000" sheet="1" objects="1" scenarios="1"/>
  <mergeCells count="1">
    <mergeCell ref="A2:A3"/>
  </mergeCells>
  <pageMargins left="0.7" right="0.7" top="0.75" bottom="0.75" header="0.3" footer="0.3"/>
  <tableParts count="3">
    <tablePart r:id="rId1"/>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60750735-AC25-4CD6-90CF-6D1FD29F38AF}">
          <x14:formula1>
            <xm:f>'Lookup refs'!$M$8:$M$9</xm:f>
          </x14:formula1>
          <xm:sqref>D72:H78</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EA185-BE6B-4916-A39F-BB308B95FEDF}">
  <sheetPr codeName="Sheet19">
    <tabColor rgb="FF236192"/>
    <outlinePr summaryBelow="0"/>
  </sheetPr>
  <dimension ref="A1:S504"/>
  <sheetViews>
    <sheetView showGridLines="0" topLeftCell="B1" zoomScale="70" zoomScaleNormal="70" workbookViewId="0">
      <pane ySplit="3" topLeftCell="A4" activePane="bottomLeft" state="frozen"/>
      <selection pane="bottomLeft" activeCell="Q275" sqref="Q275"/>
    </sheetView>
  </sheetViews>
  <sheetFormatPr defaultColWidth="9.140625" defaultRowHeight="15" outlineLevelRow="1" outlineLevelCol="1" x14ac:dyDescent="0.25"/>
  <cols>
    <col min="1" max="1" width="100.7109375" hidden="1" customWidth="1" outlineLevel="1" collapsed="1"/>
    <col min="2" max="2" width="10.7109375" style="6" customWidth="1" collapsed="1"/>
    <col min="3" max="3" width="50.7109375" customWidth="1"/>
    <col min="4" max="11" width="20.7109375" customWidth="1"/>
  </cols>
  <sheetData>
    <row r="1" spans="1:11" ht="15" customHeight="1" x14ac:dyDescent="0.25">
      <c r="A1" s="1" t="s">
        <v>27</v>
      </c>
      <c r="B1" s="22"/>
      <c r="C1" s="23"/>
      <c r="D1" s="125" t="s">
        <v>273</v>
      </c>
      <c r="E1" s="97"/>
      <c r="F1" s="23"/>
      <c r="G1" s="23"/>
      <c r="H1" s="23"/>
      <c r="I1" s="23"/>
      <c r="J1" s="23"/>
      <c r="K1" s="23"/>
    </row>
    <row r="2" spans="1:11" s="4" customFormat="1" ht="50.1" customHeight="1" x14ac:dyDescent="0.25">
      <c r="A2" s="293" t="s">
        <v>28</v>
      </c>
      <c r="B2" s="26"/>
      <c r="C2" s="26" t="str">
        <f>Disclaimer!$B$1</f>
        <v>VDO calculation model</v>
      </c>
      <c r="D2" s="202" t="str">
        <f>$D$5</f>
        <v>VDO 2021 - Variation final</v>
      </c>
      <c r="E2" s="202" t="str">
        <f>$D$251</f>
        <v>VDO 2022 - Final</v>
      </c>
      <c r="F2" s="26"/>
      <c r="G2" s="26"/>
      <c r="H2" s="26"/>
      <c r="I2" s="26"/>
      <c r="J2" s="26"/>
      <c r="K2" s="26"/>
    </row>
    <row r="3" spans="1:11" s="4" customFormat="1" ht="30" customHeight="1" x14ac:dyDescent="0.25">
      <c r="A3" s="294"/>
      <c r="B3" s="28">
        <f ca="1">_xlfn.SHEET()</f>
        <v>12</v>
      </c>
      <c r="C3" s="27" t="s">
        <v>274</v>
      </c>
      <c r="D3" s="96">
        <f>SUM($G$23:$K$23,$G$48:$K$48,$G$66:$K$66,$G$73:$K$73,$G$80:$K$80,$G$88:$K$88,$G$102:$K$102,$G$111:$K$111,$G$118:$K$118,$G$125:$K$125,$G$133:$K$133,$G$140:$K$140,$G$95:$K$95)</f>
        <v>0</v>
      </c>
      <c r="E3" s="96">
        <f>SUM($G$269:$K$269,$G$294:$K$294,$G$312:$K$312,$G$319:$K$319,$G$326:$K$326,$G$334:$K$334,$G$341:$K$341,$G$348:$K$348,$G$357:$K$357,$G$364:$K$364,$G$371:$K$371,$G$379:$K$379,$G$386:$K$386)</f>
        <v>0</v>
      </c>
      <c r="F3" s="27"/>
      <c r="G3" s="27"/>
      <c r="H3" s="27"/>
      <c r="I3" s="27"/>
      <c r="J3" s="27"/>
      <c r="K3" s="27"/>
    </row>
    <row r="4" spans="1:11" x14ac:dyDescent="0.25">
      <c r="B4"/>
    </row>
    <row r="5" spans="1:11" ht="15.75" hidden="1" x14ac:dyDescent="0.25">
      <c r="B5"/>
      <c r="C5" s="55" t="s">
        <v>109</v>
      </c>
      <c r="D5" s="98" t="s">
        <v>421</v>
      </c>
    </row>
    <row r="6" spans="1:11" hidden="1" x14ac:dyDescent="0.25">
      <c r="B6"/>
    </row>
    <row r="7" spans="1:11" ht="16.5" hidden="1" thickBot="1" x14ac:dyDescent="0.3">
      <c r="A7" s="1" t="s">
        <v>30</v>
      </c>
      <c r="B7" s="9">
        <f ca="1">MAX(B$3:B6)+0.1</f>
        <v>12.1</v>
      </c>
      <c r="C7" s="29" t="s">
        <v>275</v>
      </c>
      <c r="D7" s="29"/>
      <c r="E7" s="29"/>
      <c r="F7" s="29"/>
      <c r="G7" s="29"/>
      <c r="H7" s="29"/>
      <c r="I7" s="29"/>
      <c r="J7" s="29"/>
      <c r="K7" s="29"/>
    </row>
    <row r="8" spans="1:11" hidden="1" x14ac:dyDescent="0.25">
      <c r="B8"/>
      <c r="I8" s="88"/>
    </row>
    <row r="9" spans="1:11" ht="15.75" hidden="1" x14ac:dyDescent="0.25">
      <c r="B9"/>
      <c r="C9" s="44" t="s">
        <v>276</v>
      </c>
      <c r="D9" s="44" t="s">
        <v>110</v>
      </c>
      <c r="E9" s="44" t="s">
        <v>111</v>
      </c>
      <c r="F9" s="44" t="s">
        <v>99</v>
      </c>
      <c r="G9" s="61" t="s">
        <v>277</v>
      </c>
      <c r="H9" s="61" t="s">
        <v>278</v>
      </c>
      <c r="I9" s="61" t="s">
        <v>279</v>
      </c>
      <c r="J9" s="61" t="s">
        <v>280</v>
      </c>
      <c r="K9" s="61" t="s">
        <v>281</v>
      </c>
    </row>
    <row r="10" spans="1:11" hidden="1" x14ac:dyDescent="0.25">
      <c r="B10"/>
      <c r="C10" s="24" t="s">
        <v>115</v>
      </c>
      <c r="D10" s="24" t="s">
        <v>117</v>
      </c>
      <c r="E10" s="24" t="s">
        <v>118</v>
      </c>
      <c r="F10" s="24" t="s">
        <v>119</v>
      </c>
      <c r="G10" s="74">
        <f>SUMIFS(Calc_Retail_1[Ausnet],Calc_Retail_1[[Fixed/Variable]:[Fixed/Variable]],$D10,Calc_Retail_1[[Customer type]:[Customer type]],$F10)</f>
        <v>181.75878095302619</v>
      </c>
      <c r="H10" s="74">
        <f>SUMIFS(Calc_Retail_1[Citipower],Calc_Retail_1[[Fixed/Variable]:[Fixed/Variable]],$D10,Calc_Retail_1[[Customer type]:[Customer type]],$F10)</f>
        <v>181.75878095302619</v>
      </c>
      <c r="I10" s="74">
        <f>SUMIFS(Calc_Retail_1[Jemena],Calc_Retail_1[[Fixed/Variable]:[Fixed/Variable]],$D10,Calc_Retail_1[[Customer type]:[Customer type]],$F10)</f>
        <v>181.75878095302619</v>
      </c>
      <c r="J10" s="74">
        <f>SUMIFS(Calc_Retail_1[Powercor],Calc_Retail_1[[Fixed/Variable]:[Fixed/Variable]],$D10,Calc_Retail_1[[Customer type]:[Customer type]],$F10)</f>
        <v>181.75878095302619</v>
      </c>
      <c r="K10" s="74">
        <f>SUMIFS(Calc_Retail_1[United Energy],Calc_Retail_1[[Fixed/Variable]:[Fixed/Variable]],$D10,Calc_Retail_1[[Customer type]:[Customer type]],$F10)</f>
        <v>181.75878095302619</v>
      </c>
    </row>
    <row r="11" spans="1:11" hidden="1" x14ac:dyDescent="0.25">
      <c r="B11"/>
      <c r="C11" s="24" t="s">
        <v>282</v>
      </c>
      <c r="D11" s="24" t="s">
        <v>117</v>
      </c>
      <c r="E11" s="24" t="s">
        <v>118</v>
      </c>
      <c r="F11" s="24" t="s">
        <v>119</v>
      </c>
      <c r="G11" s="78">
        <f>SUMIFS(Calc_OtherCosts_1[Ausnet],Calc_OtherCosts_1[[Fixed/Variable]:[Fixed/Variable]],$D11,Calc_OtherCosts_1[[Customer type]:[Customer type]],$F11)</f>
        <v>6.126692642408659</v>
      </c>
      <c r="H11" s="74">
        <f>SUMIFS(Calc_OtherCosts_1[Citipower],Calc_OtherCosts_1[[Fixed/Variable]:[Fixed/Variable]],$D11,Calc_OtherCosts_1[[Customer type]:[Customer type]],$F11)</f>
        <v>6.126692642408659</v>
      </c>
      <c r="I11" s="74">
        <f>SUMIFS(Calc_OtherCosts_1[Jemena],Calc_OtherCosts_1[[Fixed/Variable]:[Fixed/Variable]],$D11,Calc_OtherCosts_1[[Customer type]:[Customer type]],$F11)</f>
        <v>6.126692642408659</v>
      </c>
      <c r="J11" s="74">
        <f>SUMIFS(Calc_OtherCosts_1[Powercor],Calc_OtherCosts_1[[Fixed/Variable]:[Fixed/Variable]],$D11,Calc_OtherCosts_1[[Customer type]:[Customer type]],$F11)</f>
        <v>6.126692642408659</v>
      </c>
      <c r="K11" s="74">
        <f>SUMIFS(Calc_OtherCosts_1[United Energy],Calc_OtherCosts_1[[Fixed/Variable]:[Fixed/Variable]],$D11,Calc_OtherCosts_1[[Customer type]:[Customer type]],$F11)</f>
        <v>6.126692642408659</v>
      </c>
    </row>
    <row r="12" spans="1:11" hidden="1" x14ac:dyDescent="0.25">
      <c r="B12"/>
      <c r="C12" s="24" t="s">
        <v>283</v>
      </c>
      <c r="D12" s="24" t="s">
        <v>117</v>
      </c>
      <c r="E12" s="24" t="s">
        <v>118</v>
      </c>
      <c r="F12" s="24" t="s">
        <v>119</v>
      </c>
      <c r="G12" s="74">
        <f>SUMIFS(Calc_FiT_1[Ausnet],Calc_FiT_1[[Fixed/Variable]:[Fixed/Variable]],$D12,Calc_FiT_1[[Customer type]:[Customer type]],$F12)</f>
        <v>10.849248189087444</v>
      </c>
      <c r="H12" s="74">
        <f>SUMIFS(Calc_FiT_1[Citipower],Calc_FiT_1[[Fixed/Variable]:[Fixed/Variable]],$D12,Calc_FiT_1[[Customer type]:[Customer type]],$F12)</f>
        <v>10.849248189087444</v>
      </c>
      <c r="I12" s="74">
        <f>SUMIFS(Calc_FiT_1[Jemena],Calc_FiT_1[[Fixed/Variable]:[Fixed/Variable]],$D12,Calc_FiT_1[[Customer type]:[Customer type]],$F12)</f>
        <v>10.849248189087444</v>
      </c>
      <c r="J12" s="74">
        <f>SUMIFS(Calc_FiT_1[Powercor],Calc_FiT_1[[Fixed/Variable]:[Fixed/Variable]],$D12,Calc_FiT_1[[Customer type]:[Customer type]],$F12)</f>
        <v>10.849248189087444</v>
      </c>
      <c r="K12" s="74">
        <f>SUMIFS(Calc_FiT_1[United Energy],Calc_FiT_1[[Fixed/Variable]:[Fixed/Variable]],$D12,Calc_FiT_1[[Customer type]:[Customer type]],$F12)</f>
        <v>10.849248189087444</v>
      </c>
    </row>
    <row r="13" spans="1:11" hidden="1" x14ac:dyDescent="0.25">
      <c r="B13"/>
      <c r="C13" s="24" t="s">
        <v>284</v>
      </c>
      <c r="D13" s="24" t="s">
        <v>117</v>
      </c>
      <c r="E13" s="24" t="s">
        <v>118</v>
      </c>
      <c r="F13" s="24" t="s">
        <v>119</v>
      </c>
      <c r="G13" s="74">
        <f>SUMIFS(Calc_NetworkF_1[Ausnet],Calc_NetworkF_1[[Fixed/Variable]:[Fixed/Variable]],$D13,Calc_NetworkF_1[[Customer type]:[Customer type]],$F13)</f>
        <v>63.7</v>
      </c>
      <c r="H13" s="74">
        <f>SUMIFS(Calc_NetworkF_1[Citipower],Calc_NetworkF_1[[Fixed/Variable]:[Fixed/Variable]],$D13,Calc_NetworkF_1[[Customer type]:[Customer type]],$F13)</f>
        <v>59.4</v>
      </c>
      <c r="I13" s="74">
        <f>SUMIFS(Calc_NetworkF_1[Jemena],Calc_NetworkF_1[[Fixed/Variable]:[Fixed/Variable]],$D13,Calc_NetworkF_1[[Customer type]:[Customer type]],$F13)</f>
        <v>54.19</v>
      </c>
      <c r="J13" s="74">
        <f>SUMIFS(Calc_NetworkF_1[Powercor],Calc_NetworkF_1[[Fixed/Variable]:[Fixed/Variable]],$D13,Calc_NetworkF_1[[Customer type]:[Customer type]],$F13)</f>
        <v>58</v>
      </c>
      <c r="K13" s="74">
        <f>SUMIFS(Calc_NetworkF_1[United Energy],Calc_NetworkF_1[[Fixed/Variable]:[Fixed/Variable]],$D13,Calc_NetworkF_1[[Customer type]:[Customer type]],$F13)</f>
        <v>42.92</v>
      </c>
    </row>
    <row r="14" spans="1:11" hidden="1" x14ac:dyDescent="0.25">
      <c r="B14"/>
    </row>
    <row r="15" spans="1:11" ht="15.75" hidden="1" x14ac:dyDescent="0.25">
      <c r="B15"/>
      <c r="C15" s="30" t="s">
        <v>285</v>
      </c>
    </row>
    <row r="16" spans="1:11" ht="15.75" hidden="1" x14ac:dyDescent="0.25">
      <c r="B16"/>
      <c r="C16" s="82" t="s">
        <v>509</v>
      </c>
    </row>
    <row r="17" spans="2:11" hidden="1" x14ac:dyDescent="0.25">
      <c r="B17"/>
      <c r="C17" s="24" t="s">
        <v>295</v>
      </c>
      <c r="D17" s="24" t="s">
        <v>11</v>
      </c>
      <c r="E17" s="24" t="s">
        <v>118</v>
      </c>
      <c r="F17" s="24" t="s">
        <v>100</v>
      </c>
      <c r="G17" s="62">
        <f>SUMIFS(Calc_NetworkF_1[Ausnet],Calc_NetworkF_1[[Cost item]:[Cost item]],$C16,Calc_NetworkF_1[[Customer type]:[Customer type]],$F17)</f>
        <v>111.11</v>
      </c>
      <c r="H17" s="62">
        <f>SUMIFS(Calc_NetworkF_1[Citipower],Calc_NetworkF_1[[Cost item]:[Cost item]],$C16,Calc_NetworkF_1[[Customer type]:[Customer type]],$F17)</f>
        <v>90.009</v>
      </c>
      <c r="I17" s="62">
        <f>SUMIFS(Calc_NetworkF_1[Jemena],Calc_NetworkF_1[[Cost item]:[Cost item]],$C16,Calc_NetworkF_1[[Customer type]:[Customer type]],$F17)</f>
        <v>82.195999999999998</v>
      </c>
      <c r="J17" s="62">
        <f>SUMIFS(Calc_NetworkF_1[Powercor],Calc_NetworkF_1[[Cost item]:[Cost item]],$C16,Calc_NetworkF_1[[Customer type]:[Customer type]],$F17)</f>
        <v>139.97749999999999</v>
      </c>
      <c r="K17" s="62">
        <f>SUMIFS(Calc_NetworkF_1[United Energy],Calc_NetworkF_1[[Cost item]:[Cost item]],$C16,Calc_NetworkF_1[[Customer type]:[Customer type]],$F17)</f>
        <v>80.007999999999996</v>
      </c>
    </row>
    <row r="18" spans="2:11" hidden="1" x14ac:dyDescent="0.25">
      <c r="B18"/>
      <c r="C18" s="24" t="s">
        <v>276</v>
      </c>
      <c r="D18" s="24" t="s">
        <v>11</v>
      </c>
      <c r="E18" s="24" t="s">
        <v>118</v>
      </c>
      <c r="F18" s="24" t="s">
        <v>100</v>
      </c>
      <c r="G18" s="74">
        <f>IF(G17=0,"-",SUMIFS(Calc_Fixed_1[Ausnet],Calc_Fixed_1[Customer type],"All")+SUMIFS(Calc_Fixed_1[Ausnet],Calc_Fixed_1[Customer type],$F19))</f>
        <v>262.43472178452231</v>
      </c>
      <c r="H18" s="74">
        <f>IF(H17=0,"-",SUMIFS(Calc_Fixed_1[Citipower],Calc_Fixed_1[[Customer type]:[Customer type]],"All")+SUMIFS(Calc_Fixed_1[Citipower],Calc_Fixed_1[[Customer type]:[Customer type]],$F19))</f>
        <v>258.1347217845223</v>
      </c>
      <c r="I18" s="74">
        <f>IF(I17=0,"-",SUMIFS(Calc_Fixed_1[Jemena],Calc_Fixed_1[[Customer type]:[Customer type]],"All")+SUMIFS(Calc_Fixed_1[Jemena],Calc_Fixed_1[[Customer type]:[Customer type]],$F19))</f>
        <v>252.92472178452229</v>
      </c>
      <c r="J18" s="74">
        <f>IF(J17=0,"-",SUMIFS(Calc_Fixed_1[Powercor],Calc_Fixed_1[[Customer type]:[Customer type]],"All")+SUMIFS(Calc_Fixed_1[Powercor],Calc_Fixed_1[[Customer type]:[Customer type]],$F19))</f>
        <v>256.73472178452232</v>
      </c>
      <c r="K18" s="74">
        <f>IF(K17=0,"-",SUMIFS(Calc_Fixed_1[United Energy],Calc_Fixed_1[[Customer type]:[Customer type]],"All")+SUMIFS(Calc_Fixed_1[United Energy],Calc_Fixed_1[[Customer type]:[Customer type]],$F19))</f>
        <v>241.65472178452228</v>
      </c>
    </row>
    <row r="19" spans="2:11" hidden="1" x14ac:dyDescent="0.25">
      <c r="B19"/>
      <c r="C19" s="24" t="s">
        <v>212</v>
      </c>
      <c r="D19" s="24" t="s">
        <v>11</v>
      </c>
      <c r="E19" s="24" t="s">
        <v>118</v>
      </c>
      <c r="F19" s="24" t="s">
        <v>100</v>
      </c>
      <c r="G19" s="74" cm="1">
        <f t="array" ref="G19">IF(G17=0,"-",(G17+G18)*Calc_ROM_1[Ausnet])</f>
        <v>22.56210119578515</v>
      </c>
      <c r="H19" s="74" cm="1">
        <f t="array" ref="H19">IF(H17=0,"-",(H17+H18)*Calc_ROM_1[Citipower])</f>
        <v>21.027880795785148</v>
      </c>
      <c r="I19" s="74" cm="1">
        <f t="array" ref="I19">IF(I17=0,"-",(I17+I18)*Calc_ROM_1[Jemena])</f>
        <v>20.241291595785146</v>
      </c>
      <c r="J19" s="74" cm="1">
        <f t="array" ref="J19">IF(J17=0,"-",(J17+J18)*Calc_ROM_1[Powercor])</f>
        <v>23.961418195785146</v>
      </c>
      <c r="K19" s="74" cm="1">
        <f t="array" ref="K19">IF(K17=0,"-",(K17+K18)*Calc_ROM_1[United Energy])</f>
        <v>19.428428395785144</v>
      </c>
    </row>
    <row r="20" spans="2:11" hidden="1" x14ac:dyDescent="0.25">
      <c r="B20"/>
      <c r="C20" s="24" t="s">
        <v>286</v>
      </c>
      <c r="D20" s="24" t="s">
        <v>11</v>
      </c>
      <c r="E20" s="24" t="s">
        <v>118</v>
      </c>
      <c r="F20" s="24" t="s">
        <v>100</v>
      </c>
      <c r="G20" s="74">
        <f>IF(G17=0,"-",(G17+G18+G19)*GST)</f>
        <v>39.610682298030753</v>
      </c>
      <c r="H20" s="74">
        <f>IF(H17=0,"-",(H17+H18+H19)*GST)</f>
        <v>36.917160258030748</v>
      </c>
      <c r="I20" s="74">
        <f>IF(I17=0,"-",(I17+I18+I19)*GST)</f>
        <v>35.536201338030743</v>
      </c>
      <c r="J20" s="74">
        <f>IF(J17=0,"-",(J17+J18+J19)*GST)</f>
        <v>42.067363998030743</v>
      </c>
      <c r="K20" s="74">
        <f>IF(K17=0,"-",(K17+K18+K19)*GST)</f>
        <v>34.109115018030742</v>
      </c>
    </row>
    <row r="21" spans="2:11" hidden="1" x14ac:dyDescent="0.25">
      <c r="B21"/>
      <c r="C21" s="24" t="s">
        <v>287</v>
      </c>
      <c r="D21" s="24" t="s">
        <v>11</v>
      </c>
      <c r="E21" s="24" t="s">
        <v>118</v>
      </c>
      <c r="F21" s="24" t="s">
        <v>100</v>
      </c>
      <c r="G21" s="74">
        <f>IF(G17=0,"-",G17+G18+G19+G20)</f>
        <v>435.71750527833819</v>
      </c>
      <c r="H21" s="74">
        <f t="shared" ref="H21:K21" si="0">IF(H17=0,"-",H17+H18+H19+H20)</f>
        <v>406.0887628383382</v>
      </c>
      <c r="I21" s="74">
        <f t="shared" si="0"/>
        <v>390.89821471833818</v>
      </c>
      <c r="J21" s="74">
        <f t="shared" si="0"/>
        <v>462.7410039783382</v>
      </c>
      <c r="K21" s="74">
        <f t="shared" si="0"/>
        <v>375.20026519833817</v>
      </c>
    </row>
    <row r="22" spans="2:11" hidden="1" x14ac:dyDescent="0.25">
      <c r="B22"/>
      <c r="C22" s="24" t="str">
        <f>C16</f>
        <v>Anytime - supply</v>
      </c>
      <c r="D22" s="24" t="s">
        <v>11</v>
      </c>
      <c r="E22" s="24" t="s">
        <v>118</v>
      </c>
      <c r="F22" s="24" t="s">
        <v>100</v>
      </c>
      <c r="G22" s="75">
        <f>IF(G17=0,"-",G21/DiY)</f>
        <v>1.1937465898036663</v>
      </c>
      <c r="H22" s="75">
        <f>IF(H17=0,"-",H21/DiY)</f>
        <v>1.1125719529817484</v>
      </c>
      <c r="I22" s="75">
        <f>IF(I17=0,"-",I21/DiY)</f>
        <v>1.0709540129269539</v>
      </c>
      <c r="J22" s="75">
        <f>IF(J17=0,"-",J21/DiY)</f>
        <v>1.2677835725433924</v>
      </c>
      <c r="K22" s="75">
        <f>IF(K17=0,"-",K21/DiY)</f>
        <v>1.0279459320502415</v>
      </c>
    </row>
    <row r="23" spans="2:11" hidden="1" x14ac:dyDescent="0.25">
      <c r="B23"/>
      <c r="G23" s="111" cm="1">
        <f t="array" ref="G23">IF(G17=0,"-",
IF($D$251='Lookup refs'!$D$25,
IF(G22=INDEX(RateCheck_VDO2021F[[Ausnet]:[United Energy]],MATCH(Calc_Rates!$C22&amp;"_"&amp;Calc_Rates!$F22,RateCheck_VDO2021F[Rate],0),MATCH(Calc_Rates!G$9,RateCheck_VDO2021F[[#Headers],[Ausnet]:[United Energy]],0)),0,1),
IF(ROUND(G22,8)=ROUND((((
SUMIFS(Calc_NetworkF_1[Ausnet],Calc_NetworkF_1[Cost item],$C16,Calc_NetworkF_1[Customer type],$F17)+
SUMIFS(Calc_Fixed_1[Ausnet],Calc_Fixed_1[Customer type],Calc_Rates!$F22)+SUMIFS(Calc_Fixed_1[Ausnet],Calc_Fixed_1[Customer type],"All"))*(1+Calc_ROM_1[Ausnet]))*(1+GST))/DiY,8),0,1)))</f>
        <v>0</v>
      </c>
      <c r="H23" s="111" cm="1">
        <f t="array" ref="H23">IF(H17=0,"-",
IF($D$251='Lookup refs'!$D$25,
IF(H22=INDEX(RateCheck_VDO2021F[[Ausnet]:[United Energy]],MATCH(Calc_Rates!$C22&amp;"_"&amp;Calc_Rates!$F22,RateCheck_VDO2021F[Rate],0),MATCH(Calc_Rates!H$9,RateCheck_VDO2021F[[#Headers],[Ausnet]:[United Energy]],0)),0,1),
IF(ROUND(H22,8)=ROUND((((
SUMIFS(Calc_NetworkF_1[Citipower],Calc_NetworkF_1[Cost item],$C16,Calc_NetworkF_1[Customer type],$F17)+
SUMIFS(Calc_Fixed_1[Citipower],Calc_Fixed_1[Customer type],Calc_Rates!$F22)+SUMIFS(Calc_Fixed_1[Citipower],Calc_Fixed_1[Customer type],"All"))*(1+Calc_ROM_1[Citipower]))*(1+GST))/DiY,8),0,1)))</f>
        <v>0</v>
      </c>
      <c r="I23" s="111" cm="1">
        <f t="array" ref="I23">IF(I17=0,"-",
IF($D$251='Lookup refs'!$D$25,
IF(I22=INDEX(RateCheck_VDO2021F[[Ausnet]:[United Energy]],MATCH(Calc_Rates!$C22&amp;"_"&amp;Calc_Rates!$F22,RateCheck_VDO2021F[Rate],0),MATCH(Calc_Rates!I$9,RateCheck_VDO2021F[[#Headers],[Ausnet]:[United Energy]],0)),0,1),
IF(ROUND(I22,8)=ROUND((((
SUMIFS(Calc_NetworkF_1[Jemena],Calc_NetworkF_1[Cost item],$C16,Calc_NetworkF_1[Customer type],$F17)+
SUMIFS(Calc_Fixed_1[Jemena],Calc_Fixed_1[Customer type],Calc_Rates!$F22)+SUMIFS(Calc_Fixed_1[Jemena],Calc_Fixed_1[Customer type],"All"))*(1+Calc_ROM_1[Jemena]))*(1+GST))/DiY,8),0,1)))</f>
        <v>0</v>
      </c>
      <c r="J23" s="111" cm="1">
        <f t="array" ref="J23">IF(J17=0,"-",
IF($D$251='Lookup refs'!$D$25,
IF(J22=INDEX(RateCheck_VDO2021F[[Ausnet]:[United Energy]],MATCH(Calc_Rates!$C22&amp;"_"&amp;Calc_Rates!$F22,RateCheck_VDO2021F[[Rate]:[Rate]],0),MATCH(Calc_Rates!J$9,RateCheck_VDO2021F[[#Headers],[Ausnet]:[United Energy]],0)),0,1),
IF(ROUND(J22,8)=ROUND((((
SUMIFS(Calc_NetworkF_1[Powercor],Calc_NetworkF_1[[Cost item]:[Cost item]],$C16,Calc_NetworkF_1[[Customer type]:[Customer type]],$F17)+
SUMIFS(Calc_Fixed_1[Powercor],Calc_Fixed_1[[Customer type]:[Customer type]],Calc_Rates!$F22)+SUMIFS(Calc_Fixed_1[Powercor],Calc_Fixed_1[[Customer type]:[Customer type]],"All"))*(1+Calc_ROM_1[Powercor]))*(1+GST))/DiY,8),0,1)))</f>
        <v>0</v>
      </c>
      <c r="K23" s="111" cm="1">
        <f t="array" ref="K23">IF(K17=0,"-",
IF($D$251='Lookup refs'!$D$25,
IF(K22=INDEX(RateCheck_VDO2021F[[Ausnet]:[United Energy]],MATCH(Calc_Rates!$C22&amp;"_"&amp;Calc_Rates!$F22,RateCheck_VDO2021F[[Rate]:[Rate]],0),MATCH(Calc_Rates!K$9,RateCheck_VDO2021F[[#Headers],[Ausnet]:[United Energy]],0)),0,1),
IF(ROUND(K22,8)=ROUND((((
SUMIFS(Calc_NetworkF_1[United Energy],Calc_NetworkF_1[[Cost item]:[Cost item]],$C16,Calc_NetworkF_1[[Customer type]:[Customer type]],$F17)+
SUMIFS(Calc_Fixed_1[United Energy],Calc_Fixed_1[[Customer type]:[Customer type]],Calc_Rates!$F22)+SUMIFS(Calc_Fixed_1[United Energy],Calc_Fixed_1[[Customer type]:[Customer type]],"All"))*(1+Calc_ROM_1[United Energy]))*(1+GST))/DiY,8),0,1)))</f>
        <v>0</v>
      </c>
    </row>
    <row r="24" spans="2:11" ht="15.75" hidden="1" x14ac:dyDescent="0.25">
      <c r="B24"/>
      <c r="C24" s="82" t="s">
        <v>510</v>
      </c>
    </row>
    <row r="25" spans="2:11" hidden="1" x14ac:dyDescent="0.25">
      <c r="B25"/>
      <c r="C25" s="24" t="s">
        <v>295</v>
      </c>
      <c r="D25" s="24" t="s">
        <v>11</v>
      </c>
      <c r="E25" s="24" t="s">
        <v>118</v>
      </c>
      <c r="F25" s="24" t="s">
        <v>100</v>
      </c>
      <c r="G25" s="62">
        <f>SUMIFS(Calc_NetworkF_1[Ausnet],Calc_NetworkF_1[[Cost item]:[Cost item]],$C24,Calc_NetworkF_1[[Customer type]:[Customer type]],$F25)</f>
        <v>111.11</v>
      </c>
      <c r="H25" s="62">
        <f>SUMIFS(Calc_NetworkF_1[Citipower],Calc_NetworkF_1[[Cost item]:[Cost item]],$C24,Calc_NetworkF_1[[Customer type]:[Customer type]],$F25)</f>
        <v>90.009</v>
      </c>
      <c r="I25" s="62">
        <f>SUMIFS(Calc_NetworkF_1[Jemena],Calc_NetworkF_1[[Cost item]:[Cost item]],$C24,Calc_NetworkF_1[[Customer type]:[Customer type]],$F25)</f>
        <v>82.195999999999998</v>
      </c>
      <c r="J25" s="62">
        <f>SUMIFS(Calc_NetworkF_1[Powercor],Calc_NetworkF_1[[Cost item]:[Cost item]],$C24,Calc_NetworkF_1[[Customer type]:[Customer type]],$F25)</f>
        <v>139.97749999999999</v>
      </c>
      <c r="K25" s="62">
        <f>SUMIFS(Calc_NetworkF_1[United Energy],Calc_NetworkF_1[[Cost item]:[Cost item]],$C24,Calc_NetworkF_1[[Customer type]:[Customer type]],$F25)</f>
        <v>80.007999999999996</v>
      </c>
    </row>
    <row r="26" spans="2:11" hidden="1" x14ac:dyDescent="0.25">
      <c r="B26"/>
      <c r="C26" s="24" t="s">
        <v>276</v>
      </c>
      <c r="D26" s="24" t="s">
        <v>11</v>
      </c>
      <c r="E26" s="24" t="s">
        <v>118</v>
      </c>
      <c r="F26" s="24" t="s">
        <v>100</v>
      </c>
      <c r="G26" s="74">
        <f>IF(G25=0,"-",SUMIFS(Calc_Fixed_1[Ausnet],Calc_Fixed_1[[Customer type]:[Customer type]],"All")+SUMIFS(Calc_Fixed_1[Ausnet],Calc_Fixed_1[[Customer type]:[Customer type]],$F27))</f>
        <v>262.43472178452231</v>
      </c>
      <c r="H26" s="74">
        <f>IF(H25=0,"-",SUMIFS(Calc_Fixed_1[Citipower],Calc_Fixed_1[[Customer type]:[Customer type]],"All")+SUMIFS(Calc_Fixed_1[Citipower],Calc_Fixed_1[[Customer type]:[Customer type]],$F27))</f>
        <v>258.1347217845223</v>
      </c>
      <c r="I26" s="74">
        <f>IF(I25=0,"-",SUMIFS(Calc_Fixed_1[Jemena],Calc_Fixed_1[[Customer type]:[Customer type]],"All")+SUMIFS(Calc_Fixed_1[Jemena],Calc_Fixed_1[[Customer type]:[Customer type]],$F27))</f>
        <v>252.92472178452229</v>
      </c>
      <c r="J26" s="74">
        <f>IF(J25=0,"-",SUMIFS(Calc_Fixed_1[Powercor],Calc_Fixed_1[[Customer type]:[Customer type]],"All")+SUMIFS(Calc_Fixed_1[Powercor],Calc_Fixed_1[[Customer type]:[Customer type]],$F27))</f>
        <v>256.73472178452232</v>
      </c>
      <c r="K26" s="74">
        <f>IF(K25=0,"-",SUMIFS(Calc_Fixed_1[United Energy],Calc_Fixed_1[[Customer type]:[Customer type]],"All")+SUMIFS(Calc_Fixed_1[United Energy],Calc_Fixed_1[[Customer type]:[Customer type]],$F27))</f>
        <v>241.65472178452228</v>
      </c>
    </row>
    <row r="27" spans="2:11" hidden="1" x14ac:dyDescent="0.25">
      <c r="B27"/>
      <c r="C27" s="24" t="s">
        <v>212</v>
      </c>
      <c r="D27" s="24" t="s">
        <v>11</v>
      </c>
      <c r="E27" s="24" t="s">
        <v>118</v>
      </c>
      <c r="F27" s="24" t="s">
        <v>100</v>
      </c>
      <c r="G27" s="74" cm="1">
        <f t="array" ref="G27">IF(G25=0,"-",(G25+G26)*Calc_ROM_1[Ausnet])</f>
        <v>22.56210119578515</v>
      </c>
      <c r="H27" s="74" cm="1">
        <f t="array" ref="H27">IF(H25=0,"-",(H25+H26)*Calc_ROM_1[Citipower])</f>
        <v>21.027880795785148</v>
      </c>
      <c r="I27" s="74" cm="1">
        <f t="array" ref="I27">IF(I25=0,"-",(I25+I26)*Calc_ROM_1[Jemena])</f>
        <v>20.241291595785146</v>
      </c>
      <c r="J27" s="74" cm="1">
        <f t="array" ref="J27">IF(J25=0,"-",(J25+J26)*Calc_ROM_1[Powercor])</f>
        <v>23.961418195785146</v>
      </c>
      <c r="K27" s="74" cm="1">
        <f t="array" ref="K27">IF(K25=0,"-",(K25+K26)*Calc_ROM_1[United Energy])</f>
        <v>19.428428395785144</v>
      </c>
    </row>
    <row r="28" spans="2:11" hidden="1" x14ac:dyDescent="0.25">
      <c r="B28"/>
      <c r="C28" s="24" t="s">
        <v>286</v>
      </c>
      <c r="D28" s="24" t="s">
        <v>11</v>
      </c>
      <c r="E28" s="24" t="s">
        <v>118</v>
      </c>
      <c r="F28" s="24" t="s">
        <v>100</v>
      </c>
      <c r="G28" s="74">
        <f>IF(G25=0,"-",(G25+G26+G27)*GST)</f>
        <v>39.610682298030753</v>
      </c>
      <c r="H28" s="74">
        <f>IF(H25=0,"-",(H25+H26+H27)*GST)</f>
        <v>36.917160258030748</v>
      </c>
      <c r="I28" s="74">
        <f>IF(I25=0,"-",(I25+I26+I27)*GST)</f>
        <v>35.536201338030743</v>
      </c>
      <c r="J28" s="74">
        <f>IF(J25=0,"-",(J25+J26+J27)*GST)</f>
        <v>42.067363998030743</v>
      </c>
      <c r="K28" s="74">
        <f>IF(K25=0,"-",(K25+K26+K27)*GST)</f>
        <v>34.109115018030742</v>
      </c>
    </row>
    <row r="29" spans="2:11" hidden="1" x14ac:dyDescent="0.25">
      <c r="B29"/>
      <c r="C29" s="24" t="s">
        <v>287</v>
      </c>
      <c r="D29" s="24" t="s">
        <v>11</v>
      </c>
      <c r="E29" s="24" t="s">
        <v>118</v>
      </c>
      <c r="F29" s="24" t="s">
        <v>100</v>
      </c>
      <c r="G29" s="74">
        <f>IF(G25=0,"-",G25+G26+G27+G28)</f>
        <v>435.71750527833819</v>
      </c>
      <c r="H29" s="74">
        <f t="shared" ref="H29" si="1">IF(H25=0,"-",H25+H26+H27+H28)</f>
        <v>406.0887628383382</v>
      </c>
      <c r="I29" s="74">
        <f t="shared" ref="I29" si="2">IF(I25=0,"-",I25+I26+I27+I28)</f>
        <v>390.89821471833818</v>
      </c>
      <c r="J29" s="74">
        <f t="shared" ref="J29" si="3">IF(J25=0,"-",J25+J26+J27+J28)</f>
        <v>462.7410039783382</v>
      </c>
      <c r="K29" s="74">
        <f t="shared" ref="K29" si="4">IF(K25=0,"-",K25+K26+K27+K28)</f>
        <v>375.20026519833817</v>
      </c>
    </row>
    <row r="30" spans="2:11" hidden="1" x14ac:dyDescent="0.25">
      <c r="B30"/>
      <c r="C30" s="24" t="str">
        <f>C24</f>
        <v>TOU - supply</v>
      </c>
      <c r="D30" s="24" t="s">
        <v>11</v>
      </c>
      <c r="E30" s="24" t="s">
        <v>118</v>
      </c>
      <c r="F30" s="24" t="s">
        <v>100</v>
      </c>
      <c r="G30" s="75">
        <f>IF(G25=0,"-",G29/DiY)</f>
        <v>1.1937465898036663</v>
      </c>
      <c r="H30" s="75">
        <f>IF(H25=0,"-",H29/DiY)</f>
        <v>1.1125719529817484</v>
      </c>
      <c r="I30" s="75">
        <f>IF(I25=0,"-",I29/DiY)</f>
        <v>1.0709540129269539</v>
      </c>
      <c r="J30" s="75">
        <f>IF(J25=0,"-",J29/DiY)</f>
        <v>1.2677835725433924</v>
      </c>
      <c r="K30" s="75">
        <f>IF(K25=0,"-",K29/DiY)</f>
        <v>1.0279459320502415</v>
      </c>
    </row>
    <row r="31" spans="2:11" hidden="1" x14ac:dyDescent="0.25">
      <c r="B31"/>
      <c r="G31" s="111" cm="1">
        <f t="array" ref="G31">IF(G25=0,"-",
IF($D$251='Lookup refs'!$D$25,
IF(G30=INDEX(RateCheck_VDO2021F[[Ausnet]:[United Energy]],MATCH(Calc_Rates!$C30&amp;"_"&amp;Calc_Rates!$F30,RateCheck_VDO2021F[Rate],0),MATCH(Calc_Rates!G$9,RateCheck_VDO2021F[[#Headers],[Ausnet]:[United Energy]],0)),0,1),
IF(ROUND(G30,8)=ROUND((((
SUMIFS(Calc_NetworkF_1[Ausnet],Calc_NetworkF_1[Cost item],$C24,Calc_NetworkF_1[Customer type],$F25)+
SUMIFS(Calc_Fixed_1[Ausnet],Calc_Fixed_1[Customer type],Calc_Rates!$F30)+SUMIFS(Calc_Fixed_1[Ausnet],Calc_Fixed_1[Customer type],"All"))*(1+Calc_ROM_1[Ausnet]))*(1+GST))/DiY,8),0,1)))</f>
        <v>0</v>
      </c>
      <c r="H31" s="111" cm="1">
        <f t="array" ref="H31">IF(H25=0,"-",
IF($D$251='Lookup refs'!$D$25,
IF(H30=INDEX(RateCheck_VDO2021F[[Ausnet]:[United Energy]],MATCH(Calc_Rates!$C30&amp;"_"&amp;Calc_Rates!$F30,RateCheck_VDO2021F[Rate],0),MATCH(Calc_Rates!H$9,RateCheck_VDO2021F[[#Headers],[Ausnet]:[United Energy]],0)),0,1),
IF(ROUND(H30,8)=ROUND((((
SUMIFS(Calc_NetworkF_1[Citipower],Calc_NetworkF_1[Cost item],$C24,Calc_NetworkF_1[Customer type],$F25)+
SUMIFS(Calc_Fixed_1[Citipower],Calc_Fixed_1[Customer type],Calc_Rates!$F30)+SUMIFS(Calc_Fixed_1[Citipower],Calc_Fixed_1[Customer type],"All"))*(1+Calc_ROM_1[Citipower]))*(1+GST))/DiY,8),0,1)))</f>
        <v>0</v>
      </c>
      <c r="I31" s="111" cm="1">
        <f t="array" ref="I31">IF(I25=0,"-",
IF($D$251='Lookup refs'!$D$25,
IF(I30=INDEX(RateCheck_VDO2021F[[Ausnet]:[United Energy]],MATCH(Calc_Rates!$C30&amp;"_"&amp;Calc_Rates!$F30,RateCheck_VDO2021F[[Rate]:[Rate]],0),MATCH(Calc_Rates!I$9,RateCheck_VDO2021F[[#Headers],[Ausnet]:[United Energy]],0)),0,1),
IF(ROUND(I30,8)=ROUND((((
SUMIFS(Calc_NetworkF_1[Jemena],Calc_NetworkF_1[[Cost item]:[Cost item]],$C24,Calc_NetworkF_1[[Customer type]:[Customer type]],$F25)+
SUMIFS(Calc_Fixed_1[Jemena],Calc_Fixed_1[[Customer type]:[Customer type]],Calc_Rates!$F30)+SUMIFS(Calc_Fixed_1[Jemena],Calc_Fixed_1[[Customer type]:[Customer type]],"All"))*(1+Calc_ROM_1[Jemena]))*(1+GST))/DiY,8),0,1)))</f>
        <v>0</v>
      </c>
      <c r="J31" s="111" cm="1">
        <f t="array" ref="J31">IF(J25=0,"-",
IF($D$251='Lookup refs'!$D$25,
IF(J30=INDEX(RateCheck_VDO2021F[[Ausnet]:[United Energy]],MATCH(Calc_Rates!$C30&amp;"_"&amp;Calc_Rates!$F30,RateCheck_VDO2021F[[Rate]:[Rate]],0),MATCH(Calc_Rates!J$9,RateCheck_VDO2021F[[#Headers],[Ausnet]:[United Energy]],0)),0,1),
IF(ROUND(J30,8)=ROUND((((
SUMIFS(Calc_NetworkF_1[Powercor],Calc_NetworkF_1[[Cost item]:[Cost item]],$C24,Calc_NetworkF_1[[Customer type]:[Customer type]],$F25)+
SUMIFS(Calc_Fixed_1[Powercor],Calc_Fixed_1[[Customer type]:[Customer type]],Calc_Rates!$F30)+SUMIFS(Calc_Fixed_1[Powercor],Calc_Fixed_1[[Customer type]:[Customer type]],"All"))*(1+Calc_ROM_1[Powercor]))*(1+GST))/DiY,8),0,1)))</f>
        <v>0</v>
      </c>
      <c r="K31" s="111" cm="1">
        <f t="array" ref="K31">IF(K25=0,"-",
IF($D$251='Lookup refs'!$D$25,
IF(K30=INDEX(RateCheck_VDO2021F[[Ausnet]:[United Energy]],MATCH(Calc_Rates!$C30&amp;"_"&amp;Calc_Rates!$F30,RateCheck_VDO2021F[[Rate]:[Rate]],0),MATCH(Calc_Rates!K$9,RateCheck_VDO2021F[[#Headers],[Ausnet]:[United Energy]],0)),0,1),
IF(ROUND(K30,8)=ROUND((((
SUMIFS(Calc_NetworkF_1[United Energy],Calc_NetworkF_1[[Cost item]:[Cost item]],$C24,Calc_NetworkF_1[[Customer type]:[Customer type]],$F25)+
SUMIFS(Calc_Fixed_1[United Energy],Calc_Fixed_1[[Customer type]:[Customer type]],Calc_Rates!$F30)+SUMIFS(Calc_Fixed_1[United Energy],Calc_Fixed_1[[Customer type]:[Customer type]],"All"))*(1+Calc_ROM_1[United Energy]))*(1+GST))/DiY,8),0,1)))</f>
        <v>0</v>
      </c>
    </row>
    <row r="32" spans="2:11" ht="15.75" hidden="1" x14ac:dyDescent="0.25">
      <c r="B32"/>
      <c r="C32" s="30" t="s">
        <v>288</v>
      </c>
    </row>
    <row r="33" spans="2:11" ht="15.75" hidden="1" x14ac:dyDescent="0.25">
      <c r="B33"/>
      <c r="C33" s="82" t="s">
        <v>509</v>
      </c>
    </row>
    <row r="34" spans="2:11" hidden="1" x14ac:dyDescent="0.25">
      <c r="B34"/>
      <c r="C34" s="24" t="s">
        <v>295</v>
      </c>
      <c r="D34" s="24" t="s">
        <v>11</v>
      </c>
      <c r="E34" s="24" t="s">
        <v>118</v>
      </c>
      <c r="F34" s="24" t="s">
        <v>101</v>
      </c>
      <c r="G34" s="62">
        <f>SUMIFS(Calc_NetworkF_1[Ausnet],Calc_NetworkF_1[[Cost item]:[Cost item]],$C33,Calc_NetworkF_1[[Customer type]:[Customer type]],$F34)</f>
        <v>111.11</v>
      </c>
      <c r="H34" s="62">
        <f>SUMIFS(Calc_NetworkF_1[Citipower],Calc_NetworkF_1[[Cost item]:[Cost item]],$C33,Calc_NetworkF_1[[Customer type]:[Customer type]],$F34)</f>
        <v>160.01599999999999</v>
      </c>
      <c r="I34" s="62">
        <f>SUMIFS(Calc_NetworkF_1[Jemena],Calc_NetworkF_1[[Cost item]:[Cost item]],$C33,Calc_NetworkF_1[[Customer type]:[Customer type]],$F34)</f>
        <v>134.46600000000001</v>
      </c>
      <c r="J34" s="62">
        <f>SUMIFS(Calc_NetworkF_1[Powercor],Calc_NetworkF_1[[Cost item]:[Cost item]],$C33,Calc_NetworkF_1[[Customer type]:[Customer type]],$F34)</f>
        <v>179.98150000000001</v>
      </c>
      <c r="K34" s="62">
        <f>SUMIFS(Calc_NetworkF_1[United Energy],Calc_NetworkF_1[[Cost item]:[Cost item]],$C33,Calc_NetworkF_1[[Customer type]:[Customer type]],$F34)</f>
        <v>120.01199999999999</v>
      </c>
    </row>
    <row r="35" spans="2:11" hidden="1" x14ac:dyDescent="0.25">
      <c r="B35"/>
      <c r="C35" s="24" t="s">
        <v>276</v>
      </c>
      <c r="D35" s="24" t="s">
        <v>11</v>
      </c>
      <c r="E35" s="24" t="s">
        <v>118</v>
      </c>
      <c r="F35" s="24" t="s">
        <v>101</v>
      </c>
      <c r="G35" s="74">
        <f>IF(G34=0,"-",SUMIFS(Calc_Fixed_1[Ausnet],Calc_Fixed_1[[Customer type]:[Customer type]],"All")+SUMIFS(Calc_Fixed_1[Ausnet],Calc_Fixed_1[[Customer type]:[Customer type]],$F36))</f>
        <v>262.43472178452231</v>
      </c>
      <c r="H35" s="74">
        <f>IF(H34=0,"-",SUMIFS(Calc_Fixed_1[Citipower],Calc_Fixed_1[[Customer type]:[Customer type]],"All")+SUMIFS(Calc_Fixed_1[Citipower],Calc_Fixed_1[[Customer type]:[Customer type]],$F36))</f>
        <v>258.1347217845223</v>
      </c>
      <c r="I35" s="74">
        <f>IF(I34=0,"-",SUMIFS(Calc_Fixed_1[Jemena],Calc_Fixed_1[[Customer type]:[Customer type]],"All")+SUMIFS(Calc_Fixed_1[Jemena],Calc_Fixed_1[[Customer type]:[Customer type]],$F36))</f>
        <v>252.92472178452229</v>
      </c>
      <c r="J35" s="74">
        <f>IF(J34=0,"-",SUMIFS(Calc_Fixed_1[Powercor],Calc_Fixed_1[[Customer type]:[Customer type]],"All")+SUMIFS(Calc_Fixed_1[Powercor],Calc_Fixed_1[[Customer type]:[Customer type]],$F36))</f>
        <v>256.73472178452232</v>
      </c>
      <c r="K35" s="74">
        <f>IF(K34=0,"-",SUMIFS(Calc_Fixed_1[United Energy],Calc_Fixed_1[[Customer type]:[Customer type]],"All")+SUMIFS(Calc_Fixed_1[United Energy],Calc_Fixed_1[[Customer type]:[Customer type]],$F36))</f>
        <v>241.65472178452228</v>
      </c>
    </row>
    <row r="36" spans="2:11" hidden="1" x14ac:dyDescent="0.25">
      <c r="B36"/>
      <c r="C36" s="24" t="s">
        <v>212</v>
      </c>
      <c r="D36" s="24" t="s">
        <v>11</v>
      </c>
      <c r="E36" s="24" t="s">
        <v>118</v>
      </c>
      <c r="F36" s="24" t="s">
        <v>101</v>
      </c>
      <c r="G36" s="74" cm="1">
        <f t="array" ref="G36">IF(G34=0,"-",(G34+G35)*Calc_ROM_1[Ausnet])</f>
        <v>22.56210119578515</v>
      </c>
      <c r="H36" s="74" cm="1">
        <f t="array" ref="H36">IF(H34=0,"-",(H34+H35)*Calc_ROM_1[Citipower])</f>
        <v>25.256303595785145</v>
      </c>
      <c r="I36" s="74" cm="1">
        <f t="array" ref="I36">IF(I34=0,"-",(I34+I35)*Calc_ROM_1[Jemena])</f>
        <v>23.398399595785147</v>
      </c>
      <c r="J36" s="74" cm="1">
        <f t="array" ref="J36">IF(J34=0,"-",(J34+J35)*Calc_ROM_1[Powercor])</f>
        <v>26.377659795785149</v>
      </c>
      <c r="K36" s="74" cm="1">
        <f t="array" ref="K36">IF(K34=0,"-",(K34+K35)*Calc_ROM_1[United Energy])</f>
        <v>21.844669995785146</v>
      </c>
    </row>
    <row r="37" spans="2:11" hidden="1" x14ac:dyDescent="0.25">
      <c r="B37"/>
      <c r="C37" s="24" t="s">
        <v>286</v>
      </c>
      <c r="D37" s="24" t="s">
        <v>11</v>
      </c>
      <c r="E37" s="24" t="s">
        <v>118</v>
      </c>
      <c r="F37" s="24" t="s">
        <v>101</v>
      </c>
      <c r="G37" s="74">
        <f>IF(G34=0,"-",(G34+G35+G36)*GST)</f>
        <v>39.610682298030753</v>
      </c>
      <c r="H37" s="74">
        <f>IF(H34=0,"-",(H34+H35+H36)*GST)</f>
        <v>44.34070253803074</v>
      </c>
      <c r="I37" s="74">
        <f>IF(I34=0,"-",(I34+I35+I36)*GST)</f>
        <v>41.078912138030745</v>
      </c>
      <c r="J37" s="74">
        <f>IF(J34=0,"-",(J34+J35+J36)*GST)</f>
        <v>46.309388158030742</v>
      </c>
      <c r="K37" s="74">
        <f>IF(K34=0,"-",(K34+K35+K36)*GST)</f>
        <v>38.351139178030742</v>
      </c>
    </row>
    <row r="38" spans="2:11" hidden="1" x14ac:dyDescent="0.25">
      <c r="B38"/>
      <c r="C38" s="24" t="s">
        <v>287</v>
      </c>
      <c r="D38" s="24" t="s">
        <v>11</v>
      </c>
      <c r="E38" s="24" t="s">
        <v>118</v>
      </c>
      <c r="F38" s="24" t="s">
        <v>101</v>
      </c>
      <c r="G38" s="74">
        <f>IF(G34=0,"-",G34+G35+G36+G37)</f>
        <v>435.71750527833819</v>
      </c>
      <c r="H38" s="74">
        <f t="shared" ref="H38" si="5">IF(H34=0,"-",H34+H35+H36+H37)</f>
        <v>487.74772791833811</v>
      </c>
      <c r="I38" s="74">
        <f t="shared" ref="I38" si="6">IF(I34=0,"-",I34+I35+I36+I37)</f>
        <v>451.86803351833817</v>
      </c>
      <c r="J38" s="74">
        <f t="shared" ref="J38" si="7">IF(J34=0,"-",J34+J35+J36+J37)</f>
        <v>509.40326973833817</v>
      </c>
      <c r="K38" s="74">
        <f t="shared" ref="K38" si="8">IF(K34=0,"-",K34+K35+K36+K37)</f>
        <v>421.86253095833814</v>
      </c>
    </row>
    <row r="39" spans="2:11" hidden="1" x14ac:dyDescent="0.25">
      <c r="B39"/>
      <c r="C39" s="24" t="str">
        <f>C33</f>
        <v>Anytime - supply</v>
      </c>
      <c r="D39" s="24" t="s">
        <v>11</v>
      </c>
      <c r="E39" s="24" t="s">
        <v>118</v>
      </c>
      <c r="F39" s="24" t="s">
        <v>101</v>
      </c>
      <c r="G39" s="75">
        <f>IF(G34=0,"-",G38/DiY)</f>
        <v>1.1937465898036663</v>
      </c>
      <c r="H39" s="75">
        <f>IF(H34=0,"-",H38/DiY)</f>
        <v>1.3362951449817482</v>
      </c>
      <c r="I39" s="75">
        <f>IF(I34=0,"-",I38/DiY)</f>
        <v>1.2379946123790087</v>
      </c>
      <c r="J39" s="75">
        <f>IF(J34=0,"-",J38/DiY)</f>
        <v>1.3956253965433922</v>
      </c>
      <c r="K39" s="75">
        <f>IF(K34=0,"-",K38/DiY)</f>
        <v>1.1557877560502414</v>
      </c>
    </row>
    <row r="40" spans="2:11" hidden="1" x14ac:dyDescent="0.25">
      <c r="B40"/>
      <c r="G40" s="111" cm="1">
        <f t="array" ref="G40">IF(G34=0,"-",
IF($D$251='Lookup refs'!$D$25,
IF(G39=INDEX(RateCheck_VDO2021F[[Ausnet]:[United Energy]],MATCH(Calc_Rates!$C39&amp;"_"&amp;Calc_Rates!$F39,RateCheck_VDO2021F[Rate],0),MATCH(Calc_Rates!G$9,RateCheck_VDO2021F[[#Headers],[Ausnet]:[United Energy]],0)),0,1),
IF(ROUND(G39,8)=ROUND((((
SUMIFS(Calc_NetworkF_1[Ausnet],Calc_NetworkF_1[Cost item],$C33,Calc_NetworkF_1[Customer type],$F34)+
SUMIFS(Calc_Fixed_1[Ausnet],Calc_Fixed_1[Customer type],Calc_Rates!$F39)+SUMIFS(Calc_Fixed_1[Ausnet],Calc_Fixed_1[Customer type],"All"))*(1+Calc_ROM_1[Ausnet]))*(1+GST))/DiY,8),0,1)))</f>
        <v>0</v>
      </c>
      <c r="H40" s="111" cm="1">
        <f t="array" ref="H40">IF(H34=0,"-",
IF($D$251='Lookup refs'!$D$25,
IF(H39=INDEX(RateCheck_VDO2021F[[Ausnet]:[United Energy]],MATCH(Calc_Rates!$C39&amp;"_"&amp;Calc_Rates!$F39,RateCheck_VDO2021F[Rate],0),MATCH(Calc_Rates!H$9,RateCheck_VDO2021F[[#Headers],[Ausnet]:[United Energy]],0)),0,1),
IF(ROUND(H39,8)=ROUND((((
SUMIFS(Calc_NetworkF_1[Citipower],Calc_NetworkF_1[Cost item],$C33,Calc_NetworkF_1[Customer type],$F34)+
SUMIFS(Calc_Fixed_1[Citipower],Calc_Fixed_1[Customer type],Calc_Rates!$F39)+SUMIFS(Calc_Fixed_1[Citipower],Calc_Fixed_1[Customer type],"All"))*(1+Calc_ROM_1[Citipower]))*(1+GST))/DiY,8),0,1)))</f>
        <v>0</v>
      </c>
      <c r="I40" s="111" cm="1">
        <f t="array" ref="I40">IF(I34=0,"-",
IF($D$251='Lookup refs'!$D$25,
IF(I39=INDEX(RateCheck_VDO2021F[[Ausnet]:[United Energy]],MATCH(Calc_Rates!$C39&amp;"_"&amp;Calc_Rates!$F39,RateCheck_VDO2021F[[Rate]:[Rate]],0),MATCH(Calc_Rates!I$9,RateCheck_VDO2021F[[#Headers],[Ausnet]:[United Energy]],0)),0,1),
IF(ROUND(I39,8)=ROUND((((
SUMIFS(Calc_NetworkF_1[Jemena],Calc_NetworkF_1[[Cost item]:[Cost item]],$C33,Calc_NetworkF_1[[Customer type]:[Customer type]],$F34)+
SUMIFS(Calc_Fixed_1[Jemena],Calc_Fixed_1[[Customer type]:[Customer type]],Calc_Rates!$F39)+SUMIFS(Calc_Fixed_1[Jemena],Calc_Fixed_1[[Customer type]:[Customer type]],"All"))*(1+Calc_ROM_1[Jemena]))*(1+GST))/DiY,8),0,1)))</f>
        <v>0</v>
      </c>
      <c r="J40" s="111" cm="1">
        <f t="array" ref="J40">IF(J34=0,"-",
IF($D$251='Lookup refs'!$D$25,
IF(J39=INDEX(RateCheck_VDO2021F[[Ausnet]:[United Energy]],MATCH(Calc_Rates!$C39&amp;"_"&amp;Calc_Rates!$F39,RateCheck_VDO2021F[[Rate]:[Rate]],0),MATCH(Calc_Rates!J$9,RateCheck_VDO2021F[[#Headers],[Ausnet]:[United Energy]],0)),0,1),
IF(ROUND(J39,8)=ROUND((((
SUMIFS(Calc_NetworkF_1[Powercor],Calc_NetworkF_1[[Cost item]:[Cost item]],$C33,Calc_NetworkF_1[[Customer type]:[Customer type]],$F34)+
SUMIFS(Calc_Fixed_1[Powercor],Calc_Fixed_1[[Customer type]:[Customer type]],Calc_Rates!$F39)+SUMIFS(Calc_Fixed_1[Powercor],Calc_Fixed_1[[Customer type]:[Customer type]],"All"))*(1+Calc_ROM_1[Powercor]))*(1+GST))/DiY,8),0,1)))</f>
        <v>0</v>
      </c>
      <c r="K40" s="111" cm="1">
        <f t="array" ref="K40">IF(K34=0,"-",
IF($D$251='Lookup refs'!$D$25,
IF(K39=INDEX(RateCheck_VDO2021F[[Ausnet]:[United Energy]],MATCH(Calc_Rates!$C39&amp;"_"&amp;Calc_Rates!$F39,RateCheck_VDO2021F[[Rate]:[Rate]],0),MATCH(Calc_Rates!K$9,RateCheck_VDO2021F[[#Headers],[Ausnet]:[United Energy]],0)),0,1),
IF(ROUND(K39,8)=ROUND((((
SUMIFS(Calc_NetworkF_1[United Energy],Calc_NetworkF_1[[Cost item]:[Cost item]],$C33,Calc_NetworkF_1[[Customer type]:[Customer type]],$F34)+
SUMIFS(Calc_Fixed_1[United Energy],Calc_Fixed_1[[Customer type]:[Customer type]],Calc_Rates!$F39)+SUMIFS(Calc_Fixed_1[United Energy],Calc_Fixed_1[[Customer type]:[Customer type]],"All"))*(1+Calc_ROM_1[United Energy]))*(1+GST))/DiY,8),0,1)))</f>
        <v>0</v>
      </c>
    </row>
    <row r="41" spans="2:11" ht="15.75" hidden="1" x14ac:dyDescent="0.25">
      <c r="B41"/>
      <c r="C41" s="82" t="s">
        <v>510</v>
      </c>
    </row>
    <row r="42" spans="2:11" hidden="1" x14ac:dyDescent="0.25">
      <c r="B42"/>
      <c r="C42" s="24" t="s">
        <v>295</v>
      </c>
      <c r="D42" s="24" t="s">
        <v>11</v>
      </c>
      <c r="E42" s="24" t="s">
        <v>118</v>
      </c>
      <c r="F42" s="24" t="s">
        <v>101</v>
      </c>
      <c r="G42" s="62">
        <f>SUMIFS(Calc_NetworkF_1[Ausnet],Calc_NetworkF_1[[Cost item]:[Cost item]],$C41,Calc_NetworkF_1[[Customer type]:[Customer type]],$F42)</f>
        <v>111.11</v>
      </c>
      <c r="H42" s="62">
        <f>SUMIFS(Calc_NetworkF_1[Citipower],Calc_NetworkF_1[[Cost item]:[Cost item]],$C41,Calc_NetworkF_1[[Customer type]:[Customer type]],$F42)</f>
        <v>160.01599999999999</v>
      </c>
      <c r="I42" s="62">
        <f>SUMIFS(Calc_NetworkF_1[Jemena],Calc_NetworkF_1[[Cost item]:[Cost item]],$C41,Calc_NetworkF_1[[Customer type]:[Customer type]],$F42)</f>
        <v>242.124</v>
      </c>
      <c r="J42" s="62">
        <f>SUMIFS(Calc_NetworkF_1[Powercor],Calc_NetworkF_1[[Cost item]:[Cost item]],$C41,Calc_NetworkF_1[[Customer type]:[Customer type]],$F42)</f>
        <v>179.98150000000001</v>
      </c>
      <c r="K42" s="62">
        <f>SUMIFS(Calc_NetworkF_1[United Energy],Calc_NetworkF_1[[Cost item]:[Cost item]],$C41,Calc_NetworkF_1[[Customer type]:[Customer type]],$F42)</f>
        <v>120.01199999999999</v>
      </c>
    </row>
    <row r="43" spans="2:11" hidden="1" x14ac:dyDescent="0.25">
      <c r="B43"/>
      <c r="C43" s="24" t="s">
        <v>276</v>
      </c>
      <c r="D43" s="24" t="s">
        <v>11</v>
      </c>
      <c r="E43" s="24" t="s">
        <v>118</v>
      </c>
      <c r="F43" s="24" t="s">
        <v>101</v>
      </c>
      <c r="G43" s="74">
        <f>IF(G42=0,"-",SUMIFS(Calc_Fixed_1[Ausnet],Calc_Fixed_1[[Customer type]:[Customer type]],"All")+SUMIFS(Calc_Fixed_1[Ausnet],Calc_Fixed_1[[Customer type]:[Customer type]],$F44))</f>
        <v>262.43472178452231</v>
      </c>
      <c r="H43" s="74">
        <f>IF(H42=0,"-",SUMIFS(Calc_Fixed_1[Citipower],Calc_Fixed_1[[Customer type]:[Customer type]],"All")+SUMIFS(Calc_Fixed_1[Citipower],Calc_Fixed_1[[Customer type]:[Customer type]],$F44))</f>
        <v>258.1347217845223</v>
      </c>
      <c r="I43" s="74">
        <f>IF(I42=0,"-",SUMIFS(Calc_Fixed_1[Jemena],Calc_Fixed_1[[Customer type]:[Customer type]],"All")+SUMIFS(Calc_Fixed_1[Jemena],Calc_Fixed_1[[Customer type]:[Customer type]],$F44))</f>
        <v>252.92472178452229</v>
      </c>
      <c r="J43" s="74">
        <f>IF(J42=0,"-",SUMIFS(Calc_Fixed_1[Powercor],Calc_Fixed_1[[Customer type]:[Customer type]],"All")+SUMIFS(Calc_Fixed_1[Powercor],Calc_Fixed_1[[Customer type]:[Customer type]],$F44))</f>
        <v>256.73472178452232</v>
      </c>
      <c r="K43" s="74">
        <f>IF(K42=0,"-",SUMIFS(Calc_Fixed_1[United Energy],Calc_Fixed_1[[Customer type]:[Customer type]],"All")+SUMIFS(Calc_Fixed_1[United Energy],Calc_Fixed_1[[Customer type]:[Customer type]],$F44))</f>
        <v>241.65472178452228</v>
      </c>
    </row>
    <row r="44" spans="2:11" hidden="1" x14ac:dyDescent="0.25">
      <c r="B44"/>
      <c r="C44" s="24" t="s">
        <v>212</v>
      </c>
      <c r="D44" s="24" t="s">
        <v>11</v>
      </c>
      <c r="E44" s="24" t="s">
        <v>118</v>
      </c>
      <c r="F44" s="24" t="s">
        <v>101</v>
      </c>
      <c r="G44" s="74" cm="1">
        <f t="array" ref="G44">IF(G42=0,"-",(G42+G43)*Calc_ROM_1[Ausnet])</f>
        <v>22.56210119578515</v>
      </c>
      <c r="H44" s="74" cm="1">
        <f t="array" ref="H44">IF(H42=0,"-",(H42+H43)*Calc_ROM_1[Citipower])</f>
        <v>25.256303595785145</v>
      </c>
      <c r="I44" s="74" cm="1">
        <f t="array" ref="I44">IF(I42=0,"-",(I42+I43)*Calc_ROM_1[Jemena])</f>
        <v>29.900942795785149</v>
      </c>
      <c r="J44" s="74" cm="1">
        <f t="array" ref="J44">IF(J42=0,"-",(J42+J43)*Calc_ROM_1[Powercor])</f>
        <v>26.377659795785149</v>
      </c>
      <c r="K44" s="74" cm="1">
        <f t="array" ref="K44">IF(K42=0,"-",(K42+K43)*Calc_ROM_1[United Energy])</f>
        <v>21.844669995785146</v>
      </c>
    </row>
    <row r="45" spans="2:11" hidden="1" x14ac:dyDescent="0.25">
      <c r="B45"/>
      <c r="C45" s="24" t="s">
        <v>286</v>
      </c>
      <c r="D45" s="24" t="s">
        <v>11</v>
      </c>
      <c r="E45" s="24" t="s">
        <v>118</v>
      </c>
      <c r="F45" s="24" t="s">
        <v>101</v>
      </c>
      <c r="G45" s="74">
        <f>IF(G42=0,"-",(G42+G43+G44)*GST)</f>
        <v>39.610682298030753</v>
      </c>
      <c r="H45" s="74">
        <f>IF(H42=0,"-",(H42+H43+H44)*GST)</f>
        <v>44.34070253803074</v>
      </c>
      <c r="I45" s="74">
        <f>IF(I42=0,"-",(I42+I43+I44)*GST)</f>
        <v>52.494966458030746</v>
      </c>
      <c r="J45" s="74">
        <f>IF(J42=0,"-",(J42+J43+J44)*GST)</f>
        <v>46.309388158030742</v>
      </c>
      <c r="K45" s="74">
        <f>IF(K42=0,"-",(K42+K43+K44)*GST)</f>
        <v>38.351139178030742</v>
      </c>
    </row>
    <row r="46" spans="2:11" hidden="1" x14ac:dyDescent="0.25">
      <c r="B46"/>
      <c r="C46" s="24" t="s">
        <v>287</v>
      </c>
      <c r="D46" s="24" t="s">
        <v>11</v>
      </c>
      <c r="E46" s="24" t="s">
        <v>118</v>
      </c>
      <c r="F46" s="24" t="s">
        <v>101</v>
      </c>
      <c r="G46" s="74">
        <f>IF(G42=0,"-",G42+G43+G44+G45)</f>
        <v>435.71750527833819</v>
      </c>
      <c r="H46" s="74">
        <f t="shared" ref="H46" si="9">IF(H42=0,"-",H42+H43+H44+H45)</f>
        <v>487.74772791833811</v>
      </c>
      <c r="I46" s="74">
        <f t="shared" ref="I46" si="10">IF(I42=0,"-",I42+I43+I44+I45)</f>
        <v>577.44463103833812</v>
      </c>
      <c r="J46" s="74">
        <f t="shared" ref="J46" si="11">IF(J42=0,"-",J42+J43+J44+J45)</f>
        <v>509.40326973833817</v>
      </c>
      <c r="K46" s="74">
        <f t="shared" ref="K46" si="12">IF(K42=0,"-",K42+K43+K44+K45)</f>
        <v>421.86253095833814</v>
      </c>
    </row>
    <row r="47" spans="2:11" hidden="1" x14ac:dyDescent="0.25">
      <c r="B47"/>
      <c r="C47" s="24" t="str">
        <f>C41</f>
        <v>TOU - supply</v>
      </c>
      <c r="D47" s="24" t="s">
        <v>11</v>
      </c>
      <c r="E47" s="24" t="s">
        <v>118</v>
      </c>
      <c r="F47" s="24" t="s">
        <v>101</v>
      </c>
      <c r="G47" s="75">
        <f>IF(G42=0,"-",G46/DiY)</f>
        <v>1.1937465898036663</v>
      </c>
      <c r="H47" s="75">
        <f>IF(H42=0,"-",H46/DiY)</f>
        <v>1.3362951449817482</v>
      </c>
      <c r="I47" s="75">
        <f>IF(I42=0,"-",I46/DiY)</f>
        <v>1.5820400850365428</v>
      </c>
      <c r="J47" s="75">
        <f>IF(J42=0,"-",J46/DiY)</f>
        <v>1.3956253965433922</v>
      </c>
      <c r="K47" s="75">
        <f>IF(K42=0,"-",K46/DiY)</f>
        <v>1.1557877560502414</v>
      </c>
    </row>
    <row r="48" spans="2:11" hidden="1" x14ac:dyDescent="0.25">
      <c r="B48"/>
      <c r="G48" s="111" cm="1">
        <f t="array" ref="G48">IF(G42=0,"-",
IF($D$251='Lookup refs'!$D$25,
IF(G47=INDEX(RateCheck_VDO2021F[[Ausnet]:[United Energy]],MATCH(Calc_Rates!$C47&amp;"_"&amp;Calc_Rates!$F47,RateCheck_VDO2021F[Rate],0),MATCH(Calc_Rates!G$9,RateCheck_VDO2021F[[#Headers],[Ausnet]:[United Energy]],0)),0,1),
IF(ROUND(G47,8)=ROUND((((
SUMIFS(Calc_NetworkF_1[Ausnet],Calc_NetworkF_1[Cost item],$C41,Calc_NetworkF_1[Customer type],$F42)+
SUMIFS(Calc_Fixed_1[Ausnet],Calc_Fixed_1[Customer type],Calc_Rates!$F47)+SUMIFS(Calc_Fixed_1[Ausnet],Calc_Fixed_1[Customer type],"All"))*(1+Calc_ROM_1[Ausnet]))*(1+GST))/DiY,8),0,1)))</f>
        <v>0</v>
      </c>
      <c r="H48" s="111" cm="1">
        <f t="array" ref="H48">IF(H42=0,"-",
IF($D$251='Lookup refs'!$D$25,
IF(H47=INDEX(RateCheck_VDO2021F[[Ausnet]:[United Energy]],MATCH(Calc_Rates!$C47&amp;"_"&amp;Calc_Rates!$F47,RateCheck_VDO2021F[Rate],0),MATCH(Calc_Rates!H$9,RateCheck_VDO2021F[[#Headers],[Ausnet]:[United Energy]],0)),0,1),
IF(ROUND(H47,8)=ROUND((((
SUMIFS(Calc_NetworkF_1[Citipower],Calc_NetworkF_1[Cost item],$C41,Calc_NetworkF_1[Customer type],$F42)+
SUMIFS(Calc_Fixed_1[Citipower],Calc_Fixed_1[Customer type],Calc_Rates!$F47)+SUMIFS(Calc_Fixed_1[Citipower],Calc_Fixed_1[Customer type],"All"))*(1+Calc_ROM_1[Citipower]))*(1+GST))/DiY,8),0,1)))</f>
        <v>0</v>
      </c>
      <c r="I48" s="111" cm="1">
        <f t="array" ref="I48">IF(I42=0,"-",
IF($D$251='Lookup refs'!$D$25,
IF(I47=INDEX(RateCheck_VDO2021F[[Ausnet]:[United Energy]],MATCH(Calc_Rates!$C47&amp;"_"&amp;Calc_Rates!$F47,RateCheck_VDO2021F[[Rate]:[Rate]],0),MATCH(Calc_Rates!I$9,RateCheck_VDO2021F[[#Headers],[Ausnet]:[United Energy]],0)),0,1),
IF(ROUND(I47,8)=ROUND((((
SUMIFS(Calc_NetworkF_1[Jemena],Calc_NetworkF_1[[Cost item]:[Cost item]],$C41,Calc_NetworkF_1[[Customer type]:[Customer type]],$F42)+
SUMIFS(Calc_Fixed_1[Jemena],Calc_Fixed_1[[Customer type]:[Customer type]],Calc_Rates!$F47)+SUMIFS(Calc_Fixed_1[Jemena],Calc_Fixed_1[[Customer type]:[Customer type]],"All"))*(1+Calc_ROM_1[Jemena]))*(1+GST))/DiY,8),0,1)))</f>
        <v>0</v>
      </c>
      <c r="J48" s="111" cm="1">
        <f t="array" ref="J48">IF(J42=0,"-",
IF($D$251='Lookup refs'!$D$25,
IF(J47=INDEX(RateCheck_VDO2021F[[Ausnet]:[United Energy]],MATCH(Calc_Rates!$C47&amp;"_"&amp;Calc_Rates!$F47,RateCheck_VDO2021F[[Rate]:[Rate]],0),MATCH(Calc_Rates!J$9,RateCheck_VDO2021F[[#Headers],[Ausnet]:[United Energy]],0)),0,1),
IF(ROUND(J47,8)=ROUND((((
SUMIFS(Calc_NetworkF_1[Powercor],Calc_NetworkF_1[[Cost item]:[Cost item]],$C41,Calc_NetworkF_1[[Customer type]:[Customer type]],$F42)+
SUMIFS(Calc_Fixed_1[Powercor],Calc_Fixed_1[[Customer type]:[Customer type]],Calc_Rates!$F47)+SUMIFS(Calc_Fixed_1[Powercor],Calc_Fixed_1[[Customer type]:[Customer type]],"All"))*(1+Calc_ROM_1[Powercor]))*(1+GST))/DiY,8),0,1)))</f>
        <v>0</v>
      </c>
      <c r="K48" s="111" cm="1">
        <f t="array" ref="K48">IF(K42=0,"-",
IF($D$251='Lookup refs'!$D$25,
IF(K47=INDEX(RateCheck_VDO2021F[[Ausnet]:[United Energy]],MATCH(Calc_Rates!$C47&amp;"_"&amp;Calc_Rates!$F47,RateCheck_VDO2021F[[Rate]:[Rate]],0),MATCH(Calc_Rates!K$9,RateCheck_VDO2021F[[#Headers],[Ausnet]:[United Energy]],0)),0,1),
IF(ROUND(K47,8)=ROUND((((
SUMIFS(Calc_NetworkF_1[United Energy],Calc_NetworkF_1[[Cost item]:[Cost item]],$C41,Calc_NetworkF_1[[Customer type]:[Customer type]],$F42)+
SUMIFS(Calc_Fixed_1[United Energy],Calc_Fixed_1[[Customer type]:[Customer type]],Calc_Rates!$F47)+SUMIFS(Calc_Fixed_1[United Energy],Calc_Fixed_1[[Customer type]:[Customer type]],"All"))*(1+Calc_ROM_1[United Energy]))*(1+GST))/DiY,8),0,1)))</f>
        <v>0</v>
      </c>
    </row>
    <row r="49" spans="2:14" hidden="1" x14ac:dyDescent="0.25">
      <c r="B49"/>
    </row>
    <row r="50" spans="2:14" ht="15.75" hidden="1" x14ac:dyDescent="0.25">
      <c r="B50"/>
      <c r="C50" s="44" t="s">
        <v>289</v>
      </c>
      <c r="D50" s="44" t="s">
        <v>110</v>
      </c>
      <c r="E50" s="44" t="s">
        <v>111</v>
      </c>
      <c r="F50" s="44" t="s">
        <v>99</v>
      </c>
      <c r="G50" s="61" t="s">
        <v>277</v>
      </c>
      <c r="H50" s="61" t="s">
        <v>278</v>
      </c>
      <c r="I50" s="61" t="s">
        <v>279</v>
      </c>
      <c r="J50" s="61" t="s">
        <v>280</v>
      </c>
      <c r="K50" s="61" t="s">
        <v>281</v>
      </c>
    </row>
    <row r="51" spans="2:14" hidden="1" x14ac:dyDescent="0.25">
      <c r="B51"/>
      <c r="C51" s="24" t="s">
        <v>290</v>
      </c>
      <c r="D51" s="24" t="s">
        <v>139</v>
      </c>
      <c r="E51" s="24" t="s">
        <v>291</v>
      </c>
      <c r="F51" s="24" t="s">
        <v>119</v>
      </c>
      <c r="G51" s="81">
        <f>SUMIFS(Calc_EnviroVEU_1[Ausnet],Calc_EnviroVEU_1[[Fixed/Variable]:[Fixed/Variable]],$D51,Calc_EnviroVEU_1[[Customer type]:[Customer type]],$F51,Calc_EnviroVEU_1[[Cost item]:[Cost item]],"VEU cost")+
SUMIFS(Calc_EnviroLRET_1[Ausnet],Calc_EnviroLRET_1[[Fixed/Variable]:[Fixed/Variable]],$D51,Calc_EnviroLRET_1[[Customer type]:[Customer type]],$F51,Calc_EnviroLRET_1[[Cost item]:[Cost item]],"LRET cost")+
SUMIFS(Calc_EnviroSRES_1[Ausnet],Calc_EnviroSRES_1[[Fixed/Variable]:[Fixed/Variable]],$D51,Calc_EnviroSRES_1[[Customer type]:[Customer type]],$F51,Calc_EnviroSRES_1[[Cost item]:[Cost item]],"SRES cost")</f>
        <v>2.3197834914089437E-2</v>
      </c>
      <c r="H51" s="81">
        <f>SUMIFS(Calc_EnviroVEU_1[Citipower],Calc_EnviroVEU_1[[Fixed/Variable]:[Fixed/Variable]],$D51,Calc_EnviroVEU_1[[Customer type]:[Customer type]],$F51,Calc_EnviroVEU_1[[Cost item]:[Cost item]],"VEU cost")+
SUMIFS(Calc_EnviroLRET_1[Citipower],Calc_EnviroLRET_1[[Fixed/Variable]:[Fixed/Variable]],$D51,Calc_EnviroLRET_1[[Customer type]:[Customer type]],$F51,Calc_EnviroLRET_1[[Cost item]:[Cost item]],"LRET cost")+
SUMIFS(Calc_EnviroSRES_1[Citipower],Calc_EnviroSRES_1[[Fixed/Variable]:[Fixed/Variable]],$D51,Calc_EnviroSRES_1[[Customer type]:[Customer type]],$F51,Calc_EnviroSRES_1[[Cost item]:[Cost item]],"SRES cost")</f>
        <v>2.3197834914089437E-2</v>
      </c>
      <c r="I51" s="81">
        <f>SUMIFS(Calc_EnviroVEU_1[Jemena],Calc_EnviroVEU_1[[Fixed/Variable]:[Fixed/Variable]],$D51,Calc_EnviroVEU_1[[Customer type]:[Customer type]],$F51,Calc_EnviroVEU_1[[Cost item]:[Cost item]],"VEU cost")+
SUMIFS(Calc_EnviroLRET_1[Jemena],Calc_EnviroLRET_1[[Fixed/Variable]:[Fixed/Variable]],$D51,Calc_EnviroLRET_1[[Customer type]:[Customer type]],$F51,Calc_EnviroLRET_1[[Cost item]:[Cost item]],"LRET cost")+
SUMIFS(Calc_EnviroSRES_1[Jemena],Calc_EnviroSRES_1[[Fixed/Variable]:[Fixed/Variable]],$D51,Calc_EnviroSRES_1[[Customer type]:[Customer type]],$F51,Calc_EnviroSRES_1[[Cost item]:[Cost item]],"SRES cost")</f>
        <v>2.3197834914089437E-2</v>
      </c>
      <c r="J51" s="81">
        <f>SUMIFS(Calc_EnviroVEU_1[Powercor],Calc_EnviroVEU_1[[Fixed/Variable]:[Fixed/Variable]],$D51,Calc_EnviroVEU_1[[Customer type]:[Customer type]],$F51,Calc_EnviroVEU_1[[Cost item]:[Cost item]],"VEU cost")+
SUMIFS(Calc_EnviroLRET_1[Powercor],Calc_EnviroLRET_1[[Fixed/Variable]:[Fixed/Variable]],$D51,Calc_EnviroLRET_1[[Customer type]:[Customer type]],$F51,Calc_EnviroLRET_1[[Cost item]:[Cost item]],"LRET cost")+
SUMIFS(Calc_EnviroSRES_1[Powercor],Calc_EnviroSRES_1[[Fixed/Variable]:[Fixed/Variable]],$D51,Calc_EnviroSRES_1[[Customer type]:[Customer type]],$F51,Calc_EnviroSRES_1[[Cost item]:[Cost item]],"SRES cost")</f>
        <v>2.3197834914089437E-2</v>
      </c>
      <c r="K51" s="81">
        <f>SUMIFS(Calc_EnviroVEU_1[United Energy],Calc_EnviroVEU_1[[Fixed/Variable]:[Fixed/Variable]],$D51,Calc_EnviroVEU_1[[Customer type]:[Customer type]],$F51,Calc_EnviroVEU_1[[Cost item]:[Cost item]],"VEU cost")+
SUMIFS(Calc_EnviroLRET_1[United Energy],Calc_EnviroLRET_1[[Fixed/Variable]:[Fixed/Variable]],$D51,Calc_EnviroLRET_1[[Customer type]:[Customer type]],$F51,Calc_EnviroLRET_1[[Cost item]:[Cost item]],"LRET cost")+
SUMIFS(Calc_EnviroSRES_1[United Energy],Calc_EnviroSRES_1[[Fixed/Variable]:[Fixed/Variable]],$D51,Calc_EnviroSRES_1[[Customer type]:[Customer type]],$F51,Calc_EnviroSRES_1[[Cost item]:[Cost item]],"SRES cost")</f>
        <v>2.3197834914089437E-2</v>
      </c>
    </row>
    <row r="52" spans="2:14" hidden="1" x14ac:dyDescent="0.25">
      <c r="B52"/>
      <c r="C52" s="24" t="s">
        <v>282</v>
      </c>
      <c r="D52" s="24" t="s">
        <v>139</v>
      </c>
      <c r="E52" s="24" t="s">
        <v>291</v>
      </c>
      <c r="F52" s="24" t="s">
        <v>119</v>
      </c>
      <c r="G52" s="81">
        <f>SUMIFS(Calc_OtherCosts_1[Ausnet],Calc_OtherCosts_1[Fixed/Variable],$D52,Calc_OtherCosts_1[Customer type],$F52)</f>
        <v>7.3408637826745697E-4</v>
      </c>
      <c r="H52" s="81">
        <f>SUMIFS(Calc_OtherCosts_1[Citipower],Calc_OtherCosts_1[[Fixed/Variable]:[Fixed/Variable]],$D52,Calc_OtherCosts_1[[Customer type]:[Customer type]],$F52)</f>
        <v>7.3408637826745697E-4</v>
      </c>
      <c r="I52" s="81">
        <f>SUMIFS(Calc_OtherCosts_1[Jemena],Calc_OtherCosts_1[[Fixed/Variable]:[Fixed/Variable]],$D52,Calc_OtherCosts_1[[Customer type]:[Customer type]],$F52)</f>
        <v>7.3408637826745697E-4</v>
      </c>
      <c r="J52" s="81">
        <f>SUMIFS(Calc_OtherCosts_1[Powercor],Calc_OtherCosts_1[[Fixed/Variable]:[Fixed/Variable]],$D52,Calc_OtherCosts_1[[Customer type]:[Customer type]],$F52)</f>
        <v>7.3408637826745697E-4</v>
      </c>
      <c r="K52" s="81">
        <f>SUMIFS(Calc_OtherCosts_1[United Energy],Calc_OtherCosts_1[[Fixed/Variable]:[Fixed/Variable]],$D52,Calc_OtherCosts_1[[Customer type]:[Customer type]],$F52)</f>
        <v>7.3408637826745697E-4</v>
      </c>
      <c r="N52" s="80"/>
    </row>
    <row r="53" spans="2:14" hidden="1" x14ac:dyDescent="0.25">
      <c r="B53"/>
      <c r="C53" s="24" t="s">
        <v>292</v>
      </c>
      <c r="D53" s="24" t="s">
        <v>139</v>
      </c>
      <c r="E53" s="24" t="s">
        <v>291</v>
      </c>
      <c r="F53" s="24" t="s">
        <v>100</v>
      </c>
      <c r="G53" s="78">
        <f>SUMIFS(Calc_WholesaleRES_1[Ausnet],Calc_WholesaleRES_1[[Fixed/Variable]:[Fixed/Variable]],$D53,Calc_WholesaleRES_1[[Customer type]:[Customer type]],$F53,Calc_WholesaleRES_1[[Cost item]:[Cost item]],$C53)</f>
        <v>9.4499999999999987E-2</v>
      </c>
      <c r="H53" s="78">
        <f>SUMIFS(Calc_WholesaleRES_1[Citipower],Calc_WholesaleRES_1[[Fixed/Variable]:[Fixed/Variable]],$D53,Calc_WholesaleRES_1[[Customer type]:[Customer type]],$F53,Calc_WholesaleRES_1[[Cost item]:[Cost item]],$C53)</f>
        <v>8.931E-2</v>
      </c>
      <c r="I53" s="78">
        <f>SUMIFS(Calc_WholesaleRES_1[Jemena],Calc_WholesaleRES_1[[Fixed/Variable]:[Fixed/Variable]],$D53,Calc_WholesaleRES_1[[Customer type]:[Customer type]],$F53,Calc_WholesaleRES_1[[Cost item]:[Cost item]],$C53)</f>
        <v>9.8250000000000004E-2</v>
      </c>
      <c r="J53" s="78">
        <f>SUMIFS(Calc_WholesaleRES_1[Powercor],Calc_WholesaleRES_1[[Fixed/Variable]:[Fixed/Variable]],$D53,Calc_WholesaleRES_1[[Customer type]:[Customer type]],$F53,Calc_WholesaleRES_1[[Cost item]:[Cost item]],$C53)</f>
        <v>9.2450000000000004E-2</v>
      </c>
      <c r="K53" s="78">
        <f>SUMIFS(Calc_WholesaleRES_1[United Energy],Calc_WholesaleRES_1[[Fixed/Variable]:[Fixed/Variable]],$D53,Calc_WholesaleRES_1[[Customer type]:[Customer type]],$F53,Calc_WholesaleRES_1[[Cost item]:[Cost item]],$C53)</f>
        <v>9.8670000000000008E-2</v>
      </c>
    </row>
    <row r="54" spans="2:14" hidden="1" x14ac:dyDescent="0.25">
      <c r="B54"/>
      <c r="C54" s="24" t="s">
        <v>292</v>
      </c>
      <c r="D54" s="24" t="s">
        <v>139</v>
      </c>
      <c r="E54" s="24" t="s">
        <v>291</v>
      </c>
      <c r="F54" s="24" t="s">
        <v>101</v>
      </c>
      <c r="G54" s="78">
        <f>SUMIFS(Calc_WholesaleSME_1[Ausnet],Calc_WholesaleSME_1[[Fixed/Variable]:[Fixed/Variable]],$D54,Calc_WholesaleSME_1[[Customer type]:[Customer type]],$F54,Calc_WholesaleSME_1[[Cost item]:[Cost item]],$C54)</f>
        <v>8.2619999999999999E-2</v>
      </c>
      <c r="H54" s="78">
        <f>SUMIFS(Calc_WholesaleSME_1[Citipower],Calc_WholesaleSME_1[[Fixed/Variable]:[Fixed/Variable]],$D54,Calc_WholesaleSME_1[[Customer type]:[Customer type]],$F54,Calc_WholesaleSME_1[[Cost item]:[Cost item]],$C54)</f>
        <v>8.548E-2</v>
      </c>
      <c r="I54" s="78">
        <f>SUMIFS(Calc_WholesaleSME_1[Jemena],Calc_WholesaleSME_1[[Fixed/Variable]:[Fixed/Variable]],$D54,Calc_WholesaleSME_1[[Customer type]:[Customer type]],$F54,Calc_WholesaleSME_1[[Cost item]:[Cost item]],$C54)</f>
        <v>8.4870000000000001E-2</v>
      </c>
      <c r="J54" s="78">
        <f>SUMIFS(Calc_WholesaleSME_1[Powercor],Calc_WholesaleSME_1[[Fixed/Variable]:[Fixed/Variable]],$D54,Calc_WholesaleSME_1[[Customer type]:[Customer type]],$F54,Calc_WholesaleSME_1[[Cost item]:[Cost item]],$C54)</f>
        <v>8.0420000000000005E-2</v>
      </c>
      <c r="K54" s="78">
        <f>SUMIFS(Calc_WholesaleSME_1[United Energy],Calc_WholesaleSME_1[[Fixed/Variable]:[Fixed/Variable]],$D54,Calc_WholesaleSME_1[[Customer type]:[Customer type]],$F54,Calc_WholesaleSME_1[[Cost item]:[Cost item]],$C54)</f>
        <v>8.7039999999999992E-2</v>
      </c>
    </row>
    <row r="55" spans="2:14" hidden="1" x14ac:dyDescent="0.25">
      <c r="B55"/>
      <c r="C55" s="24" t="s">
        <v>293</v>
      </c>
      <c r="D55" s="24" t="s">
        <v>139</v>
      </c>
      <c r="E55" s="24" t="s">
        <v>291</v>
      </c>
      <c r="F55" s="24" t="s">
        <v>100</v>
      </c>
      <c r="G55" s="81">
        <f>(SUMIFS(G$51:G$54,$F$51:$F$54,"All")+SUMIFS(G$51:G$54,$F$51:$F$54,$F55))*INDEX($G$160:$K$160,1,MATCH(G$50,Calc_Losses_1[[#Headers],[Ausnet]:[United Energy]],0))</f>
        <v>7.9399415870230923E-3</v>
      </c>
      <c r="H55" s="81">
        <f>(SUMIFS(H$51:H$54,$F$51:$F$54,"All")+SUMIFS(H$51:H$54,$F$51:$F$54,$F55))*INDEX($G$160:$K$160,1,MATCH(H$50,Calc_Losses_1[[#Headers],[Ausnet]:[United Energy]],0))</f>
        <v>5.5033907959423176E-3</v>
      </c>
      <c r="I55" s="81">
        <f>(SUMIFS(I$51:I$54,$F$51:$F$54,"All")+SUMIFS(I$51:I$54,$F$51:$F$54,$F55))*INDEX($G$160:$K$160,1,MATCH(I$50,Calc_Losses_1[[#Headers],[Ausnet]:[United Energy]],0))</f>
        <v>4.5994857530669573E-3</v>
      </c>
      <c r="J55" s="81">
        <f>(SUMIFS(J$51:J$54,$F$51:$F$54,"All")+SUMIFS(J$51:J$54,$F$51:$F$54,$F55))*INDEX($G$160:$K$160,1,MATCH(J$50,Calc_Losses_1[[#Headers],[Ausnet]:[United Energy]],0))</f>
        <v>8.2726425629698827E-3</v>
      </c>
      <c r="K55" s="81">
        <f>(SUMIFS(K$51:K$54,$F$51:$F$54,"All")+SUMIFS(K$51:K$54,$F$51:$F$54,$F55))*INDEX($G$160:$K$160,1,MATCH(K$50,Calc_Losses_1[[#Headers],[Ausnet]:[United Energy]],0))</f>
        <v>6.4272069860374153E-3</v>
      </c>
    </row>
    <row r="56" spans="2:14" hidden="1" x14ac:dyDescent="0.25">
      <c r="B56"/>
      <c r="C56" s="24" t="s">
        <v>293</v>
      </c>
      <c r="D56" s="24" t="s">
        <v>139</v>
      </c>
      <c r="E56" s="24" t="s">
        <v>291</v>
      </c>
      <c r="F56" s="24" t="s">
        <v>101</v>
      </c>
      <c r="G56" s="81">
        <f>(SUMIFS(G$51:G$54,$F$51:$F$54,"All")+SUMIFS(G$51:G$54,$F$51:$F$54,$F56))*INDEX($G$160:$K$160,1,MATCH(G$50,Calc_Losses_1[[#Headers],[Ausnet]:[United Energy]],0))</f>
        <v>7.1434797461230942E-3</v>
      </c>
      <c r="H56" s="81">
        <f>(SUMIFS(H$51:H$54,$F$51:$F$54,"All")+SUMIFS(H$51:H$54,$F$51:$F$54,$F56))*INDEX($G$160:$K$160,1,MATCH(H$50,Calc_Losses_1[[#Headers],[Ausnet]:[United Energy]],0))</f>
        <v>5.3172584298723184E-3</v>
      </c>
      <c r="I56" s="81">
        <f>(SUMIFS(I$51:I$54,$F$51:$F$54,"All")+SUMIFS(I$51:I$54,$F$51:$F$54,$F56))*INDEX($G$160:$K$160,1,MATCH(I$50,Calc_Losses_1[[#Headers],[Ausnet]:[United Energy]],0))</f>
        <v>4.0958014213336212E-3</v>
      </c>
      <c r="J56" s="81">
        <f>(SUMIFS(J$51:J$54,$F$51:$F$54,"All")+SUMIFS(J$51:J$54,$F$51:$F$54,$F56))*INDEX($G$160:$K$160,1,MATCH(J$50,Calc_Losses_1[[#Headers],[Ausnet]:[United Energy]],0))</f>
        <v>7.4175278773948869E-3</v>
      </c>
      <c r="K56" s="81">
        <f>(SUMIFS(K$51:K$54,$F$51:$F$54,"All")+SUMIFS(K$51:K$54,$F$51:$F$54,$F56))*INDEX($G$160:$K$160,1,MATCH(K$50,Calc_Losses_1[[#Headers],[Ausnet]:[United Energy]],0))</f>
        <v>5.8175230882674123E-3</v>
      </c>
    </row>
    <row r="57" spans="2:14" hidden="1" x14ac:dyDescent="0.25">
      <c r="B57"/>
    </row>
    <row r="58" spans="2:14" ht="15.75" hidden="1" x14ac:dyDescent="0.25">
      <c r="B58"/>
      <c r="C58" s="30" t="s">
        <v>294</v>
      </c>
    </row>
    <row r="59" spans="2:14" ht="15.75" hidden="1" x14ac:dyDescent="0.25">
      <c r="B59"/>
      <c r="C59" s="1" t="s">
        <v>546</v>
      </c>
    </row>
    <row r="60" spans="2:14" ht="15.75" hidden="1" x14ac:dyDescent="0.25">
      <c r="B60"/>
      <c r="C60" s="82" t="s">
        <v>230</v>
      </c>
    </row>
    <row r="61" spans="2:14" hidden="1" x14ac:dyDescent="0.25">
      <c r="B61"/>
      <c r="C61" s="24" t="s">
        <v>295</v>
      </c>
      <c r="D61" s="24" t="s">
        <v>11</v>
      </c>
      <c r="E61" s="24" t="s">
        <v>291</v>
      </c>
      <c r="F61" s="24" t="s">
        <v>100</v>
      </c>
      <c r="G61" s="62">
        <f>SUMIFS(Calc_NetworkV_1[Ausnet],Calc_NetworkV_1[Cost item],$C60,Calc_NetworkV_1[Customer type],$F61)</f>
        <v>0.11450300000000001</v>
      </c>
      <c r="H61" s="62">
        <f>SUMIFS(Calc_NetworkV_1[Citipower],Calc_NetworkV_1[[Cost item]:[Cost item]],$C60,Calc_NetworkV_1[[Customer type]:[Customer type]],$F61)</f>
        <v>0</v>
      </c>
      <c r="I61" s="62">
        <f>SUMIFS(Calc_NetworkV_1[Jemena],Calc_NetworkV_1[[Cost item]:[Cost item]],$C60,Calc_NetworkV_1[[Customer type]:[Customer type]],$F61)</f>
        <v>0</v>
      </c>
      <c r="J61" s="62">
        <f>SUMIFS(Calc_NetworkV_1[Powercor],Calc_NetworkV_1[[Cost item]:[Cost item]],$C60,Calc_NetworkV_1[[Customer type]:[Customer type]],$F61)</f>
        <v>0</v>
      </c>
      <c r="K61" s="62">
        <f>SUMIFS(Calc_NetworkV_1[United Energy],Calc_NetworkV_1[[Cost item]:[Cost item]],$C60,Calc_NetworkV_1[[Customer type]:[Customer type]],$F61)</f>
        <v>0</v>
      </c>
    </row>
    <row r="62" spans="2:14" hidden="1" x14ac:dyDescent="0.25">
      <c r="B62"/>
      <c r="C62" s="24" t="s">
        <v>289</v>
      </c>
      <c r="D62" s="24" t="s">
        <v>11</v>
      </c>
      <c r="E62" s="24" t="s">
        <v>291</v>
      </c>
      <c r="F62" s="24" t="s">
        <v>100</v>
      </c>
      <c r="G62" s="62">
        <f>SUMIFS(Calc_Variable_1[Ausnet],Calc_Variable_1[Customer type],"All")+SUMIFS(Calc_Variable_1[Ausnet],Calc_Variable_1[Customer type],$F62)</f>
        <v>0.12637186287937996</v>
      </c>
      <c r="H62" s="62">
        <f>SUMIFS(Calc_Variable_1[Citipower],Calc_Variable_1[[Customer type]:[Customer type]],"All")+SUMIFS(Calc_Variable_1[Citipower],Calc_Variable_1[[Customer type]:[Customer type]],$F62)</f>
        <v>0.11874531208829922</v>
      </c>
      <c r="I62" s="62">
        <f>SUMIFS(Calc_Variable_1[Jemena],Calc_Variable_1[[Customer type]:[Customer type]],"All")+SUMIFS(Calc_Variable_1[Jemena],Calc_Variable_1[[Customer type]:[Customer type]],$F62)</f>
        <v>0.12678140704542384</v>
      </c>
      <c r="J62" s="62">
        <f>SUMIFS(Calc_Variable_1[Powercor],Calc_Variable_1[[Customer type]:[Customer type]],"All")+SUMIFS(Calc_Variable_1[Powercor],Calc_Variable_1[[Customer type]:[Customer type]],$F62)</f>
        <v>0.12465456385532679</v>
      </c>
      <c r="K62" s="62">
        <f>SUMIFS(Calc_Variable_1[United Energy],Calc_Variable_1[[Customer type]:[Customer type]],"All")+SUMIFS(Calc_Variable_1[United Energy],Calc_Variable_1[[Customer type]:[Customer type]],$F62)</f>
        <v>0.1290291282783943</v>
      </c>
    </row>
    <row r="63" spans="2:14" hidden="1" x14ac:dyDescent="0.25">
      <c r="B63"/>
      <c r="C63" s="24" t="s">
        <v>212</v>
      </c>
      <c r="D63" s="24" t="s">
        <v>11</v>
      </c>
      <c r="E63" s="24" t="s">
        <v>291</v>
      </c>
      <c r="F63" s="24" t="s">
        <v>100</v>
      </c>
      <c r="G63" s="74" cm="1">
        <f t="array" ref="G63">IF(G61=0,"-",
(G61+G62)*Calc_ROM_1[Ausnet])</f>
        <v>1.4548841717914551E-2</v>
      </c>
      <c r="H63" s="74" t="str" cm="1">
        <f t="array" ref="H63">IF(H61=0,"-",
(H61+H62)*Calc_ROM_1[Citipower])</f>
        <v>-</v>
      </c>
      <c r="I63" s="74" t="str" cm="1">
        <f t="array" ref="I63">IF(I61=0,"-",
(I61+I62)*Calc_ROM_1[Jemena])</f>
        <v>-</v>
      </c>
      <c r="J63" s="74" t="str" cm="1">
        <f t="array" ref="J63">IF(J61=0,"-",
(J61+J62)*Calc_ROM_1[Powercor])</f>
        <v>-</v>
      </c>
      <c r="K63" s="74" t="str" cm="1">
        <f t="array" ref="K63">IF(K61=0,"-",
(K61+K62)*Calc_ROM_1[United Energy])</f>
        <v>-</v>
      </c>
    </row>
    <row r="64" spans="2:14" hidden="1" x14ac:dyDescent="0.25">
      <c r="B64"/>
      <c r="C64" s="24" t="s">
        <v>286</v>
      </c>
      <c r="D64" s="24" t="s">
        <v>11</v>
      </c>
      <c r="E64" s="24" t="s">
        <v>291</v>
      </c>
      <c r="F64" s="24" t="s">
        <v>100</v>
      </c>
      <c r="G64" s="74">
        <f>IF(G61=0,"-",
(G61+G62+G63)*GST)</f>
        <v>2.5542370459729454E-2</v>
      </c>
      <c r="H64" s="74" t="str">
        <f>IF(H61=0,"-",
(SUMIFS(#REF!,#REF!,$F61)+H61+H63)*GST)</f>
        <v>-</v>
      </c>
      <c r="I64" s="74" t="str">
        <f>IF(I61=0,"-",
(SUMIFS(#REF!,#REF!,$F61)+I61+I63)*GST)</f>
        <v>-</v>
      </c>
      <c r="J64" s="74" t="str">
        <f>IF(J61=0,"-",
(SUMIFS(#REF!,#REF!,$F61)+J61+J63)*GST)</f>
        <v>-</v>
      </c>
      <c r="K64" s="74" t="str">
        <f>IF(K61=0,"-",
(SUMIFS(#REF!,#REF!,$F61)+K61+K63)*GST)</f>
        <v>-</v>
      </c>
    </row>
    <row r="65" spans="2:11" hidden="1" x14ac:dyDescent="0.25">
      <c r="B65"/>
      <c r="C65" s="24" t="str">
        <f>C60&amp;" charge"</f>
        <v>Block 1 charge</v>
      </c>
      <c r="D65" s="24" t="s">
        <v>11</v>
      </c>
      <c r="E65" s="24" t="s">
        <v>291</v>
      </c>
      <c r="F65" s="24" t="s">
        <v>100</v>
      </c>
      <c r="G65" s="75">
        <f>IF(G61=0,"-",
SUM(G61:G64))</f>
        <v>0.28096607505702398</v>
      </c>
      <c r="H65" s="75" t="str">
        <f t="shared" ref="H65:K65" si="13">IF(H61=0,"-",
SUM(H61:H64))</f>
        <v>-</v>
      </c>
      <c r="I65" s="75" t="str">
        <f t="shared" si="13"/>
        <v>-</v>
      </c>
      <c r="J65" s="75" t="str">
        <f t="shared" si="13"/>
        <v>-</v>
      </c>
      <c r="K65" s="75" t="str">
        <f t="shared" si="13"/>
        <v>-</v>
      </c>
    </row>
    <row r="66" spans="2:11" hidden="1" x14ac:dyDescent="0.25">
      <c r="B66"/>
      <c r="G66" s="111" cm="1">
        <f t="array" ref="G66">IF($D$5='Lookup refs'!$D$25,
IF(G65=INDEX(RateCheck_VDO2021F[[Ausnet]:[United Energy]],MATCH(IF(OR(Calc_Rates!$C65="Single rate charge",Calc_Rates!$C65="Block 1 charge",Calc_Rates!$C65="Balance charge"),"Anytime - ","TOU - ")&amp;Calc_Rates!$C65&amp;"_"&amp;Calc_Rates!$F65,RateCheck_VDO2021F[Rate],0),MATCH(Calc_Rates!G$9,RateCheck_VDO2021F[[#Headers],[Ausnet]:[United Energy]],0)),0,1),
IF(G65="-","-",
IF(ROUND(G65,8)=ROUND((((
SUMIFS(Calc_Variable_1[Ausnet],Calc_Variable_1[Customer type],Calc_Rates!$F65)+
SUMIFS(Calc_Variable_1[Ausnet],Calc_Variable_1[Customer type],"All")+G61)*(1+Calc_ROM_1[Ausnet]))*(1+GST)),8),0,1)))</f>
        <v>0</v>
      </c>
      <c r="H66" s="111" t="str" cm="1">
        <f t="array" ref="H66">IF($D$5='Lookup refs'!$D$25,
IF(H65=INDEX(RateCheck_VDO2021F[[Ausnet]:[United Energy]],MATCH(IF(OR(Calc_Rates!$C65="Single rate charge",Calc_Rates!$C65="Block 1 charge",Calc_Rates!$C65="Balance charge"),"Anytime - ","TOU - ")&amp;Calc_Rates!$C65&amp;"_"&amp;Calc_Rates!$F65,RateCheck_VDO2021F[Rate],0),MATCH(Calc_Rates!H$9,RateCheck_VDO2021F[[#Headers],[Ausnet]:[United Energy]],0)),0,1),
IF(H65="-","-",
IF(ROUND(H65,8)=ROUND((((
SUMIFS(Calc_Variable_1[Citipower],Calc_Variable_1[Customer type],Calc_Rates!$F65)+
SUMIFS(Calc_Variable_1[Citipower],Calc_Variable_1[Customer type],"All")+H61)*(1+Calc_ROM_1[Citipower]))*(1+GST)),8),0,1)))</f>
        <v>-</v>
      </c>
      <c r="I66" s="111" t="str" cm="1">
        <f t="array" ref="I66">IF($D$5='Lookup refs'!$D$25,
IF(I65=INDEX(RateCheck_VDO2021F[[Ausnet]:[United Energy]],MATCH(IF(OR(Calc_Rates!$C65="Single rate charge",Calc_Rates!$C65="Block 1 charge",Calc_Rates!$C65="Balance charge"),"Anytime - ","TOU - ")&amp;Calc_Rates!$C65&amp;"_"&amp;Calc_Rates!$F65,RateCheck_VDO2021F[Rate],0),MATCH(Calc_Rates!I$9,RateCheck_VDO2021F[[#Headers],[Ausnet]:[United Energy]],0)),0,1),
IF(I65="-","-",
IF(ROUND(I65,8)=ROUND((((
SUMIFS(Calc_Variable_1[Jemena],Calc_Variable_1[Customer type],Calc_Rates!$F65)+
SUMIFS(Calc_Variable_1[Jemena],Calc_Variable_1[Customer type],"All")+I61)*(1+Calc_ROM_1[Jemena]))*(1+GST)),8),0,1)))</f>
        <v>-</v>
      </c>
      <c r="J66" s="111" t="str" cm="1">
        <f t="array" ref="J66">IF($D$5='Lookup refs'!$D$25,
IF(J65=INDEX(RateCheck_VDO2021F[[Ausnet]:[United Energy]],MATCH(IF(OR(Calc_Rates!$C65="Single rate charge",Calc_Rates!$C65="Block 1 charge",Calc_Rates!$C65="Balance charge"),"Anytime - ","TOU - ")&amp;Calc_Rates!$C65&amp;"_"&amp;Calc_Rates!$F65,RateCheck_VDO2021F[Rate],0),MATCH(Calc_Rates!J$9,RateCheck_VDO2021F[[#Headers],[Ausnet]:[United Energy]],0)),0,1),
IF(J65="-","-",
IF(ROUND(J65,8)=ROUND((((
SUMIFS(Calc_Variable_1[Powercor],Calc_Variable_1[Customer type],Calc_Rates!$F65)+
SUMIFS(Calc_Variable_1[Powercor],Calc_Variable_1[Customer type],"All")+J61)*(1+Calc_ROM_1[Powercor]))*(1+GST)),8),0,1)))</f>
        <v>-</v>
      </c>
      <c r="K66" s="111" t="str" cm="1">
        <f t="array" ref="K66">IF($D$5='Lookup refs'!$D$25,
IF(K65=INDEX(RateCheck_VDO2021F[[Ausnet]:[United Energy]],MATCH(IF(OR(Calc_Rates!$C65="Single rate charge",Calc_Rates!$C65="Block 1 charge",Calc_Rates!$C65="Balance charge"),"Anytime - ","TOU - ")&amp;Calc_Rates!$C65&amp;"_"&amp;Calc_Rates!$F65,RateCheck_VDO2021F[Rate],0),MATCH(Calc_Rates!K$9,RateCheck_VDO2021F[[#Headers],[Ausnet]:[United Energy]],0)),0,1),
IF(K65="-","-",
IF(ROUND(K65,8)=ROUND((((
SUMIFS(Calc_Variable_1[United Energy],Calc_Variable_1[[Customer type]:[Customer type]],Calc_Rates!$F65)+
SUMIFS(Calc_Variable_1[United Energy],Calc_Variable_1[[Customer type]:[Customer type]],"All")+K61)*(1+Calc_ROM_1[United Energy]))*(1+GST)),8),0,1)))</f>
        <v>-</v>
      </c>
    </row>
    <row r="67" spans="2:11" ht="15.75" hidden="1" x14ac:dyDescent="0.25">
      <c r="B67"/>
      <c r="C67" s="82" t="s">
        <v>237</v>
      </c>
    </row>
    <row r="68" spans="2:11" hidden="1" x14ac:dyDescent="0.25">
      <c r="B68"/>
      <c r="C68" s="24" t="s">
        <v>295</v>
      </c>
      <c r="D68" s="24" t="s">
        <v>11</v>
      </c>
      <c r="E68" s="24" t="s">
        <v>291</v>
      </c>
      <c r="F68" s="24" t="s">
        <v>100</v>
      </c>
      <c r="G68" s="62">
        <f>SUMIFS(Calc_NetworkV_1[Ausnet],Calc_NetworkV_1[[Cost item]:[Cost item]],$C67,Calc_NetworkV_1[[Customer type]:[Customer type]],$F68)</f>
        <v>0.128382</v>
      </c>
      <c r="H68" s="62">
        <f>SUMIFS(Calc_NetworkV_1[Citipower],Calc_NetworkV_1[[Cost item]:[Cost item]],$C67,Calc_NetworkV_1[[Customer type]:[Customer type]],$F68)</f>
        <v>0</v>
      </c>
      <c r="I68" s="62">
        <f>SUMIFS(Calc_NetworkV_1[Jemena],Calc_NetworkV_1[[Cost item]:[Cost item]],$C67,Calc_NetworkV_1[[Customer type]:[Customer type]],$F68)</f>
        <v>0</v>
      </c>
      <c r="J68" s="62">
        <f>SUMIFS(Calc_NetworkV_1[Powercor],Calc_NetworkV_1[[Cost item]:[Cost item]],$C67,Calc_NetworkV_1[[Customer type]:[Customer type]],$F68)</f>
        <v>0</v>
      </c>
      <c r="K68" s="62">
        <f>SUMIFS(Calc_NetworkV_1[United Energy],Calc_NetworkV_1[[Cost item]:[Cost item]],$C67,Calc_NetworkV_1[[Customer type]:[Customer type]],$F68)</f>
        <v>0</v>
      </c>
    </row>
    <row r="69" spans="2:11" hidden="1" x14ac:dyDescent="0.25">
      <c r="B69"/>
      <c r="C69" s="24" t="s">
        <v>289</v>
      </c>
      <c r="D69" s="24" t="s">
        <v>11</v>
      </c>
      <c r="E69" s="24" t="s">
        <v>291</v>
      </c>
      <c r="F69" s="24" t="s">
        <v>100</v>
      </c>
      <c r="G69" s="62">
        <f>SUMIFS(Calc_Variable_1[Ausnet],Calc_Variable_1[[Customer type]:[Customer type]],"All")+SUMIFS(Calc_Variable_1[Ausnet],Calc_Variable_1[[Customer type]:[Customer type]],$F69)</f>
        <v>0.12637186287937996</v>
      </c>
      <c r="H69" s="62">
        <f>SUMIFS(Calc_Variable_1[Citipower],Calc_Variable_1[[Customer type]:[Customer type]],"All")+SUMIFS(Calc_Variable_1[Citipower],Calc_Variable_1[[Customer type]:[Customer type]],$F69)</f>
        <v>0.11874531208829922</v>
      </c>
      <c r="I69" s="62">
        <f>SUMIFS(Calc_Variable_1[Jemena],Calc_Variable_1[[Customer type]:[Customer type]],"All")+SUMIFS(Calc_Variable_1[Jemena],Calc_Variable_1[[Customer type]:[Customer type]],$F69)</f>
        <v>0.12678140704542384</v>
      </c>
      <c r="J69" s="62">
        <f>SUMIFS(Calc_Variable_1[Powercor],Calc_Variable_1[[Customer type]:[Customer type]],"All")+SUMIFS(Calc_Variable_1[Powercor],Calc_Variable_1[[Customer type]:[Customer type]],$F69)</f>
        <v>0.12465456385532679</v>
      </c>
      <c r="K69" s="62">
        <f>SUMIFS(Calc_Variable_1[United Energy],Calc_Variable_1[[Customer type]:[Customer type]],"All")+SUMIFS(Calc_Variable_1[United Energy],Calc_Variable_1[[Customer type]:[Customer type]],$F69)</f>
        <v>0.1290291282783943</v>
      </c>
    </row>
    <row r="70" spans="2:11" hidden="1" x14ac:dyDescent="0.25">
      <c r="B70"/>
      <c r="C70" s="24" t="s">
        <v>212</v>
      </c>
      <c r="D70" s="24" t="s">
        <v>11</v>
      </c>
      <c r="E70" s="24" t="s">
        <v>291</v>
      </c>
      <c r="F70" s="24" t="s">
        <v>100</v>
      </c>
      <c r="G70" s="74" cm="1">
        <f t="array" ref="G70">IF(G68=0,"-",
(G68+G69)*Calc_ROM_1[Ausnet])</f>
        <v>1.538713331791455E-2</v>
      </c>
      <c r="H70" s="74" t="str" cm="1">
        <f t="array" ref="H70">IF(H68=0,"-",
(H68+H69)*Calc_ROM_1[Citipower])</f>
        <v>-</v>
      </c>
      <c r="I70" s="74" t="str" cm="1">
        <f t="array" ref="I70">IF(I68=0,"-",
(I68+I69)*Calc_ROM_1[Jemena])</f>
        <v>-</v>
      </c>
      <c r="J70" s="74" t="str" cm="1">
        <f t="array" ref="J70">IF(J68=0,"-",
(J68+J69)*Calc_ROM_1[Powercor])</f>
        <v>-</v>
      </c>
      <c r="K70" s="74" t="str" cm="1">
        <f t="array" ref="K70">IF(K68=0,"-",
(K68+K69)*Calc_ROM_1[United Energy])</f>
        <v>-</v>
      </c>
    </row>
    <row r="71" spans="2:11" hidden="1" x14ac:dyDescent="0.25">
      <c r="B71"/>
      <c r="C71" s="24" t="s">
        <v>286</v>
      </c>
      <c r="D71" s="24" t="s">
        <v>11</v>
      </c>
      <c r="E71" s="24" t="s">
        <v>291</v>
      </c>
      <c r="F71" s="24" t="s">
        <v>100</v>
      </c>
      <c r="G71" s="74">
        <f>IF(G68=0,"-",
(G68+G69+G70)*GST)</f>
        <v>2.7014099619729448E-2</v>
      </c>
      <c r="H71" s="74" t="str">
        <f>IF(H68=0,"-",
(SUMIFS(#REF!,#REF!,$F68)+H68+H70)*GST)</f>
        <v>-</v>
      </c>
      <c r="I71" s="74" t="str">
        <f>IF(I68=0,"-",
(SUMIFS(#REF!,#REF!,$F68)+I68+I70)*GST)</f>
        <v>-</v>
      </c>
      <c r="J71" s="74" t="str">
        <f>IF(J68=0,"-",
(SUMIFS(#REF!,#REF!,$F68)+J68+J70)*GST)</f>
        <v>-</v>
      </c>
      <c r="K71" s="74" t="str">
        <f>IF(K68=0,"-",
(SUMIFS(#REF!,#REF!,$F68)+K68+K70)*GST)</f>
        <v>-</v>
      </c>
    </row>
    <row r="72" spans="2:11" hidden="1" x14ac:dyDescent="0.25">
      <c r="B72"/>
      <c r="C72" s="24" t="str">
        <f>C67&amp;" charge"</f>
        <v>Balance charge</v>
      </c>
      <c r="D72" s="24" t="s">
        <v>11</v>
      </c>
      <c r="E72" s="24" t="s">
        <v>291</v>
      </c>
      <c r="F72" s="24" t="s">
        <v>100</v>
      </c>
      <c r="G72" s="75">
        <f>IF(G68=0,"-",
SUM(G68:G71))</f>
        <v>0.29715509581702393</v>
      </c>
      <c r="H72" s="75" t="str">
        <f t="shared" ref="H72" si="14">IF(H68=0,"-",
SUM(H68:H71))</f>
        <v>-</v>
      </c>
      <c r="I72" s="75" t="str">
        <f t="shared" ref="I72" si="15">IF(I68=0,"-",
SUM(I68:I71))</f>
        <v>-</v>
      </c>
      <c r="J72" s="75" t="str">
        <f t="shared" ref="J72" si="16">IF(J68=0,"-",
SUM(J68:J71))</f>
        <v>-</v>
      </c>
      <c r="K72" s="75" t="str">
        <f t="shared" ref="K72" si="17">IF(K68=0,"-",
SUM(K68:K71))</f>
        <v>-</v>
      </c>
    </row>
    <row r="73" spans="2:11" hidden="1" x14ac:dyDescent="0.25">
      <c r="B73"/>
      <c r="G73" s="111" cm="1">
        <f t="array" ref="G73">IF($D$5='Lookup refs'!$D$25,
IF(G72=INDEX(RateCheck_VDO2021F[[Ausnet]:[United Energy]],MATCH(IF(OR(Calc_Rates!$C72="Single rate charge",Calc_Rates!$C72="Block 1 charge",Calc_Rates!$C72="Balance charge"),"Anytime - ","TOU - ")&amp;Calc_Rates!$C72&amp;"_"&amp;Calc_Rates!$F72,RateCheck_VDO2021F[Rate],0),MATCH(Calc_Rates!G$9,RateCheck_VDO2021F[[#Headers],[Ausnet]:[United Energy]],0)),0,1),
IF(G72="-","-",
IF(ROUND(G72,8)=ROUND((((
SUMIFS(Calc_Variable_1[Ausnet],Calc_Variable_1[Customer type],Calc_Rates!$F72)+
SUMIFS(Calc_Variable_1[Ausnet],Calc_Variable_1[Customer type],"All")+G68)*(1+Calc_ROM_1[Ausnet]))*(1+GST)),8),0,1)))</f>
        <v>0</v>
      </c>
      <c r="H73" s="111" t="str" cm="1">
        <f t="array" ref="H73">IF($D$5='Lookup refs'!$D$25,
IF(H72=INDEX(RateCheck_VDO2021F[[Ausnet]:[United Energy]],MATCH(IF(OR(Calc_Rates!$C72="Single rate charge",Calc_Rates!$C72="Block 1 charge",Calc_Rates!$C72="Balance charge"),"Anytime - ","TOU - ")&amp;Calc_Rates!$C72&amp;"_"&amp;Calc_Rates!$F72,RateCheck_VDO2021F[Rate],0),MATCH(Calc_Rates!H$9,RateCheck_VDO2021F[[#Headers],[Ausnet]:[United Energy]],0)),0,1),
IF(H72="-","-",
IF(ROUND(H72,8)=ROUND((((
SUMIFS(Calc_Variable_1[Citipower],Calc_Variable_1[Customer type],Calc_Rates!$F72)+
SUMIFS(Calc_Variable_1[Citipower],Calc_Variable_1[Customer type],"All")+H68)*(1+Calc_ROM_1[Citipower]))*(1+GST)),8),0,1)))</f>
        <v>-</v>
      </c>
      <c r="I73" s="111" t="str" cm="1">
        <f t="array" ref="I73">IF($D$5='Lookup refs'!$D$25,
IF(I72=INDEX(RateCheck_VDO2021F[[Ausnet]:[United Energy]],MATCH(IF(OR(Calc_Rates!$C72="Single rate charge",Calc_Rates!$C72="Block 1 charge",Calc_Rates!$C72="Balance charge"),"Anytime - ","TOU - ")&amp;Calc_Rates!$C72&amp;"_"&amp;Calc_Rates!$F72,RateCheck_VDO2021F[Rate],0),MATCH(Calc_Rates!I$9,RateCheck_VDO2021F[[#Headers],[Ausnet]:[United Energy]],0)),0,1),
IF(I72="-","-",
IF(ROUND(I72,8)=ROUND((((
SUMIFS(Calc_Variable_1[Jemena],Calc_Variable_1[Customer type],Calc_Rates!$F72)+
SUMIFS(Calc_Variable_1[Jemena],Calc_Variable_1[Customer type],"All")+I68)*(1+Calc_ROM_1[Jemena]))*(1+GST)),8),0,1)))</f>
        <v>-</v>
      </c>
      <c r="J73" s="111" t="str" cm="1">
        <f t="array" ref="J73">IF($D$5='Lookup refs'!$D$25,
IF(J72=INDEX(RateCheck_VDO2021F[[Ausnet]:[United Energy]],MATCH(IF(OR(Calc_Rates!$C72="Single rate charge",Calc_Rates!$C72="Block 1 charge",Calc_Rates!$C72="Balance charge"),"Anytime - ","TOU - ")&amp;Calc_Rates!$C72&amp;"_"&amp;Calc_Rates!$F72,RateCheck_VDO2021F[Rate],0),MATCH(Calc_Rates!J$9,RateCheck_VDO2021F[[#Headers],[Ausnet]:[United Energy]],0)),0,1),
IF(J72="-","-",
IF(ROUND(J72,8)=ROUND((((
SUMIFS(Calc_Variable_1[Powercor],Calc_Variable_1[[Customer type]:[Customer type]],Calc_Rates!$F72)+
SUMIFS(Calc_Variable_1[Powercor],Calc_Variable_1[[Customer type]:[Customer type]],"All")+J68)*(1+Calc_ROM_1[Powercor]))*(1+GST)),8),0,1)))</f>
        <v>-</v>
      </c>
      <c r="K73" s="111" t="str" cm="1">
        <f t="array" ref="K73">IF($D$5='Lookup refs'!$D$25,
IF(K72=INDEX(RateCheck_VDO2021F[[Ausnet]:[United Energy]],MATCH(IF(OR(Calc_Rates!$C72="Single rate charge",Calc_Rates!$C72="Block 1 charge",Calc_Rates!$C72="Balance charge"),"Anytime - ","TOU - ")&amp;Calc_Rates!$C72&amp;"_"&amp;Calc_Rates!$F72,RateCheck_VDO2021F[[Rate]:[Rate]],0),MATCH(Calc_Rates!K$9,RateCheck_VDO2021F[[#Headers],[Ausnet]:[United Energy]],0)),0,1),
IF(K72="-","-",
IF(ROUND(K72,8)=ROUND((((
SUMIFS(Calc_Variable_1[United Energy],Calc_Variable_1[[Customer type]:[Customer type]],Calc_Rates!$F72)+
SUMIFS(Calc_Variable_1[United Energy],Calc_Variable_1[[Customer type]:[Customer type]],"All")+K68)*(1+Calc_ROM_1[United Energy]))*(1+GST)),8),0,1)))</f>
        <v>-</v>
      </c>
    </row>
    <row r="74" spans="2:11" ht="15.75" hidden="1" x14ac:dyDescent="0.25">
      <c r="B74"/>
      <c r="C74" s="82" t="s">
        <v>508</v>
      </c>
    </row>
    <row r="75" spans="2:11" hidden="1" x14ac:dyDescent="0.25">
      <c r="B75"/>
      <c r="C75" s="24" t="s">
        <v>295</v>
      </c>
      <c r="D75" s="24" t="s">
        <v>11</v>
      </c>
      <c r="E75" s="24" t="s">
        <v>291</v>
      </c>
      <c r="F75" s="24" t="s">
        <v>100</v>
      </c>
      <c r="G75" s="62">
        <f>SUMIFS(Calc_NetworkV_1[Ausnet],Calc_NetworkV_1[[Cost item]:[Cost item]],$C74,Calc_NetworkV_1[[Customer type]:[Customer type]],$F75)</f>
        <v>0</v>
      </c>
      <c r="H75" s="62">
        <f>SUMIFS(Calc_NetworkV_1[Citipower],Calc_NetworkV_1[[Cost item]:[Cost item]],$C74,Calc_NetworkV_1[[Customer type]:[Customer type]],$F75)</f>
        <v>8.0500000000000002E-2</v>
      </c>
      <c r="I75" s="62">
        <f>SUMIFS(Calc_NetworkV_1[Jemena],Calc_NetworkV_1[[Cost item]:[Cost item]],$C74,Calc_NetworkV_1[[Customer type]:[Customer type]],$F75)</f>
        <v>8.6699999999999999E-2</v>
      </c>
      <c r="J75" s="62">
        <f>SUMIFS(Calc_NetworkV_1[Powercor],Calc_NetworkV_1[[Cost item]:[Cost item]],$C74,Calc_NetworkV_1[[Customer type]:[Customer type]],$F75)</f>
        <v>8.1500000000000003E-2</v>
      </c>
      <c r="K75" s="62">
        <f>SUMIFS(Calc_NetworkV_1[United Energy],Calc_NetworkV_1[[Cost item]:[Cost item]],$C74,Calc_NetworkV_1[[Customer type]:[Customer type]],$F75)</f>
        <v>7.9899999999999999E-2</v>
      </c>
    </row>
    <row r="76" spans="2:11" hidden="1" x14ac:dyDescent="0.25">
      <c r="B76"/>
      <c r="C76" s="24" t="s">
        <v>289</v>
      </c>
      <c r="D76" s="24" t="s">
        <v>11</v>
      </c>
      <c r="E76" s="24" t="s">
        <v>291</v>
      </c>
      <c r="F76" s="24" t="s">
        <v>100</v>
      </c>
      <c r="G76" s="62">
        <f>SUMIFS(Calc_Variable_1[Ausnet],Calc_Variable_1[[Customer type]:[Customer type]],"All")+SUMIFS(Calc_Variable_1[Ausnet],Calc_Variable_1[[Customer type]:[Customer type]],$F76)</f>
        <v>0.12637186287937996</v>
      </c>
      <c r="H76" s="62">
        <f>SUMIFS(Calc_Variable_1[Citipower],Calc_Variable_1[[Customer type]:[Customer type]],"All")+SUMIFS(Calc_Variable_1[Citipower],Calc_Variable_1[[Customer type]:[Customer type]],$F76)</f>
        <v>0.11874531208829922</v>
      </c>
      <c r="I76" s="62">
        <f>SUMIFS(Calc_Variable_1[Jemena],Calc_Variable_1[[Customer type]:[Customer type]],"All")+SUMIFS(Calc_Variable_1[Jemena],Calc_Variable_1[[Customer type]:[Customer type]],$F76)</f>
        <v>0.12678140704542384</v>
      </c>
      <c r="J76" s="62">
        <f>SUMIFS(Calc_Variable_1[Powercor],Calc_Variable_1[[Customer type]:[Customer type]],"All")+SUMIFS(Calc_Variable_1[Powercor],Calc_Variable_1[[Customer type]:[Customer type]],$F76)</f>
        <v>0.12465456385532679</v>
      </c>
      <c r="K76" s="62">
        <f>SUMIFS(Calc_Variable_1[United Energy],Calc_Variable_1[[Customer type]:[Customer type]],"All")+SUMIFS(Calc_Variable_1[United Energy],Calc_Variable_1[[Customer type]:[Customer type]],$F76)</f>
        <v>0.1290291282783943</v>
      </c>
    </row>
    <row r="77" spans="2:11" hidden="1" x14ac:dyDescent="0.25">
      <c r="B77"/>
      <c r="C77" s="24" t="s">
        <v>212</v>
      </c>
      <c r="D77" s="24" t="s">
        <v>11</v>
      </c>
      <c r="E77" s="24" t="s">
        <v>291</v>
      </c>
      <c r="F77" s="24" t="s">
        <v>100</v>
      </c>
      <c r="G77" s="74" t="str" cm="1">
        <f t="array" ref="G77">IF(G75=0,"-",
(G75+G76)*Calc_ROM_1[Ausnet])</f>
        <v>-</v>
      </c>
      <c r="H77" s="74" cm="1">
        <f t="array" ref="H77">IF(H75=0,"-",
(H75+H76)*Calc_ROM_1[Ausnet])</f>
        <v>1.2034416850133272E-2</v>
      </c>
      <c r="I77" s="74" cm="1">
        <f t="array" ref="I77">IF(I75=0,"-",
(I75+I76)*Calc_ROM_1[Ausnet])</f>
        <v>1.2894276985543601E-2</v>
      </c>
      <c r="J77" s="74" cm="1">
        <f t="array" ref="J77">IF(J75=0,"-",
(J75+J76)*Calc_ROM_1[Ausnet])</f>
        <v>1.2451735656861739E-2</v>
      </c>
      <c r="K77" s="74" cm="1">
        <f t="array" ref="K77">IF(K75=0,"-",
(K75+K76)*Calc_ROM_1[Ausnet])</f>
        <v>1.2619319348015016E-2</v>
      </c>
    </row>
    <row r="78" spans="2:11" hidden="1" x14ac:dyDescent="0.25">
      <c r="B78"/>
      <c r="C78" s="24" t="s">
        <v>286</v>
      </c>
      <c r="D78" s="24" t="s">
        <v>11</v>
      </c>
      <c r="E78" s="24" t="s">
        <v>291</v>
      </c>
      <c r="F78" s="24" t="s">
        <v>100</v>
      </c>
      <c r="G78" s="74" t="str">
        <f>IF(G75=0,"-",
(G75+G76+G77)*GST)</f>
        <v>-</v>
      </c>
      <c r="H78" s="74">
        <f>IF(H75=0,"-",
(H75+H76+H77)*GST)</f>
        <v>2.1127972893843248E-2</v>
      </c>
      <c r="I78" s="74">
        <f>IF(I75=0,"-",
(I75+I76+I77)*GST)</f>
        <v>2.2637568403096747E-2</v>
      </c>
      <c r="J78" s="74">
        <f>IF(J75=0,"-",
(J75+J76+J77)*GST)</f>
        <v>2.1860629951218857E-2</v>
      </c>
      <c r="K78" s="74">
        <f>IF(K75=0,"-",
(K75+K76+K77)*GST)</f>
        <v>2.2154844762640933E-2</v>
      </c>
    </row>
    <row r="79" spans="2:11" hidden="1" x14ac:dyDescent="0.25">
      <c r="B79"/>
      <c r="C79" s="24" t="str">
        <f>C74&amp;" charge"</f>
        <v>Single rate charge</v>
      </c>
      <c r="D79" s="24" t="s">
        <v>11</v>
      </c>
      <c r="E79" s="24" t="s">
        <v>291</v>
      </c>
      <c r="F79" s="24" t="s">
        <v>100</v>
      </c>
      <c r="G79" s="75" t="str">
        <f>IF(G75=0,"-",
SUM(G75:G78))</f>
        <v>-</v>
      </c>
      <c r="H79" s="75">
        <f>IF(H75=0,"-",
SUM(H75:H78))</f>
        <v>0.23240770183227571</v>
      </c>
      <c r="I79" s="75">
        <f t="shared" ref="I79:K79" si="18">IF(I75=0,"-",
SUM(I75:I78))</f>
        <v>0.24901325243406419</v>
      </c>
      <c r="J79" s="75">
        <f t="shared" si="18"/>
        <v>0.24046692946340739</v>
      </c>
      <c r="K79" s="75">
        <f t="shared" si="18"/>
        <v>0.24370329238905025</v>
      </c>
    </row>
    <row r="80" spans="2:11" hidden="1" x14ac:dyDescent="0.25">
      <c r="B80"/>
      <c r="G80" s="111" t="str" cm="1">
        <f t="array" ref="G80">IF($D$5='Lookup refs'!$D$25,
IF(G79=INDEX(RateCheck_VDO2021F[[Ausnet]:[United Energy]],MATCH(IF(OR(Calc_Rates!$C79="Single rate charge",Calc_Rates!$C79="Block 1 charge",Calc_Rates!$C79="Balance charge"),"Anytime - ","TOU - ")&amp;Calc_Rates!$C79&amp;"_"&amp;Calc_Rates!$F79,RateCheck_VDO2021F[Rate],0),MATCH(Calc_Rates!G$9,RateCheck_VDO2021F[[#Headers],[Ausnet]:[United Energy]],0)),0,1),
IF(G79="-","-",
IF(ROUND(G79,8)=ROUND((((
SUMIFS(Calc_Variable_1[Ausnet],Calc_Variable_1[Customer type],Calc_Rates!$F79)+
SUMIFS(Calc_Variable_1[Ausnet],Calc_Variable_1[Customer type],"All")+G75)*(1+Calc_ROM_1[Ausnet]))*(1+GST)),8),0,1)))</f>
        <v>-</v>
      </c>
      <c r="H80" s="111" cm="1">
        <f t="array" ref="H80">IF($D$5='Lookup refs'!$D$25,
IF(H79=INDEX(RateCheck_VDO2021F[[Ausnet]:[United Energy]],MATCH(IF(OR(Calc_Rates!$C79="Single rate charge",Calc_Rates!$C79="Block 1 charge",Calc_Rates!$C79="Balance charge"),"Anytime - ","TOU - ")&amp;Calc_Rates!$C79&amp;"_"&amp;Calc_Rates!$F79,RateCheck_VDO2021F[Rate],0),MATCH(Calc_Rates!H$9,RateCheck_VDO2021F[[#Headers],[Ausnet]:[United Energy]],0)),0,1),
IF(H79="-","-",
IF(ROUND(H79,8)=ROUND((((
SUMIFS(Calc_Variable_1[Citipower],Calc_Variable_1[Customer type],Calc_Rates!$F79)+
SUMIFS(Calc_Variable_1[Citipower],Calc_Variable_1[Customer type],"All")+H75)*(1+Calc_ROM_1[Citipower]))*(1+GST)),8),0,1)))</f>
        <v>0</v>
      </c>
      <c r="I80" s="111" cm="1">
        <f t="array" ref="I80">IF($D$5='Lookup refs'!$D$25,
IF(I79=INDEX(RateCheck_VDO2021F[[Ausnet]:[United Energy]],MATCH(IF(OR(Calc_Rates!$C79="Single rate charge",Calc_Rates!$C79="Block 1 charge",Calc_Rates!$C79="Balance charge"),"Anytime - ","TOU - ")&amp;Calc_Rates!$C79&amp;"_"&amp;Calc_Rates!$F79,RateCheck_VDO2021F[Rate],0),MATCH(Calc_Rates!I$9,RateCheck_VDO2021F[[#Headers],[Ausnet]:[United Energy]],0)),0,1),
IF(I79="-","-",
IF(ROUND(I79,8)=ROUND((((
SUMIFS(Calc_Variable_1[Jemena],Calc_Variable_1[Customer type],Calc_Rates!$F79)+
SUMIFS(Calc_Variable_1[Jemena],Calc_Variable_1[Customer type],"All")+I75)*(1+Calc_ROM_1[Jemena]))*(1+GST)),8),0,1)))</f>
        <v>0</v>
      </c>
      <c r="J80" s="111" cm="1">
        <f t="array" ref="J80">IF($D$5='Lookup refs'!$D$25,
IF(J79=INDEX(RateCheck_VDO2021F[[Ausnet]:[United Energy]],MATCH(IF(OR(Calc_Rates!$C79="Single rate charge",Calc_Rates!$C79="Block 1 charge",Calc_Rates!$C79="Balance charge"),"Anytime - ","TOU - ")&amp;Calc_Rates!$C79&amp;"_"&amp;Calc_Rates!$F79,RateCheck_VDO2021F[Rate],0),MATCH(Calc_Rates!J$9,RateCheck_VDO2021F[[#Headers],[Ausnet]:[United Energy]],0)),0,1),
IF(J79="-","-",
IF(ROUND(J79,8)=ROUND((((
SUMIFS(Calc_Variable_1[Powercor],Calc_Variable_1[[Customer type]:[Customer type]],Calc_Rates!$F79)+
SUMIFS(Calc_Variable_1[Powercor],Calc_Variable_1[[Customer type]:[Customer type]],"All")+J75)*(1+Calc_ROM_1[Powercor]))*(1+GST)),8),0,1)))</f>
        <v>0</v>
      </c>
      <c r="K80" s="111" cm="1">
        <f t="array" ref="K80">IF($D$5='Lookup refs'!$D$25,
IF(K79=INDEX(RateCheck_VDO2021F[[Ausnet]:[United Energy]],MATCH(IF(OR(Calc_Rates!$C79="Single rate charge",Calc_Rates!$C79="Block 1 charge",Calc_Rates!$C79="Balance charge"),"Anytime - ","TOU - ")&amp;Calc_Rates!$C79&amp;"_"&amp;Calc_Rates!$F79,RateCheck_VDO2021F[[Rate]:[Rate]],0),MATCH(Calc_Rates!K$9,RateCheck_VDO2021F[[#Headers],[Ausnet]:[United Energy]],0)),0,1),
IF(K79="-","-",
IF(ROUND(K79,8)=ROUND((((
SUMIFS(Calc_Variable_1[United Energy],Calc_Variable_1[[Customer type]:[Customer type]],Calc_Rates!$F79)+
SUMIFS(Calc_Variable_1[United Energy],Calc_Variable_1[[Customer type]:[Customer type]],"All")+K75)*(1+Calc_ROM_1[United Energy]))*(1+GST)),8),0,1)))</f>
        <v>0</v>
      </c>
    </row>
    <row r="81" spans="2:11" ht="15.75" hidden="1" x14ac:dyDescent="0.25">
      <c r="B81"/>
      <c r="C81" s="153" t="s">
        <v>547</v>
      </c>
    </row>
    <row r="82" spans="2:11" ht="15.75" hidden="1" x14ac:dyDescent="0.25">
      <c r="B82"/>
      <c r="C82" s="82" t="s">
        <v>239</v>
      </c>
    </row>
    <row r="83" spans="2:11" hidden="1" x14ac:dyDescent="0.25">
      <c r="B83"/>
      <c r="C83" s="24" t="s">
        <v>295</v>
      </c>
      <c r="D83" s="24" t="s">
        <v>11</v>
      </c>
      <c r="E83" s="24" t="s">
        <v>291</v>
      </c>
      <c r="F83" s="24" t="s">
        <v>100</v>
      </c>
      <c r="G83" s="62">
        <f>SUMIFS(Calc_NetworkV_1[Ausnet],Calc_NetworkV_1[[Cost item]:[Cost item]],$C82,Calc_NetworkV_1[[Customer type]:[Customer type]],$F83)</f>
        <v>0.20853200000000002</v>
      </c>
      <c r="H83" s="62">
        <f>SUMIFS(Calc_NetworkV_1[Citipower],Calc_NetworkV_1[[Cost item]:[Cost item]],$C82,Calc_NetworkV_1[[Customer type]:[Customer type]],$F83)</f>
        <v>0.15939999999999999</v>
      </c>
      <c r="I83" s="62">
        <f>SUMIFS(Calc_NetworkV_1[Jemena],Calc_NetworkV_1[[Cost item]:[Cost item]],$C82,Calc_NetworkV_1[[Customer type]:[Customer type]],$F83)</f>
        <v>0.13492000000000001</v>
      </c>
      <c r="J83" s="62">
        <f>SUMIFS(Calc_NetworkV_1[Powercor],Calc_NetworkV_1[[Cost item]:[Cost item]],$C82,Calc_NetworkV_1[[Customer type]:[Customer type]],$F83)</f>
        <v>0.15869999999999998</v>
      </c>
      <c r="K83" s="62">
        <f>SUMIFS(Calc_NetworkV_1[United Energy],Calc_NetworkV_1[[Cost item]:[Cost item]],$C82,Calc_NetworkV_1[[Customer type]:[Customer type]],$F83)</f>
        <v>0.15789999999999998</v>
      </c>
    </row>
    <row r="84" spans="2:11" hidden="1" x14ac:dyDescent="0.25">
      <c r="B84"/>
      <c r="C84" s="24" t="s">
        <v>289</v>
      </c>
      <c r="D84" s="24" t="s">
        <v>11</v>
      </c>
      <c r="E84" s="24" t="s">
        <v>291</v>
      </c>
      <c r="F84" s="24" t="s">
        <v>100</v>
      </c>
      <c r="G84" s="62">
        <f>SUMIFS(Calc_Variable_1[Ausnet],Calc_Variable_1[[Customer type]:[Customer type]],"All")+SUMIFS(Calc_Variable_1[Ausnet],Calc_Variable_1[[Customer type]:[Customer type]],$F84)</f>
        <v>0.12637186287937996</v>
      </c>
      <c r="H84" s="62">
        <f>SUMIFS(Calc_Variable_1[Citipower],Calc_Variable_1[[Customer type]:[Customer type]],"All")+SUMIFS(Calc_Variable_1[Citipower],Calc_Variable_1[[Customer type]:[Customer type]],$F84)</f>
        <v>0.11874531208829922</v>
      </c>
      <c r="I84" s="62">
        <f>SUMIFS(Calc_Variable_1[Jemena],Calc_Variable_1[[Customer type]:[Customer type]],"All")+SUMIFS(Calc_Variable_1[Jemena],Calc_Variable_1[[Customer type]:[Customer type]],$F84)</f>
        <v>0.12678140704542384</v>
      </c>
      <c r="J84" s="62">
        <f>SUMIFS(Calc_Variable_1[Powercor],Calc_Variable_1[[Customer type]:[Customer type]],"All")+SUMIFS(Calc_Variable_1[Powercor],Calc_Variable_1[[Customer type]:[Customer type]],$F84)</f>
        <v>0.12465456385532679</v>
      </c>
      <c r="K84" s="62">
        <f>SUMIFS(Calc_Variable_1[United Energy],Calc_Variable_1[[Customer type]:[Customer type]],"All")+SUMIFS(Calc_Variable_1[United Energy],Calc_Variable_1[[Customer type]:[Customer type]],$F84)</f>
        <v>0.1290291282783943</v>
      </c>
    </row>
    <row r="85" spans="2:11" hidden="1" x14ac:dyDescent="0.25">
      <c r="B85"/>
      <c r="C85" s="24" t="s">
        <v>212</v>
      </c>
      <c r="D85" s="24" t="s">
        <v>11</v>
      </c>
      <c r="E85" s="24" t="s">
        <v>291</v>
      </c>
      <c r="F85" s="24" t="s">
        <v>100</v>
      </c>
      <c r="G85" s="74" cm="1">
        <f t="array" ref="G85">IF(G83=0,"-",
(G83+G84)*Calc_ROM_1[Ausnet])</f>
        <v>2.0228193317914554E-2</v>
      </c>
      <c r="H85" s="74" cm="1">
        <f t="array" ref="H85">IF(H83=0,"-",
(H83+H84)*Calc_ROM_1[Ausnet])</f>
        <v>1.6799976850133271E-2</v>
      </c>
      <c r="I85" s="74" cm="1">
        <f t="array" ref="I85">IF(I83=0,"-",
(I83+I84)*Calc_ROM_1[Ausnet])</f>
        <v>1.5806764985543603E-2</v>
      </c>
      <c r="J85" s="74" cm="1">
        <f t="array" ref="J85">IF(J83=0,"-",
(J83+J84)*Calc_ROM_1[Ausnet])</f>
        <v>1.7114615656861738E-2</v>
      </c>
      <c r="K85" s="74" cm="1">
        <f t="array" ref="K85">IF(K83=0,"-",
(K83+K84)*Calc_ROM_1[Ausnet])</f>
        <v>1.7330519348015015E-2</v>
      </c>
    </row>
    <row r="86" spans="2:11" hidden="1" x14ac:dyDescent="0.25">
      <c r="B86"/>
      <c r="C86" s="24" t="s">
        <v>286</v>
      </c>
      <c r="D86" s="24" t="s">
        <v>11</v>
      </c>
      <c r="E86" s="24" t="s">
        <v>291</v>
      </c>
      <c r="F86" s="24" t="s">
        <v>100</v>
      </c>
      <c r="G86" s="74">
        <f>IF(G83=0,"-",
(G83+G84+G85)*GST)</f>
        <v>3.5513205619729454E-2</v>
      </c>
      <c r="H86" s="74">
        <f>IF(H83=0,"-",
(H83+H84+H85)*GST)</f>
        <v>2.9494528893843248E-2</v>
      </c>
      <c r="I86" s="74">
        <f>IF(I83=0,"-",
(I83+I84+I85)*GST)</f>
        <v>2.7750817203096752E-2</v>
      </c>
      <c r="J86" s="74">
        <f>IF(J83=0,"-",
(J83+J84+J85)*GST)</f>
        <v>3.004691795121885E-2</v>
      </c>
      <c r="K86" s="74">
        <f>IF(K83=0,"-",
(K83+K84+K85)*GST)</f>
        <v>3.0425964762640929E-2</v>
      </c>
    </row>
    <row r="87" spans="2:11" hidden="1" x14ac:dyDescent="0.25">
      <c r="B87"/>
      <c r="C87" s="24" t="str">
        <f>C82&amp;" charge"</f>
        <v>Peak charge</v>
      </c>
      <c r="D87" s="24" t="s">
        <v>11</v>
      </c>
      <c r="E87" s="24" t="s">
        <v>291</v>
      </c>
      <c r="F87" s="24" t="s">
        <v>100</v>
      </c>
      <c r="G87" s="75">
        <f>IF(G83=0,"-",
SUM(G83:G86))</f>
        <v>0.39064526181702397</v>
      </c>
      <c r="H87" s="75">
        <f>IF(H83=0,"-",
SUM(H83:H86))</f>
        <v>0.32443981783227571</v>
      </c>
      <c r="I87" s="75">
        <f t="shared" ref="I87" si="19">IF(I83=0,"-",
SUM(I83:I86))</f>
        <v>0.30525898923406425</v>
      </c>
      <c r="J87" s="75">
        <f t="shared" ref="J87" si="20">IF(J83=0,"-",
SUM(J83:J86))</f>
        <v>0.33051609746340732</v>
      </c>
      <c r="K87" s="75">
        <f t="shared" ref="K87" si="21">IF(K83=0,"-",
SUM(K83:K86))</f>
        <v>0.3346856123890502</v>
      </c>
    </row>
    <row r="88" spans="2:11" hidden="1" x14ac:dyDescent="0.25">
      <c r="B88"/>
      <c r="G88" s="111" cm="1">
        <f t="array" ref="G88">IF($D$5='Lookup refs'!$D$25,
IF(G87=INDEX(RateCheck_VDO2021F[[Ausnet]:[United Energy]],MATCH(IF(OR(Calc_Rates!$C87="Single rate charge",Calc_Rates!$C87="Block 1 charge",Calc_Rates!$C87="Balance charge"),"Anytime - ","TOU - ")&amp;Calc_Rates!$C87&amp;"_"&amp;Calc_Rates!$F87,RateCheck_VDO2021F[Rate],0),MATCH(Calc_Rates!G$9,RateCheck_VDO2021F[[#Headers],[Ausnet]:[United Energy]],0)),0,1),
IF(G87="-","-",
IF(ROUND(G87,8)=ROUND((((
SUMIFS(Calc_Variable_1[Ausnet],Calc_Variable_1[Customer type],Calc_Rates!$F87)+
SUMIFS(Calc_Variable_1[Ausnet],Calc_Variable_1[Customer type],"All")+G83)*(1+Calc_ROM_1[Ausnet]))*(1+GST)),8),0,1)))</f>
        <v>0</v>
      </c>
      <c r="H88" s="111" cm="1">
        <f t="array" ref="H88">IF($D$5='Lookup refs'!$D$25,
IF(H87=INDEX(RateCheck_VDO2021F[[Ausnet]:[United Energy]],MATCH(IF(OR(Calc_Rates!$C87="Single rate charge",Calc_Rates!$C87="Block 1 charge",Calc_Rates!$C87="Balance charge"),"Anytime - ","TOU - ")&amp;Calc_Rates!$C87&amp;"_"&amp;Calc_Rates!$F87,RateCheck_VDO2021F[Rate],0),MATCH(Calc_Rates!H$9,RateCheck_VDO2021F[[#Headers],[Ausnet]:[United Energy]],0)),0,1),
IF(H87="-","-",
IF(ROUND(H87,8)=ROUND((((
SUMIFS(Calc_Variable_1[Citipower],Calc_Variable_1[Customer type],Calc_Rates!$F87)+
SUMIFS(Calc_Variable_1[Citipower],Calc_Variable_1[Customer type],"All")+H83)*(1+Calc_ROM_1[Citipower]))*(1+GST)),8),0,1)))</f>
        <v>0</v>
      </c>
      <c r="I88" s="111" cm="1">
        <f t="array" ref="I88">IF($D$5='Lookup refs'!$D$25,
IF(I87=INDEX(RateCheck_VDO2021F[[Ausnet]:[United Energy]],MATCH(IF(OR(Calc_Rates!$C87="Single rate charge",Calc_Rates!$C87="Block 1 charge",Calc_Rates!$C87="Balance charge"),"Anytime - ","TOU - ")&amp;Calc_Rates!$C87&amp;"_"&amp;Calc_Rates!$F87,RateCheck_VDO2021F[Rate],0),MATCH(Calc_Rates!I$9,RateCheck_VDO2021F[[#Headers],[Ausnet]:[United Energy]],0)),0,1),
IF(I87="-","-",
IF(ROUND(I87,8)=ROUND((((
SUMIFS(Calc_Variable_1[Jemena],Calc_Variable_1[Customer type],Calc_Rates!$F87)+
SUMIFS(Calc_Variable_1[Jemena],Calc_Variable_1[Customer type],"All")+I83)*(1+Calc_ROM_1[Jemena]))*(1+GST)),8),0,1)))</f>
        <v>0</v>
      </c>
      <c r="J88" s="111" cm="1">
        <f t="array" ref="J88">IF($D$5='Lookup refs'!$D$25,
IF(J87=INDEX(RateCheck_VDO2021F[[Ausnet]:[United Energy]],MATCH(IF(OR(Calc_Rates!$C87="Single rate charge",Calc_Rates!$C87="Block 1 charge",Calc_Rates!$C87="Balance charge"),"Anytime - ","TOU - ")&amp;Calc_Rates!$C87&amp;"_"&amp;Calc_Rates!$F87,RateCheck_VDO2021F[Rate],0),MATCH(Calc_Rates!J$9,RateCheck_VDO2021F[[#Headers],[Ausnet]:[United Energy]],0)),0,1),
IF(J87="-","-",
IF(ROUND(J87,8)=ROUND((((
SUMIFS(Calc_Variable_1[Powercor],Calc_Variable_1[[Customer type]:[Customer type]],Calc_Rates!$F87)+
SUMIFS(Calc_Variable_1[Powercor],Calc_Variable_1[[Customer type]:[Customer type]],"All")+J83)*(1+Calc_ROM_1[Powercor]))*(1+GST)),8),0,1)))</f>
        <v>0</v>
      </c>
      <c r="K88" s="111" cm="1">
        <f t="array" ref="K88">IF($D$5='Lookup refs'!$D$25,
IF(K87=INDEX(RateCheck_VDO2021F[[Ausnet]:[United Energy]],MATCH(IF(OR(Calc_Rates!$C87="Single rate charge",Calc_Rates!$C87="Block 1 charge",Calc_Rates!$C87="Balance charge"),"Anytime - ","TOU - ")&amp;Calc_Rates!$C87&amp;"_"&amp;Calc_Rates!$F87,RateCheck_VDO2021F[[Rate]:[Rate]],0),MATCH(Calc_Rates!K$9,RateCheck_VDO2021F[[#Headers],[Ausnet]:[United Energy]],0)),0,1),
IF(K87="-","-",
IF(ROUND(K87,8)=ROUND((((
SUMIFS(Calc_Variable_1[United Energy],Calc_Variable_1[[Customer type]:[Customer type]],Calc_Rates!$F87)+
SUMIFS(Calc_Variable_1[United Energy],Calc_Variable_1[[Customer type]:[Customer type]],"All")+K83)*(1+Calc_ROM_1[United Energy]))*(1+GST)),8),0,1)))</f>
        <v>0</v>
      </c>
    </row>
    <row r="89" spans="2:11" ht="15.75" hidden="1" x14ac:dyDescent="0.25">
      <c r="B89"/>
      <c r="C89" s="82" t="s">
        <v>538</v>
      </c>
    </row>
    <row r="90" spans="2:11" hidden="1" x14ac:dyDescent="0.25">
      <c r="B90"/>
      <c r="C90" s="24" t="s">
        <v>295</v>
      </c>
      <c r="D90" s="24" t="s">
        <v>11</v>
      </c>
      <c r="E90" s="24" t="s">
        <v>291</v>
      </c>
      <c r="F90" s="24" t="s">
        <v>100</v>
      </c>
      <c r="G90" s="62">
        <f>SUMIFS(Calc_NetworkV_1[Ausnet],Calc_NetworkV_1[[Cost item]:[Cost item]],$C89,Calc_NetworkV_1[[Customer type]:[Customer type]],$F90)</f>
        <v>4.3418999999999999E-2</v>
      </c>
      <c r="H90" s="62">
        <f>SUMIFS(Calc_NetworkV_1[Citipower],Calc_NetworkV_1[[Cost item]:[Cost item]],$C89,Calc_NetworkV_1[[Customer type]:[Customer type]],$F90)</f>
        <v>3.9800000000000002E-2</v>
      </c>
      <c r="I90" s="62">
        <f>SUMIFS(Calc_NetworkV_1[Jemena],Calc_NetworkV_1[[Cost item]:[Cost item]],$C89,Calc_NetworkV_1[[Customer type]:[Customer type]],$F90)</f>
        <v>3.8900000000000004E-2</v>
      </c>
      <c r="J90" s="62">
        <f>SUMIFS(Calc_NetworkV_1[Powercor],Calc_NetworkV_1[[Cost item]:[Cost item]],$C89,Calc_NetworkV_1[[Customer type]:[Customer type]],$F90)</f>
        <v>3.9599999999999996E-2</v>
      </c>
      <c r="K90" s="62">
        <f>SUMIFS(Calc_NetworkV_1[United Energy],Calc_NetworkV_1[[Cost item]:[Cost item]],$C89,Calc_NetworkV_1[[Customer type]:[Customer type]],$F90)</f>
        <v>3.95E-2</v>
      </c>
    </row>
    <row r="91" spans="2:11" hidden="1" x14ac:dyDescent="0.25">
      <c r="B91"/>
      <c r="C91" s="24" t="s">
        <v>289</v>
      </c>
      <c r="D91" s="24" t="s">
        <v>11</v>
      </c>
      <c r="E91" s="24" t="s">
        <v>291</v>
      </c>
      <c r="F91" s="24" t="s">
        <v>100</v>
      </c>
      <c r="G91" s="62">
        <f>SUMIFS(Calc_Variable_1[Ausnet],Calc_Variable_1[[Customer type]:[Customer type]],"All")+SUMIFS(Calc_Variable_1[Ausnet],Calc_Variable_1[[Customer type]:[Customer type]],$F91)</f>
        <v>0.12637186287937996</v>
      </c>
      <c r="H91" s="62">
        <f>SUMIFS(Calc_Variable_1[Citipower],Calc_Variable_1[[Customer type]:[Customer type]],"All")+SUMIFS(Calc_Variable_1[Citipower],Calc_Variable_1[[Customer type]:[Customer type]],$F91)</f>
        <v>0.11874531208829922</v>
      </c>
      <c r="I91" s="62">
        <f>SUMIFS(Calc_Variable_1[Jemena],Calc_Variable_1[[Customer type]:[Customer type]],"All")+SUMIFS(Calc_Variable_1[Jemena],Calc_Variable_1[[Customer type]:[Customer type]],$F91)</f>
        <v>0.12678140704542384</v>
      </c>
      <c r="J91" s="62">
        <f>SUMIFS(Calc_Variable_1[Powercor],Calc_Variable_1[[Customer type]:[Customer type]],"All")+SUMIFS(Calc_Variable_1[Powercor],Calc_Variable_1[[Customer type]:[Customer type]],$F91)</f>
        <v>0.12465456385532679</v>
      </c>
      <c r="K91" s="62">
        <f>SUMIFS(Calc_Variable_1[United Energy],Calc_Variable_1[[Customer type]:[Customer type]],"All")+SUMIFS(Calc_Variable_1[United Energy],Calc_Variable_1[[Customer type]:[Customer type]],$F91)</f>
        <v>0.1290291282783943</v>
      </c>
    </row>
    <row r="92" spans="2:11" hidden="1" x14ac:dyDescent="0.25">
      <c r="B92"/>
      <c r="C92" s="24" t="s">
        <v>212</v>
      </c>
      <c r="D92" s="24" t="s">
        <v>11</v>
      </c>
      <c r="E92" s="24" t="s">
        <v>291</v>
      </c>
      <c r="F92" s="24" t="s">
        <v>100</v>
      </c>
      <c r="G92" s="74" cm="1">
        <f t="array" ref="G92">IF(G90=0,"-",
(G90+G91)*Calc_ROM_1[Ausnet])</f>
        <v>1.0255368117914549E-2</v>
      </c>
      <c r="H92" s="74" cm="1">
        <f t="array" ref="H92">IF(H90=0,"-",
(H90+H91)*Calc_ROM_1[Ausnet])</f>
        <v>9.5761368501332735E-3</v>
      </c>
      <c r="I92" s="74" cm="1">
        <f t="array" ref="I92">IF(I90=0,"-",
(I90+I91)*Calc_ROM_1[Ausnet])</f>
        <v>1.00071569855436E-2</v>
      </c>
      <c r="J92" s="74" cm="1">
        <f t="array" ref="J92">IF(J90=0,"-",
(J90+J91)*Calc_ROM_1[Ausnet])</f>
        <v>9.9209756568617372E-3</v>
      </c>
      <c r="K92" s="74" cm="1">
        <f t="array" ref="K92">IF(K90=0,"-",
(K90+K91)*Calc_ROM_1[Ausnet])</f>
        <v>1.0179159348015016E-2</v>
      </c>
    </row>
    <row r="93" spans="2:11" hidden="1" x14ac:dyDescent="0.25">
      <c r="B93"/>
      <c r="C93" s="24" t="s">
        <v>286</v>
      </c>
      <c r="D93" s="24" t="s">
        <v>11</v>
      </c>
      <c r="E93" s="24" t="s">
        <v>291</v>
      </c>
      <c r="F93" s="24" t="s">
        <v>100</v>
      </c>
      <c r="G93" s="74">
        <f>IF(G90=0,"-",
(G90+G91+G92)*GST)</f>
        <v>1.8004623099729451E-2</v>
      </c>
      <c r="H93" s="74">
        <f>IF(H90=0,"-",
(H90+H91+H92)*GST)</f>
        <v>1.6812144893843251E-2</v>
      </c>
      <c r="I93" s="74">
        <f>IF(I90=0,"-",
(I90+I91+I92)*GST)</f>
        <v>1.7568856403096744E-2</v>
      </c>
      <c r="J93" s="74">
        <f>IF(J90=0,"-",
(J90+J91+J92)*GST)</f>
        <v>1.7417553951218852E-2</v>
      </c>
      <c r="K93" s="74">
        <f>IF(K90=0,"-",
(K90+K91+K92)*GST)</f>
        <v>1.7870828762640935E-2</v>
      </c>
    </row>
    <row r="94" spans="2:11" hidden="1" x14ac:dyDescent="0.25">
      <c r="B94"/>
      <c r="C94" s="24" t="str">
        <f>C89&amp;" charge"</f>
        <v>Off peak charge</v>
      </c>
      <c r="D94" s="24" t="s">
        <v>11</v>
      </c>
      <c r="E94" s="24" t="s">
        <v>291</v>
      </c>
      <c r="F94" s="24" t="s">
        <v>100</v>
      </c>
      <c r="G94" s="75">
        <f>IF(G90=0,"-",
SUM(G90:G93))</f>
        <v>0.19805085409702394</v>
      </c>
      <c r="H94" s="75">
        <f>IF(H90=0,"-",
SUM(H90:H93))</f>
        <v>0.18493359383227576</v>
      </c>
      <c r="I94" s="75">
        <f t="shared" ref="I94" si="22">IF(I90=0,"-",
SUM(I90:I93))</f>
        <v>0.19325742043406419</v>
      </c>
      <c r="J94" s="75">
        <f t="shared" ref="J94" si="23">IF(J90=0,"-",
SUM(J90:J93))</f>
        <v>0.19159309346340736</v>
      </c>
      <c r="K94" s="75">
        <f t="shared" ref="K94" si="24">IF(K90=0,"-",
SUM(K90:K93))</f>
        <v>0.19657911638905026</v>
      </c>
    </row>
    <row r="95" spans="2:11" hidden="1" x14ac:dyDescent="0.25">
      <c r="B95"/>
      <c r="G95" s="111" cm="1">
        <f t="array" ref="G95">IF($D$5='Lookup refs'!$D$25,
IF(G94=INDEX(RateCheck_VDO2021F[[Ausnet]:[United Energy]],MATCH(IF(OR(Calc_Rates!$C94="Single rate charge",Calc_Rates!$C94="Block 1 charge",Calc_Rates!$C94="Balance charge"),"Anytime - ","TOU - ")&amp;Calc_Rates!$C94&amp;"_"&amp;Calc_Rates!$F94,RateCheck_VDO2021F[Rate],0),MATCH(Calc_Rates!G$9,RateCheck_VDO2021F[[#Headers],[Ausnet]:[United Energy]],0)),0,1),
IF(G94="-","-",
IF(ROUND(G94,8)=ROUND((((
SUMIFS(Calc_Variable_1[Ausnet],Calc_Variable_1[Customer type],Calc_Rates!$F94)+
SUMIFS(Calc_Variable_1[Ausnet],Calc_Variable_1[Customer type],"All")+G90)*(1+Calc_ROM_1[Ausnet]))*(1+GST)),8),0,1)))</f>
        <v>0</v>
      </c>
      <c r="H95" s="111" cm="1">
        <f t="array" ref="H95">IF($D$5='Lookup refs'!$D$25,
IF(H94=INDEX(RateCheck_VDO2021F[[Ausnet]:[United Energy]],MATCH(IF(OR(Calc_Rates!$C94="Single rate charge",Calc_Rates!$C94="Block 1 charge",Calc_Rates!$C94="Balance charge"),"Anytime - ","TOU - ")&amp;Calc_Rates!$C94&amp;"_"&amp;Calc_Rates!$F94,RateCheck_VDO2021F[Rate],0),MATCH(Calc_Rates!H$9,RateCheck_VDO2021F[[#Headers],[Ausnet]:[United Energy]],0)),0,1),
IF(H94="-","-",
IF(ROUND(H94,8)=ROUND((((
SUMIFS(Calc_Variable_1[Citipower],Calc_Variable_1[Customer type],Calc_Rates!$F94)+
SUMIFS(Calc_Variable_1[Citipower],Calc_Variable_1[Customer type],"All")+H90)*(1+Calc_ROM_1[Citipower]))*(1+GST)),8),0,1)))</f>
        <v>0</v>
      </c>
      <c r="I95" s="111" cm="1">
        <f t="array" ref="I95">IF($D$5='Lookup refs'!$D$25,
IF(I94=INDEX(RateCheck_VDO2021F[[Ausnet]:[United Energy]],MATCH(IF(OR(Calc_Rates!$C94="Single rate charge",Calc_Rates!$C94="Block 1 charge",Calc_Rates!$C94="Balance charge"),"Anytime - ","TOU - ")&amp;Calc_Rates!$C94&amp;"_"&amp;Calc_Rates!$F94,RateCheck_VDO2021F[Rate],0),MATCH(Calc_Rates!I$9,RateCheck_VDO2021F[[#Headers],[Ausnet]:[United Energy]],0)),0,1),
IF(I94="-","-",
IF(ROUND(I94,8)=ROUND((((
SUMIFS(Calc_Variable_1[Jemena],Calc_Variable_1[Customer type],Calc_Rates!$F94)+
SUMIFS(Calc_Variable_1[Jemena],Calc_Variable_1[Customer type],"All")+I90)*(1+Calc_ROM_1[Jemena]))*(1+GST)),8),0,1)))</f>
        <v>0</v>
      </c>
      <c r="J95" s="111" cm="1">
        <f t="array" ref="J95">IF($D$5='Lookup refs'!$D$25,
IF(J94=INDEX(RateCheck_VDO2021F[[Ausnet]:[United Energy]],MATCH(IF(OR(Calc_Rates!$C94="Single rate charge",Calc_Rates!$C94="Block 1 charge",Calc_Rates!$C94="Balance charge"),"Anytime - ","TOU - ")&amp;Calc_Rates!$C94&amp;"_"&amp;Calc_Rates!$F94,RateCheck_VDO2021F[Rate],0),MATCH(Calc_Rates!J$9,RateCheck_VDO2021F[[#Headers],[Ausnet]:[United Energy]],0)),0,1),
IF(J94="-","-",
IF(ROUND(J94,8)=ROUND((((
SUMIFS(Calc_Variable_1[Powercor],Calc_Variable_1[[Customer type]:[Customer type]],Calc_Rates!$F94)+
SUMIFS(Calc_Variable_1[Powercor],Calc_Variable_1[[Customer type]:[Customer type]],"All")+J90)*(1+Calc_ROM_1[Powercor]))*(1+GST)),8),0,1)))</f>
        <v>0</v>
      </c>
      <c r="K95" s="111" cm="1">
        <f t="array" ref="K95">IF($D$5='Lookup refs'!$D$25,
IF(K94=INDEX(RateCheck_VDO2021F[[Ausnet]:[United Energy]],MATCH(IF(OR(Calc_Rates!$C94="Single rate charge",Calc_Rates!$C94="Block 1 charge",Calc_Rates!$C94="Balance charge"),"Anytime - ","TOU - ")&amp;Calc_Rates!$C94&amp;"_"&amp;Calc_Rates!$F94,RateCheck_VDO2021F[[Rate]:[Rate]],0),MATCH(Calc_Rates!K$9,RateCheck_VDO2021F[[#Headers],[Ausnet]:[United Energy]],0)),0,1),
IF(K94="-","-",
IF(ROUND(K94,8)=ROUND((((
SUMIFS(Calc_Variable_1[United Energy],Calc_Variable_1[[Customer type]:[Customer type]],Calc_Rates!$F94)+
SUMIFS(Calc_Variable_1[United Energy],Calc_Variable_1[[Customer type]:[Customer type]],"All")+K90)*(1+Calc_ROM_1[United Energy]))*(1+GST)),8),0,1)))</f>
        <v>0</v>
      </c>
    </row>
    <row r="96" spans="2:11" ht="15.75" hidden="1" x14ac:dyDescent="0.25">
      <c r="B96"/>
      <c r="C96" s="82" t="s">
        <v>296</v>
      </c>
    </row>
    <row r="97" spans="2:11" hidden="1" x14ac:dyDescent="0.25">
      <c r="B97"/>
      <c r="C97" s="24" t="s">
        <v>295</v>
      </c>
      <c r="D97" s="24" t="s">
        <v>11</v>
      </c>
      <c r="E97" s="24" t="s">
        <v>291</v>
      </c>
      <c r="F97" s="24" t="s">
        <v>100</v>
      </c>
      <c r="G97" s="62">
        <f>SUMIFS(Calc_NetworkV_1[Ausnet],Calc_NetworkV_1[[Cost item]:[Cost item]],$C96,Calc_NetworkV_1[[Customer type]:[Customer type]],$F97)</f>
        <v>4.2622999999999994E-2</v>
      </c>
      <c r="H97" s="62">
        <f>SUMIFS(Calc_NetworkV_1[Citipower],Calc_NetworkV_1[[Cost item]:[Cost item]],$C96,Calc_NetworkV_1[[Customer type]:[Customer type]],$F97)</f>
        <v>2.4700000000000003E-2</v>
      </c>
      <c r="I97" s="62">
        <f>SUMIFS(Calc_NetworkV_1[Jemena],Calc_NetworkV_1[[Cost item]:[Cost item]],$C96,Calc_NetworkV_1[[Customer type]:[Customer type]],$F97)</f>
        <v>3.5990000000000001E-2</v>
      </c>
      <c r="J97" s="62">
        <f>SUMIFS(Calc_NetworkV_1[Powercor],Calc_NetworkV_1[[Cost item]:[Cost item]],$C96,Calc_NetworkV_1[[Customer type]:[Customer type]],$F97)</f>
        <v>2.3900000000000001E-2</v>
      </c>
      <c r="K97" s="62">
        <f>SUMIFS(Calc_NetworkV_1[United Energy],Calc_NetworkV_1[[Cost item]:[Cost item]],$C96,Calc_NetworkV_1[[Customer type]:[Customer type]],$F97)</f>
        <v>2.1700000000000001E-2</v>
      </c>
    </row>
    <row r="98" spans="2:11" hidden="1" x14ac:dyDescent="0.25">
      <c r="B98"/>
      <c r="C98" s="24" t="s">
        <v>289</v>
      </c>
      <c r="D98" s="24" t="s">
        <v>11</v>
      </c>
      <c r="E98" s="24" t="s">
        <v>291</v>
      </c>
      <c r="F98" s="24" t="s">
        <v>100</v>
      </c>
      <c r="G98" s="62">
        <f>SUMIFS(Calc_Variable_1[Ausnet],Calc_Variable_1[[Customer type]:[Customer type]],"All")+SUMIFS(Calc_Variable_1[Ausnet],Calc_Variable_1[[Customer type]:[Customer type]],$F98)</f>
        <v>0.12637186287937996</v>
      </c>
      <c r="H98" s="62">
        <f>SUMIFS(Calc_Variable_1[Citipower],Calc_Variable_1[[Customer type]:[Customer type]],"All")+SUMIFS(Calc_Variable_1[Citipower],Calc_Variable_1[[Customer type]:[Customer type]],$F98)</f>
        <v>0.11874531208829922</v>
      </c>
      <c r="I98" s="62">
        <f>SUMIFS(Calc_Variable_1[Jemena],Calc_Variable_1[[Customer type]:[Customer type]],"All")+SUMIFS(Calc_Variable_1[Jemena],Calc_Variable_1[[Customer type]:[Customer type]],$F98)</f>
        <v>0.12678140704542384</v>
      </c>
      <c r="J98" s="62">
        <f>SUMIFS(Calc_Variable_1[Powercor],Calc_Variable_1[[Customer type]:[Customer type]],"All")+SUMIFS(Calc_Variable_1[Powercor],Calc_Variable_1[[Customer type]:[Customer type]],$F98)</f>
        <v>0.12465456385532679</v>
      </c>
      <c r="K98" s="62">
        <f>SUMIFS(Calc_Variable_1[United Energy],Calc_Variable_1[[Customer type]:[Customer type]],"All")+SUMIFS(Calc_Variable_1[United Energy],Calc_Variable_1[[Customer type]:[Customer type]],$F98)</f>
        <v>0.1290291282783943</v>
      </c>
    </row>
    <row r="99" spans="2:11" hidden="1" x14ac:dyDescent="0.25">
      <c r="B99"/>
      <c r="C99" s="24" t="s">
        <v>212</v>
      </c>
      <c r="D99" s="24" t="s">
        <v>11</v>
      </c>
      <c r="E99" s="24" t="s">
        <v>291</v>
      </c>
      <c r="F99" s="24" t="s">
        <v>100</v>
      </c>
      <c r="G99" s="74" cm="1">
        <f t="array" ref="G99">IF(G97=0,"-",
(G97+G98)*Calc_ROM_1[Ausnet])</f>
        <v>1.020728971791455E-2</v>
      </c>
      <c r="H99" s="74" cm="1">
        <f t="array" ref="H99">IF(H97=0,"-",
(H97+H98)*Calc_ROM_1[Ausnet])</f>
        <v>8.6640968501332724E-3</v>
      </c>
      <c r="I99" s="74" cm="1">
        <f t="array" ref="I99">IF(I97=0,"-",
(I97+I98)*Calc_ROM_1[Ausnet])</f>
        <v>9.8313929855435994E-3</v>
      </c>
      <c r="J99" s="74" cm="1">
        <f t="array" ref="J99">IF(J97=0,"-",
(J97+J98)*Calc_ROM_1[Ausnet])</f>
        <v>8.9726956568617379E-3</v>
      </c>
      <c r="K99" s="74" cm="1">
        <f t="array" ref="K99">IF(K97=0,"-",
(K97+K98)*Calc_ROM_1[Ausnet])</f>
        <v>9.1040393480150156E-3</v>
      </c>
    </row>
    <row r="100" spans="2:11" hidden="1" x14ac:dyDescent="0.25">
      <c r="B100"/>
      <c r="C100" s="24" t="s">
        <v>286</v>
      </c>
      <c r="D100" s="24" t="s">
        <v>11</v>
      </c>
      <c r="E100" s="24" t="s">
        <v>291</v>
      </c>
      <c r="F100" s="24" t="s">
        <v>100</v>
      </c>
      <c r="G100" s="74">
        <f>IF(G97=0,"-",
(G97+G98+G99)*GST)</f>
        <v>1.792021525972945E-2</v>
      </c>
      <c r="H100" s="74">
        <f>IF(H97=0,"-",
(H97+H98+H99)*GST)</f>
        <v>1.521094089384325E-2</v>
      </c>
      <c r="I100" s="74">
        <f>IF(I97=0,"-",
(I97+I98+I99)*GST)</f>
        <v>1.7260280003096744E-2</v>
      </c>
      <c r="J100" s="74">
        <f>IF(J97=0,"-",
(J97+J98+J99)*GST)</f>
        <v>1.5752725951218852E-2</v>
      </c>
      <c r="K100" s="74">
        <f>IF(K97=0,"-",
(K97+K98+K99)*GST)</f>
        <v>1.598331676264093E-2</v>
      </c>
    </row>
    <row r="101" spans="2:11" hidden="1" x14ac:dyDescent="0.25">
      <c r="B101"/>
      <c r="C101" s="24" t="str">
        <f>C96&amp;" charge"</f>
        <v>Controlled load charge</v>
      </c>
      <c r="D101" s="24" t="s">
        <v>11</v>
      </c>
      <c r="E101" s="24" t="s">
        <v>291</v>
      </c>
      <c r="F101" s="24" t="s">
        <v>100</v>
      </c>
      <c r="G101" s="75">
        <f>IF(G97=0,"-",
SUM(G97:G100))</f>
        <v>0.19712236785702394</v>
      </c>
      <c r="H101" s="75">
        <f>IF(H97=0,"-",
SUM(H97:H100))</f>
        <v>0.16732034983227576</v>
      </c>
      <c r="I101" s="75">
        <f t="shared" ref="I101" si="25">IF(I97=0,"-",
SUM(I97:I100))</f>
        <v>0.18986308003406419</v>
      </c>
      <c r="J101" s="75">
        <f t="shared" ref="J101" si="26">IF(J97=0,"-",
SUM(J97:J100))</f>
        <v>0.17327998546340737</v>
      </c>
      <c r="K101" s="75">
        <f t="shared" ref="K101" si="27">IF(K97=0,"-",
SUM(K97:K100))</f>
        <v>0.17581648438905023</v>
      </c>
    </row>
    <row r="102" spans="2:11" hidden="1" x14ac:dyDescent="0.25">
      <c r="B102"/>
      <c r="G102" s="111" cm="1">
        <f t="array" ref="G102">IF($D$5='Lookup refs'!$D$25,
IF(G101=INDEX(RateCheck_VDO2021F[[Ausnet]:[United Energy]],MATCH(IF(OR(Calc_Rates!$C101="Single rate charge",Calc_Rates!$C101="Block 1 charge",Calc_Rates!$C101="Balance charge"),"Anytime - ","TOU - ")&amp;Calc_Rates!$C101&amp;"_"&amp;Calc_Rates!$F101,RateCheck_VDO2021F[Rate],0),MATCH(Calc_Rates!G$9,RateCheck_VDO2021F[[#Headers],[Ausnet]:[United Energy]],0)),0,1),
IF(G101="-","-",
IF(ROUND(G101,8)=ROUND((((
SUMIFS(Calc_Variable_1[Ausnet],Calc_Variable_1[Customer type],Calc_Rates!$F101)+
SUMIFS(Calc_Variable_1[Ausnet],Calc_Variable_1[Customer type],"All")+G97)*(1+Calc_ROM_1[Ausnet]))*(1+GST)),8),0,1)))</f>
        <v>0</v>
      </c>
      <c r="H102" s="111" cm="1">
        <f t="array" ref="H102">IF($D$5='Lookup refs'!$D$25,
IF(H101=INDEX(RateCheck_VDO2021F[[Ausnet]:[United Energy]],MATCH(IF(OR(Calc_Rates!$C101="Single rate charge",Calc_Rates!$C101="Block 1 charge",Calc_Rates!$C101="Balance charge"),"Anytime - ","TOU - ")&amp;Calc_Rates!$C101&amp;"_"&amp;Calc_Rates!$F101,RateCheck_VDO2021F[Rate],0),MATCH(Calc_Rates!H$9,RateCheck_VDO2021F[[#Headers],[Ausnet]:[United Energy]],0)),0,1),
IF(H101="-","-",
IF(ROUND(H101,8)=ROUND((((
SUMIFS(Calc_Variable_1[Citipower],Calc_Variable_1[Customer type],Calc_Rates!$F101)+
SUMIFS(Calc_Variable_1[Citipower],Calc_Variable_1[Customer type],"All")+H97)*(1+Calc_ROM_1[Citipower]))*(1+GST)),8),0,1)))</f>
        <v>0</v>
      </c>
      <c r="I102" s="111" cm="1">
        <f t="array" ref="I102">IF($D$5='Lookup refs'!$D$25,
IF(I101=INDEX(RateCheck_VDO2021F[[Ausnet]:[United Energy]],MATCH(IF(OR(Calc_Rates!$C101="Single rate charge",Calc_Rates!$C101="Block 1 charge",Calc_Rates!$C101="Balance charge"),"Anytime - ","TOU - ")&amp;Calc_Rates!$C101&amp;"_"&amp;Calc_Rates!$F101,RateCheck_VDO2021F[Rate],0),MATCH(Calc_Rates!I$9,RateCheck_VDO2021F[[#Headers],[Ausnet]:[United Energy]],0)),0,1),
IF(I101="-","-",
IF(ROUND(I101,8)=ROUND((((
SUMIFS(Calc_Variable_1[Jemena],Calc_Variable_1[Customer type],Calc_Rates!$F101)+
SUMIFS(Calc_Variable_1[Jemena],Calc_Variable_1[Customer type],"All")+I97)*(1+Calc_ROM_1[Jemena]))*(1+GST)),8),0,1)))</f>
        <v>0</v>
      </c>
      <c r="J102" s="111" cm="1">
        <f t="array" ref="J102">IF($D$5='Lookup refs'!$D$25,
IF(J101=INDEX(RateCheck_VDO2021F[[Ausnet]:[United Energy]],MATCH(IF(OR(Calc_Rates!$C101="Single rate charge",Calc_Rates!$C101="Block 1 charge",Calc_Rates!$C101="Balance charge"),"Anytime - ","TOU - ")&amp;Calc_Rates!$C101&amp;"_"&amp;Calc_Rates!$F101,RateCheck_VDO2021F[Rate],0),MATCH(Calc_Rates!J$9,RateCheck_VDO2021F[[#Headers],[Ausnet]:[United Energy]],0)),0,1),
IF(J101="-","-",
IF(ROUND(J101,8)=ROUND((((
SUMIFS(Calc_Variable_1[Powercor],Calc_Variable_1[[Customer type]:[Customer type]],Calc_Rates!$F101)+
SUMIFS(Calc_Variable_1[Powercor],Calc_Variable_1[[Customer type]:[Customer type]],"All")+J97)*(1+Calc_ROM_1[Powercor]))*(1+GST)),8),0,1)))</f>
        <v>0</v>
      </c>
      <c r="K102" s="111" cm="1">
        <f t="array" ref="K102">IF($D$5='Lookup refs'!$D$25,
IF(K101=INDEX(RateCheck_VDO2021F[[Ausnet]:[United Energy]],MATCH(IF(OR(Calc_Rates!$C101="Single rate charge",Calc_Rates!$C101="Block 1 charge",Calc_Rates!$C101="Balance charge"),"Anytime - ","TOU - ")&amp;Calc_Rates!$C101&amp;"_"&amp;Calc_Rates!$F101,RateCheck_VDO2021F[[Rate]:[Rate]],0),MATCH(Calc_Rates!K$9,RateCheck_VDO2021F[[#Headers],[Ausnet]:[United Energy]],0)),0,1),
IF(K101="-","-",
IF(ROUND(K101,8)=ROUND((((
SUMIFS(Calc_Variable_1[United Energy],Calc_Variable_1[[Customer type]:[Customer type]],Calc_Rates!$F101)+
SUMIFS(Calc_Variable_1[United Energy],Calc_Variable_1[[Customer type]:[Customer type]],"All")+K97)*(1+Calc_ROM_1[United Energy]))*(1+GST)),8),0,1)))</f>
        <v>0</v>
      </c>
    </row>
    <row r="103" spans="2:11" ht="15.75" hidden="1" x14ac:dyDescent="0.25">
      <c r="B103"/>
      <c r="C103" s="30" t="s">
        <v>297</v>
      </c>
    </row>
    <row r="104" spans="2:11" ht="15.75" hidden="1" x14ac:dyDescent="0.25">
      <c r="B104"/>
      <c r="C104" s="1" t="s">
        <v>546</v>
      </c>
    </row>
    <row r="105" spans="2:11" ht="15.75" hidden="1" x14ac:dyDescent="0.25">
      <c r="B105"/>
      <c r="C105" s="82" t="s">
        <v>230</v>
      </c>
    </row>
    <row r="106" spans="2:11" hidden="1" x14ac:dyDescent="0.25">
      <c r="B106"/>
      <c r="C106" s="24" t="s">
        <v>295</v>
      </c>
      <c r="D106" s="24" t="s">
        <v>11</v>
      </c>
      <c r="E106" s="24" t="s">
        <v>291</v>
      </c>
      <c r="F106" s="24" t="s">
        <v>101</v>
      </c>
      <c r="G106" s="62">
        <f>SUMIFS(Calc_NetworkV_1[Ausnet],Calc_NetworkV_1[[Cost item]:[Cost item]],$C105,Calc_NetworkV_1[[Customer type]:[Customer type]],$F106)</f>
        <v>0.155386</v>
      </c>
      <c r="H106" s="62">
        <f>SUMIFS(Calc_NetworkV_1[Citipower],Calc_NetworkV_1[[Cost item]:[Cost item]],$C105,Calc_NetworkV_1[[Customer type]:[Customer type]],$F106)</f>
        <v>0</v>
      </c>
      <c r="I106" s="62">
        <f>SUMIFS(Calc_NetworkV_1[Jemena],Calc_NetworkV_1[[Cost item]:[Cost item]],$C105,Calc_NetworkV_1[[Customer type]:[Customer type]],$F106)</f>
        <v>0</v>
      </c>
      <c r="J106" s="62">
        <f>SUMIFS(Calc_NetworkV_1[Powercor],Calc_NetworkV_1[[Cost item]:[Cost item]],$C105,Calc_NetworkV_1[[Customer type]:[Customer type]],$F106)</f>
        <v>0</v>
      </c>
      <c r="K106" s="62">
        <f>SUMIFS(Calc_NetworkV_1[United Energy],Calc_NetworkV_1[[Cost item]:[Cost item]],$C105,Calc_NetworkV_1[[Customer type]:[Customer type]],$F106)</f>
        <v>0</v>
      </c>
    </row>
    <row r="107" spans="2:11" hidden="1" x14ac:dyDescent="0.25">
      <c r="B107"/>
      <c r="C107" s="24" t="s">
        <v>289</v>
      </c>
      <c r="D107" s="24" t="s">
        <v>11</v>
      </c>
      <c r="E107" s="24" t="s">
        <v>291</v>
      </c>
      <c r="F107" s="24" t="s">
        <v>101</v>
      </c>
      <c r="G107" s="62">
        <f>SUMIFS(Calc_Variable_1[Ausnet],Calc_Variable_1[[Customer type]:[Customer type]],"All")+SUMIFS(Calc_Variable_1[Ausnet],Calc_Variable_1[[Customer type]:[Customer type]],$F107)</f>
        <v>0.11369540103847998</v>
      </c>
      <c r="H107" s="62">
        <f>SUMIFS(Calc_Variable_1[Citipower],Calc_Variable_1[[Customer type]:[Customer type]],"All")+SUMIFS(Calc_Variable_1[Citipower],Calc_Variable_1[[Customer type]:[Customer type]],$F107)</f>
        <v>0.11472917972222922</v>
      </c>
      <c r="I107" s="62">
        <f>SUMIFS(Calc_Variable_1[Jemena],Calc_Variable_1[[Customer type]:[Customer type]],"All")+SUMIFS(Calc_Variable_1[Jemena],Calc_Variable_1[[Customer type]:[Customer type]],$F107)</f>
        <v>0.11289772271369052</v>
      </c>
      <c r="J107" s="62">
        <f>SUMIFS(Calc_Variable_1[Powercor],Calc_Variable_1[[Customer type]:[Customer type]],"All")+SUMIFS(Calc_Variable_1[Powercor],Calc_Variable_1[[Customer type]:[Customer type]],$F107)</f>
        <v>0.11176944916975179</v>
      </c>
      <c r="K107" s="62">
        <f>SUMIFS(Calc_Variable_1[United Energy],Calc_Variable_1[[Customer type]:[Customer type]],"All")+SUMIFS(Calc_Variable_1[United Energy],Calc_Variable_1[[Customer type]:[Customer type]],$F107)</f>
        <v>0.1167894443806243</v>
      </c>
    </row>
    <row r="108" spans="2:11" hidden="1" x14ac:dyDescent="0.25">
      <c r="B108"/>
      <c r="C108" s="24" t="s">
        <v>212</v>
      </c>
      <c r="D108" s="24" t="s">
        <v>11</v>
      </c>
      <c r="E108" s="24" t="s">
        <v>291</v>
      </c>
      <c r="F108" s="24" t="s">
        <v>101</v>
      </c>
      <c r="G108" s="74" cm="1">
        <f t="array" ref="G108">IF(G106=0,"-",
(G106+G107)*Calc_ROM_1[Ausnet])</f>
        <v>1.6252516622724193E-2</v>
      </c>
      <c r="H108" s="74" t="str" cm="1">
        <f t="array" ref="H108">IF(H106=0,"-",
(H106+H107)*Calc_ROM_1[Ausnet])</f>
        <v>-</v>
      </c>
      <c r="I108" s="74" t="str" cm="1">
        <f t="array" ref="I108">IF(I106=0,"-",
(I106+I107)*Calc_ROM_1[Ausnet])</f>
        <v>-</v>
      </c>
      <c r="J108" s="74" t="str" cm="1">
        <f t="array" ref="J108">IF(J106=0,"-",
(J106+J107)*Calc_ROM_1[Ausnet])</f>
        <v>-</v>
      </c>
      <c r="K108" s="74" t="str" cm="1">
        <f t="array" ref="K108">IF(K106=0,"-",
(K106+K107)*Calc_ROM_1[Ausnet])</f>
        <v>-</v>
      </c>
    </row>
    <row r="109" spans="2:11" hidden="1" x14ac:dyDescent="0.25">
      <c r="B109"/>
      <c r="C109" s="24" t="s">
        <v>286</v>
      </c>
      <c r="D109" s="24" t="s">
        <v>11</v>
      </c>
      <c r="E109" s="24" t="s">
        <v>291</v>
      </c>
      <c r="F109" s="24" t="s">
        <v>101</v>
      </c>
      <c r="G109" s="74">
        <f>IF(G106=0,"-",
(G106+G107+G108)*GST)</f>
        <v>2.8533391766120422E-2</v>
      </c>
      <c r="H109" s="74" t="str">
        <f>IF(H106=0,"-",
(H106+H107+H108)*GST)</f>
        <v>-</v>
      </c>
      <c r="I109" s="74" t="str">
        <f>IF(I106=0,"-",
(I106+I107+I108)*GST)</f>
        <v>-</v>
      </c>
      <c r="J109" s="74" t="str">
        <f>IF(J106=0,"-",
(J106+J107+J108)*GST)</f>
        <v>-</v>
      </c>
      <c r="K109" s="74" t="str">
        <f>IF(K106=0,"-",
(K106+K107+K108)*GST)</f>
        <v>-</v>
      </c>
    </row>
    <row r="110" spans="2:11" hidden="1" x14ac:dyDescent="0.25">
      <c r="B110"/>
      <c r="C110" s="24" t="str">
        <f>C105&amp;" charge"</f>
        <v>Block 1 charge</v>
      </c>
      <c r="D110" s="24" t="s">
        <v>11</v>
      </c>
      <c r="E110" s="24" t="s">
        <v>291</v>
      </c>
      <c r="F110" s="24" t="s">
        <v>101</v>
      </c>
      <c r="G110" s="75">
        <f>IF(G106=0,"-",
SUM(G106:G109))</f>
        <v>0.3138673094273246</v>
      </c>
      <c r="H110" s="75" t="str">
        <f>IF(H106=0,"-",
SUM(H106:H109))</f>
        <v>-</v>
      </c>
      <c r="I110" s="75" t="str">
        <f t="shared" ref="I110" si="28">IF(I106=0,"-",
SUM(I106:I109))</f>
        <v>-</v>
      </c>
      <c r="J110" s="75" t="str">
        <f t="shared" ref="J110" si="29">IF(J106=0,"-",
SUM(J106:J109))</f>
        <v>-</v>
      </c>
      <c r="K110" s="75" t="str">
        <f t="shared" ref="K110" si="30">IF(K106=0,"-",
SUM(K106:K109))</f>
        <v>-</v>
      </c>
    </row>
    <row r="111" spans="2:11" hidden="1" x14ac:dyDescent="0.25">
      <c r="B111"/>
      <c r="G111" s="111" cm="1">
        <f t="array" ref="G111">IF($D$5='Lookup refs'!$D$25,
IF(G110=INDEX(RateCheck_VDO2021F[[Ausnet]:[United Energy]],MATCH(IF(OR(Calc_Rates!$C110="Single rate charge",Calc_Rates!$C110="Block 1 charge",Calc_Rates!$C110="Balance charge"),"Anytime - ","TOU - ")&amp;Calc_Rates!$C110&amp;"_"&amp;Calc_Rates!$F110,RateCheck_VDO2021F[Rate],0),MATCH(Calc_Rates!G$9,RateCheck_VDO2021F[[#Headers],[Ausnet]:[United Energy]],0)),0,1),
IF(G110="-","-",
IF(ROUND(G110,8)=ROUND((((
SUMIFS(Calc_Variable_1[Ausnet],Calc_Variable_1[Customer type],Calc_Rates!$F110)+
SUMIFS(Calc_Variable_1[Ausnet],Calc_Variable_1[Customer type],"All")+G106)*(1+Calc_ROM_1[Ausnet]))*(1+GST)),8),0,1)))</f>
        <v>0</v>
      </c>
      <c r="H111" s="111" t="str" cm="1">
        <f t="array" ref="H111">IF($D$5='Lookup refs'!$D$25,
IF(H110=INDEX(RateCheck_VDO2021F[[Ausnet]:[United Energy]],MATCH(IF(OR(Calc_Rates!$C110="Single rate charge",Calc_Rates!$C110="Block 1 charge",Calc_Rates!$C110="Balance charge"),"Anytime - ","TOU - ")&amp;Calc_Rates!$C110&amp;"_"&amp;Calc_Rates!$F110,RateCheck_VDO2021F[Rate],0),MATCH(Calc_Rates!H$9,RateCheck_VDO2021F[[#Headers],[Ausnet]:[United Energy]],0)),0,1),
IF(H110="-","-",
IF(ROUND(H110,8)=ROUND((((
SUMIFS(Calc_Variable_1[Citipower],Calc_Variable_1[Customer type],Calc_Rates!$F110)+
SUMIFS(Calc_Variable_1[Citipower],Calc_Variable_1[Customer type],"All")+H106)*(1+Calc_ROM_1[Citipower]))*(1+GST)),8),0,1)))</f>
        <v>-</v>
      </c>
      <c r="I111" s="111" t="str" cm="1">
        <f t="array" ref="I111">IF($D$5='Lookup refs'!$D$25,
IF(I110=INDEX(RateCheck_VDO2021F[[Ausnet]:[United Energy]],MATCH(IF(OR(Calc_Rates!$C110="Single rate charge",Calc_Rates!$C110="Block 1 charge",Calc_Rates!$C110="Balance charge"),"Anytime - ","TOU - ")&amp;Calc_Rates!$C110&amp;"_"&amp;Calc_Rates!$F110,RateCheck_VDO2021F[Rate],0),MATCH(Calc_Rates!I$9,RateCheck_VDO2021F[[#Headers],[Ausnet]:[United Energy]],0)),0,1),
IF(I110="-","-",
IF(ROUND(I110,8)=ROUND((((
SUMIFS(Calc_Variable_1[Jemena],Calc_Variable_1[Customer type],Calc_Rates!$F110)+
SUMIFS(Calc_Variable_1[Jemena],Calc_Variable_1[Customer type],"All")+I106)*(1+Calc_ROM_1[Jemena]))*(1+GST)),8),0,1)))</f>
        <v>-</v>
      </c>
      <c r="J111" s="111" t="str" cm="1">
        <f t="array" ref="J111">IF($D$5='Lookup refs'!$D$25,
IF(J110=INDEX(RateCheck_VDO2021F[[Ausnet]:[United Energy]],MATCH(IF(OR(Calc_Rates!$C110="Single rate charge",Calc_Rates!$C110="Block 1 charge",Calc_Rates!$C110="Balance charge"),"Anytime - ","TOU - ")&amp;Calc_Rates!$C110&amp;"_"&amp;Calc_Rates!$F110,RateCheck_VDO2021F[Rate],0),MATCH(Calc_Rates!J$9,RateCheck_VDO2021F[[#Headers],[Ausnet]:[United Energy]],0)),0,1),
IF(J110="-","-",
IF(ROUND(J110,8)=ROUND((((
SUMIFS(Calc_Variable_1[Powercor],Calc_Variable_1[[Customer type]:[Customer type]],Calc_Rates!$F110)+
SUMIFS(Calc_Variable_1[Powercor],Calc_Variable_1[[Customer type]:[Customer type]],"All")+J106)*(1+Calc_ROM_1[Powercor]))*(1+GST)),8),0,1)))</f>
        <v>-</v>
      </c>
      <c r="K111" s="111" t="str" cm="1">
        <f t="array" ref="K111">IF($D$5='Lookup refs'!$D$25,
IF(K110=INDEX(RateCheck_VDO2021F[[Ausnet]:[United Energy]],MATCH(IF(OR(Calc_Rates!$C110="Single rate charge",Calc_Rates!$C110="Block 1 charge",Calc_Rates!$C110="Balance charge"),"Anytime - ","TOU - ")&amp;Calc_Rates!$C110&amp;"_"&amp;Calc_Rates!$F110,RateCheck_VDO2021F[[Rate]:[Rate]],0),MATCH(Calc_Rates!K$9,RateCheck_VDO2021F[[#Headers],[Ausnet]:[United Energy]],0)),0,1),
IF(K110="-","-",
IF(ROUND(K110,8)=ROUND((((
SUMIFS(Calc_Variable_1[United Energy],Calc_Variable_1[[Customer type]:[Customer type]],Calc_Rates!$F110)+
SUMIFS(Calc_Variable_1[United Energy],Calc_Variable_1[[Customer type]:[Customer type]],"All")+K106)*(1+Calc_ROM_1[United Energy]))*(1+GST)),8),0,1)))</f>
        <v>-</v>
      </c>
    </row>
    <row r="112" spans="2:11" ht="15.75" hidden="1" x14ac:dyDescent="0.25">
      <c r="B112"/>
      <c r="C112" s="82" t="s">
        <v>237</v>
      </c>
    </row>
    <row r="113" spans="2:11" hidden="1" x14ac:dyDescent="0.25">
      <c r="B113"/>
      <c r="C113" s="24" t="s">
        <v>295</v>
      </c>
      <c r="D113" s="24" t="s">
        <v>11</v>
      </c>
      <c r="E113" s="24" t="s">
        <v>291</v>
      </c>
      <c r="F113" s="24" t="s">
        <v>101</v>
      </c>
      <c r="G113" s="62">
        <f>SUMIFS(Calc_NetworkV_1[Ausnet],Calc_NetworkV_1[[Cost item]:[Cost item]],$C112,Calc_NetworkV_1[[Customer type]:[Customer type]],$F113)</f>
        <v>0.182667</v>
      </c>
      <c r="H113" s="62">
        <f>SUMIFS(Calc_NetworkV_1[Citipower],Calc_NetworkV_1[[Cost item]:[Cost item]],$C112,Calc_NetworkV_1[[Customer type]:[Customer type]],$F113)</f>
        <v>0</v>
      </c>
      <c r="I113" s="62">
        <f>SUMIFS(Calc_NetworkV_1[Jemena],Calc_NetworkV_1[[Cost item]:[Cost item]],$C112,Calc_NetworkV_1[[Customer type]:[Customer type]],$F113)</f>
        <v>0</v>
      </c>
      <c r="J113" s="62">
        <f>SUMIFS(Calc_NetworkV_1[Powercor],Calc_NetworkV_1[[Cost item]:[Cost item]],$C112,Calc_NetworkV_1[[Customer type]:[Customer type]],$F113)</f>
        <v>0</v>
      </c>
      <c r="K113" s="62">
        <f>SUMIFS(Calc_NetworkV_1[United Energy],Calc_NetworkV_1[[Cost item]:[Cost item]],$C112,Calc_NetworkV_1[[Customer type]:[Customer type]],$F113)</f>
        <v>0</v>
      </c>
    </row>
    <row r="114" spans="2:11" hidden="1" x14ac:dyDescent="0.25">
      <c r="B114"/>
      <c r="C114" s="24" t="s">
        <v>289</v>
      </c>
      <c r="D114" s="24" t="s">
        <v>11</v>
      </c>
      <c r="E114" s="24" t="s">
        <v>291</v>
      </c>
      <c r="F114" s="24" t="s">
        <v>101</v>
      </c>
      <c r="G114" s="62">
        <f>SUMIFS(Calc_Variable_1[Ausnet],Calc_Variable_1[[Customer type]:[Customer type]],"All")+SUMIFS(Calc_Variable_1[Ausnet],Calc_Variable_1[[Customer type]:[Customer type]],$F114)</f>
        <v>0.11369540103847998</v>
      </c>
      <c r="H114" s="62">
        <f>SUMIFS(Calc_Variable_1[Citipower],Calc_Variable_1[[Customer type]:[Customer type]],"All")+SUMIFS(Calc_Variable_1[Citipower],Calc_Variable_1[[Customer type]:[Customer type]],$F114)</f>
        <v>0.11472917972222922</v>
      </c>
      <c r="I114" s="62">
        <f>SUMIFS(Calc_Variable_1[Jemena],Calc_Variable_1[[Customer type]:[Customer type]],"All")+SUMIFS(Calc_Variable_1[Jemena],Calc_Variable_1[[Customer type]:[Customer type]],$F114)</f>
        <v>0.11289772271369052</v>
      </c>
      <c r="J114" s="62">
        <f>SUMIFS(Calc_Variable_1[Powercor],Calc_Variable_1[[Customer type]:[Customer type]],"All")+SUMIFS(Calc_Variable_1[Powercor],Calc_Variable_1[[Customer type]:[Customer type]],$F114)</f>
        <v>0.11176944916975179</v>
      </c>
      <c r="K114" s="62">
        <f>SUMIFS(Calc_Variable_1[United Energy],Calc_Variable_1[[Customer type]:[Customer type]],"All")+SUMIFS(Calc_Variable_1[United Energy],Calc_Variable_1[[Customer type]:[Customer type]],$F114)</f>
        <v>0.1167894443806243</v>
      </c>
    </row>
    <row r="115" spans="2:11" hidden="1" x14ac:dyDescent="0.25">
      <c r="B115"/>
      <c r="C115" s="24" t="s">
        <v>212</v>
      </c>
      <c r="D115" s="24" t="s">
        <v>11</v>
      </c>
      <c r="E115" s="24" t="s">
        <v>291</v>
      </c>
      <c r="F115" s="24" t="s">
        <v>101</v>
      </c>
      <c r="G115" s="74" cm="1">
        <f t="array" ref="G115">IF(G113=0,"-",
(G113+G114)*Calc_ROM_1[Ausnet])</f>
        <v>1.7900289022724194E-2</v>
      </c>
      <c r="H115" s="74" t="str" cm="1">
        <f t="array" ref="H115">IF(H113=0,"-",
(H113+H114)*Calc_ROM_1[Ausnet])</f>
        <v>-</v>
      </c>
      <c r="I115" s="74" t="str" cm="1">
        <f t="array" ref="I115">IF(I113=0,"-",
(I113+I114)*Calc_ROM_1[Ausnet])</f>
        <v>-</v>
      </c>
      <c r="J115" s="74" t="str" cm="1">
        <f t="array" ref="J115">IF(J113=0,"-",
(J113+J114)*Calc_ROM_1[Ausnet])</f>
        <v>-</v>
      </c>
      <c r="K115" s="74" t="str" cm="1">
        <f t="array" ref="K115">IF(K113=0,"-",
(K113+K114)*Calc_ROM_1[Ausnet])</f>
        <v>-</v>
      </c>
    </row>
    <row r="116" spans="2:11" hidden="1" x14ac:dyDescent="0.25">
      <c r="B116"/>
      <c r="C116" s="24" t="s">
        <v>286</v>
      </c>
      <c r="D116" s="24" t="s">
        <v>11</v>
      </c>
      <c r="E116" s="24" t="s">
        <v>291</v>
      </c>
      <c r="F116" s="24" t="s">
        <v>101</v>
      </c>
      <c r="G116" s="74">
        <f>IF(G113=0,"-",
(G113+G114+G115)*GST)</f>
        <v>3.1426269006120416E-2</v>
      </c>
      <c r="H116" s="74" t="str">
        <f>IF(H113=0,"-",
(H113+H114+H115)*GST)</f>
        <v>-</v>
      </c>
      <c r="I116" s="74" t="str">
        <f>IF(I113=0,"-",
(I113+I114+I115)*GST)</f>
        <v>-</v>
      </c>
      <c r="J116" s="74" t="str">
        <f>IF(J113=0,"-",
(J113+J114+J115)*GST)</f>
        <v>-</v>
      </c>
      <c r="K116" s="74" t="str">
        <f>IF(K113=0,"-",
(K113+K114+K115)*GST)</f>
        <v>-</v>
      </c>
    </row>
    <row r="117" spans="2:11" hidden="1" x14ac:dyDescent="0.25">
      <c r="B117"/>
      <c r="C117" s="24" t="str">
        <f>C112&amp;" charge"</f>
        <v>Balance charge</v>
      </c>
      <c r="D117" s="24" t="s">
        <v>11</v>
      </c>
      <c r="E117" s="24" t="s">
        <v>291</v>
      </c>
      <c r="F117" s="24" t="s">
        <v>101</v>
      </c>
      <c r="G117" s="75">
        <f>IF(G113=0,"-",
SUM(G113:G116))</f>
        <v>0.34568895906732455</v>
      </c>
      <c r="H117" s="75" t="str">
        <f>IF(H113=0,"-",
SUM(H113:H116))</f>
        <v>-</v>
      </c>
      <c r="I117" s="75" t="str">
        <f t="shared" ref="I117" si="31">IF(I113=0,"-",
SUM(I113:I116))</f>
        <v>-</v>
      </c>
      <c r="J117" s="75" t="str">
        <f t="shared" ref="J117" si="32">IF(J113=0,"-",
SUM(J113:J116))</f>
        <v>-</v>
      </c>
      <c r="K117" s="75" t="str">
        <f t="shared" ref="K117" si="33">IF(K113=0,"-",
SUM(K113:K116))</f>
        <v>-</v>
      </c>
    </row>
    <row r="118" spans="2:11" hidden="1" x14ac:dyDescent="0.25">
      <c r="B118"/>
      <c r="G118" s="111" cm="1">
        <f t="array" ref="G118">IF($D$5='Lookup refs'!$D$25,
IF(G117=INDEX(RateCheck_VDO2021F[[Ausnet]:[United Energy]],MATCH(IF(OR(Calc_Rates!$C117="Single rate charge",Calc_Rates!$C117="Block 1 charge",Calc_Rates!$C117="Balance charge"),"Anytime - ","TOU - ")&amp;Calc_Rates!$C117&amp;"_"&amp;Calc_Rates!$F117,RateCheck_VDO2021F[Rate],0),MATCH(Calc_Rates!G$9,RateCheck_VDO2021F[[#Headers],[Ausnet]:[United Energy]],0)),0,1),
IF(G117="-","-",
IF(ROUND(G117,8)=ROUND((((
SUMIFS(Calc_Variable_1[Ausnet],Calc_Variable_1[Customer type],Calc_Rates!$F117)+
SUMIFS(Calc_Variable_1[Ausnet],Calc_Variable_1[Customer type],"All")+G113)*(1+Calc_ROM_1[Ausnet]))*(1+GST)),8),0,1)))</f>
        <v>0</v>
      </c>
      <c r="H118" s="111" t="str" cm="1">
        <f t="array" ref="H118">IF($D$5='Lookup refs'!$D$25,
IF(H117=INDEX(RateCheck_VDO2021F[[Ausnet]:[United Energy]],MATCH(IF(OR(Calc_Rates!$C117="Single rate charge",Calc_Rates!$C117="Block 1 charge",Calc_Rates!$C117="Balance charge"),"Anytime - ","TOU - ")&amp;Calc_Rates!$C117&amp;"_"&amp;Calc_Rates!$F117,RateCheck_VDO2021F[Rate],0),MATCH(Calc_Rates!H$9,RateCheck_VDO2021F[[#Headers],[Ausnet]:[United Energy]],0)),0,1),
IF(H117="-","-",
IF(ROUND(H117,8)=ROUND((((
SUMIFS(Calc_Variable_1[Citipower],Calc_Variable_1[Customer type],Calc_Rates!$F117)+
SUMIFS(Calc_Variable_1[Citipower],Calc_Variable_1[Customer type],"All")+H113)*(1+Calc_ROM_1[Citipower]))*(1+GST)),8),0,1)))</f>
        <v>-</v>
      </c>
      <c r="I118" s="111" t="str" cm="1">
        <f t="array" ref="I118">IF($D$5='Lookup refs'!$D$25,
IF(I117=INDEX(RateCheck_VDO2021F[[Ausnet]:[United Energy]],MATCH(IF(OR(Calc_Rates!$C117="Single rate charge",Calc_Rates!$C117="Block 1 charge",Calc_Rates!$C117="Balance charge"),"Anytime - ","TOU - ")&amp;Calc_Rates!$C117&amp;"_"&amp;Calc_Rates!$F117,RateCheck_VDO2021F[Rate],0),MATCH(Calc_Rates!I$9,RateCheck_VDO2021F[[#Headers],[Ausnet]:[United Energy]],0)),0,1),
IF(I117="-","-",
IF(ROUND(I117,8)=ROUND((((
SUMIFS(Calc_Variable_1[Jemena],Calc_Variable_1[Customer type],Calc_Rates!$F117)+
SUMIFS(Calc_Variable_1[Jemena],Calc_Variable_1[Customer type],"All")+I113)*(1+Calc_ROM_1[Jemena]))*(1+GST)),8),0,1)))</f>
        <v>-</v>
      </c>
      <c r="J118" s="111" t="str" cm="1">
        <f t="array" ref="J118">IF($D$5='Lookup refs'!$D$25,
IF(J117=INDEX(RateCheck_VDO2021F[[Ausnet]:[United Energy]],MATCH(IF(OR(Calc_Rates!$C117="Single rate charge",Calc_Rates!$C117="Block 1 charge",Calc_Rates!$C117="Balance charge"),"Anytime - ","TOU - ")&amp;Calc_Rates!$C117&amp;"_"&amp;Calc_Rates!$F117,RateCheck_VDO2021F[Rate],0),MATCH(Calc_Rates!J$9,RateCheck_VDO2021F[[#Headers],[Ausnet]:[United Energy]],0)),0,1),
IF(J117="-","-",
IF(ROUND(J117,8)=ROUND((((
SUMIFS(Calc_Variable_1[Powercor],Calc_Variable_1[[Customer type]:[Customer type]],Calc_Rates!$F117)+
SUMIFS(Calc_Variable_1[Powercor],Calc_Variable_1[[Customer type]:[Customer type]],"All")+J113)*(1+Calc_ROM_1[Powercor]))*(1+GST)),8),0,1)))</f>
        <v>-</v>
      </c>
      <c r="K118" s="111" t="str" cm="1">
        <f t="array" ref="K118">IF($D$5='Lookup refs'!$D$25,
IF(K117=INDEX(RateCheck_VDO2021F[[Ausnet]:[United Energy]],MATCH(IF(OR(Calc_Rates!$C117="Single rate charge",Calc_Rates!$C117="Block 1 charge",Calc_Rates!$C117="Balance charge"),"Anytime - ","TOU - ")&amp;Calc_Rates!$C117&amp;"_"&amp;Calc_Rates!$F117,RateCheck_VDO2021F[[Rate]:[Rate]],0),MATCH(Calc_Rates!K$9,RateCheck_VDO2021F[[#Headers],[Ausnet]:[United Energy]],0)),0,1),
IF(K117="-","-",
IF(ROUND(K117,8)=ROUND((((
SUMIFS(Calc_Variable_1[United Energy],Calc_Variable_1[[Customer type]:[Customer type]],Calc_Rates!$F117)+
SUMIFS(Calc_Variable_1[United Energy],Calc_Variable_1[[Customer type]:[Customer type]],"All")+K113)*(1+Calc_ROM_1[United Energy]))*(1+GST)),8),0,1)))</f>
        <v>-</v>
      </c>
    </row>
    <row r="119" spans="2:11" ht="15.75" hidden="1" x14ac:dyDescent="0.25">
      <c r="B119"/>
      <c r="C119" s="82" t="s">
        <v>508</v>
      </c>
    </row>
    <row r="120" spans="2:11" hidden="1" x14ac:dyDescent="0.25">
      <c r="B120"/>
      <c r="C120" s="24" t="s">
        <v>295</v>
      </c>
      <c r="D120" s="24" t="s">
        <v>11</v>
      </c>
      <c r="E120" s="24" t="s">
        <v>291</v>
      </c>
      <c r="F120" s="24" t="s">
        <v>101</v>
      </c>
      <c r="G120" s="62">
        <f>SUMIFS(Calc_NetworkV_1[Ausnet],Calc_NetworkV_1[[Cost item]:[Cost item]],$C119,Calc_NetworkV_1[[Customer type]:[Customer type]],$F120)</f>
        <v>0</v>
      </c>
      <c r="H120" s="62">
        <f>SUMIFS(Calc_NetworkV_1[Citipower],Calc_NetworkV_1[[Cost item]:[Cost item]],$C119,Calc_NetworkV_1[[Customer type]:[Customer type]],$F120)</f>
        <v>8.2100000000000006E-2</v>
      </c>
      <c r="I120" s="62">
        <f>SUMIFS(Calc_NetworkV_1[Jemena],Calc_NetworkV_1[[Cost item]:[Cost item]],$C119,Calc_NetworkV_1[[Customer type]:[Customer type]],$F120)</f>
        <v>0.10973000000000001</v>
      </c>
      <c r="J120" s="62">
        <f>SUMIFS(Calc_NetworkV_1[Powercor],Calc_NetworkV_1[[Cost item]:[Cost item]],$C119,Calc_NetworkV_1[[Customer type]:[Customer type]],$F120)</f>
        <v>9.2899999999999996E-2</v>
      </c>
      <c r="K120" s="62">
        <f>SUMIFS(Calc_NetworkV_1[United Energy],Calc_NetworkV_1[[Cost item]:[Cost item]],$C119,Calc_NetworkV_1[[Customer type]:[Customer type]],$F120)</f>
        <v>8.7899999999999992E-2</v>
      </c>
    </row>
    <row r="121" spans="2:11" hidden="1" x14ac:dyDescent="0.25">
      <c r="B121"/>
      <c r="C121" s="24" t="s">
        <v>289</v>
      </c>
      <c r="D121" s="24" t="s">
        <v>11</v>
      </c>
      <c r="E121" s="24" t="s">
        <v>291</v>
      </c>
      <c r="F121" s="24" t="s">
        <v>101</v>
      </c>
      <c r="G121" s="62">
        <f>SUMIFS(Calc_Variable_1[Ausnet],Calc_Variable_1[[Customer type]:[Customer type]],"All")+SUMIFS(Calc_Variable_1[Ausnet],Calc_Variable_1[[Customer type]:[Customer type]],$F121)</f>
        <v>0.11369540103847998</v>
      </c>
      <c r="H121" s="62">
        <f>SUMIFS(Calc_Variable_1[Citipower],Calc_Variable_1[[Customer type]:[Customer type]],"All")+SUMIFS(Calc_Variable_1[Citipower],Calc_Variable_1[[Customer type]:[Customer type]],$F121)</f>
        <v>0.11472917972222922</v>
      </c>
      <c r="I121" s="62">
        <f>SUMIFS(Calc_Variable_1[Jemena],Calc_Variable_1[[Customer type]:[Customer type]],"All")+SUMIFS(Calc_Variable_1[Jemena],Calc_Variable_1[[Customer type]:[Customer type]],$F121)</f>
        <v>0.11289772271369052</v>
      </c>
      <c r="J121" s="62">
        <f>SUMIFS(Calc_Variable_1[Powercor],Calc_Variable_1[[Customer type]:[Customer type]],"All")+SUMIFS(Calc_Variable_1[Powercor],Calc_Variable_1[[Customer type]:[Customer type]],$F121)</f>
        <v>0.11176944916975179</v>
      </c>
      <c r="K121" s="62">
        <f>SUMIFS(Calc_Variable_1[United Energy],Calc_Variable_1[[Customer type]:[Customer type]],"All")+SUMIFS(Calc_Variable_1[United Energy],Calc_Variable_1[[Customer type]:[Customer type]],$F121)</f>
        <v>0.1167894443806243</v>
      </c>
    </row>
    <row r="122" spans="2:11" hidden="1" x14ac:dyDescent="0.25">
      <c r="B122"/>
      <c r="C122" s="24" t="s">
        <v>212</v>
      </c>
      <c r="D122" s="24" t="s">
        <v>11</v>
      </c>
      <c r="E122" s="24" t="s">
        <v>291</v>
      </c>
      <c r="F122" s="24" t="s">
        <v>101</v>
      </c>
      <c r="G122" s="74" t="str" cm="1">
        <f t="array" ref="G122">IF(G120=0,"-",
(G120+G121)*Calc_ROM_1[Ausnet])</f>
        <v>-</v>
      </c>
      <c r="H122" s="74" cm="1">
        <f t="array" ref="H122">IF(H120=0,"-",
(H120+H121)*Calc_ROM_1[Ausnet])</f>
        <v>1.1888482455222647E-2</v>
      </c>
      <c r="I122" s="74" cm="1">
        <f t="array" ref="I122">IF(I120=0,"-",
(I120+I121)*Calc_ROM_1[Ausnet])</f>
        <v>1.3446714451906908E-2</v>
      </c>
      <c r="J122" s="74" cm="1">
        <f t="array" ref="J122">IF(J120=0,"-",
(J120+J121)*Calc_ROM_1[Ausnet])</f>
        <v>1.2362034729853007E-2</v>
      </c>
      <c r="K122" s="74" cm="1">
        <f t="array" ref="K122">IF(K120=0,"-",
(K120+K121)*Calc_ROM_1[Ausnet])</f>
        <v>1.2363242440589709E-2</v>
      </c>
    </row>
    <row r="123" spans="2:11" hidden="1" x14ac:dyDescent="0.25">
      <c r="B123"/>
      <c r="C123" s="24" t="s">
        <v>286</v>
      </c>
      <c r="D123" s="24" t="s">
        <v>11</v>
      </c>
      <c r="E123" s="24" t="s">
        <v>291</v>
      </c>
      <c r="F123" s="24" t="s">
        <v>101</v>
      </c>
      <c r="G123" s="74" t="str">
        <f>IF(G120=0,"-",
(G120+G121+G122)*GST)</f>
        <v>-</v>
      </c>
      <c r="H123" s="74">
        <f>IF(H120=0,"-",
(H120+H121+H122)*GST)</f>
        <v>2.087176621774519E-2</v>
      </c>
      <c r="I123" s="74">
        <f>IF(I120=0,"-",
(I120+I121+I122)*GST)</f>
        <v>2.3607443716559744E-2</v>
      </c>
      <c r="J123" s="74">
        <f>IF(J120=0,"-",
(J120+J121+J122)*GST)</f>
        <v>2.1703148389960479E-2</v>
      </c>
      <c r="K123" s="74">
        <f>IF(K120=0,"-",
(K120+K121+K122)*GST)</f>
        <v>2.1705268682121401E-2</v>
      </c>
    </row>
    <row r="124" spans="2:11" hidden="1" x14ac:dyDescent="0.25">
      <c r="B124"/>
      <c r="C124" s="24" t="str">
        <f>C119&amp;" charge"</f>
        <v>Single rate charge</v>
      </c>
      <c r="D124" s="24" t="s">
        <v>11</v>
      </c>
      <c r="E124" s="24" t="s">
        <v>291</v>
      </c>
      <c r="F124" s="24" t="s">
        <v>101</v>
      </c>
      <c r="G124" s="75" t="str">
        <f>IF(G120=0,"-",
SUM(G120:G123))</f>
        <v>-</v>
      </c>
      <c r="H124" s="75">
        <f>IF(H120=0,"-",
SUM(H120:H123))</f>
        <v>0.22958942839519708</v>
      </c>
      <c r="I124" s="75">
        <f t="shared" ref="I124" si="34">IF(I120=0,"-",
SUM(I120:I123))</f>
        <v>0.25968188088215716</v>
      </c>
      <c r="J124" s="75">
        <f t="shared" ref="J124" si="35">IF(J120=0,"-",
SUM(J120:J123))</f>
        <v>0.23873463228956526</v>
      </c>
      <c r="K124" s="75">
        <f t="shared" ref="K124" si="36">IF(K120=0,"-",
SUM(K120:K123))</f>
        <v>0.2387579555033354</v>
      </c>
    </row>
    <row r="125" spans="2:11" hidden="1" x14ac:dyDescent="0.25">
      <c r="B125"/>
      <c r="G125" s="111" t="str" cm="1">
        <f t="array" ref="G125">IF($D$5='Lookup refs'!$D$25,
IF(G124=INDEX(RateCheck_VDO2021F[[Ausnet]:[United Energy]],MATCH(IF(OR(Calc_Rates!$C124="Single rate charge",Calc_Rates!$C124="Block 1 charge",Calc_Rates!$C124="Balance charge"),"Anytime - ","TOU - ")&amp;Calc_Rates!$C124&amp;"_"&amp;Calc_Rates!$F124,RateCheck_VDO2021F[Rate],0),MATCH(Calc_Rates!G$9,RateCheck_VDO2021F[[#Headers],[Ausnet]:[United Energy]],0)),0,1),
IF(G124="-","-",
IF(ROUND(G124,8)=ROUND((((
SUMIFS(Calc_Variable_1[Ausnet],Calc_Variable_1[Customer type],Calc_Rates!$F124)+
SUMIFS(Calc_Variable_1[Ausnet],Calc_Variable_1[Customer type],"All")+G120)*(1+Calc_ROM_1[Ausnet]))*(1+GST)),8),0,1)))</f>
        <v>-</v>
      </c>
      <c r="H125" s="111" cm="1">
        <f t="array" ref="H125">IF($D$5='Lookup refs'!$D$25,
IF(H124=INDEX(RateCheck_VDO2021F[[Ausnet]:[United Energy]],MATCH(IF(OR(Calc_Rates!$C124="Single rate charge",Calc_Rates!$C124="Block 1 charge",Calc_Rates!$C124="Balance charge"),"Anytime - ","TOU - ")&amp;Calc_Rates!$C124&amp;"_"&amp;Calc_Rates!$F124,RateCheck_VDO2021F[Rate],0),MATCH(Calc_Rates!H$9,RateCheck_VDO2021F[[#Headers],[Ausnet]:[United Energy]],0)),0,1),
IF(H124="-","-",
IF(ROUND(H124,8)=ROUND((((
SUMIFS(Calc_Variable_1[Citipower],Calc_Variable_1[Customer type],Calc_Rates!$F124)+
SUMIFS(Calc_Variable_1[Citipower],Calc_Variable_1[Customer type],"All")+H120)*(1+Calc_ROM_1[Citipower]))*(1+GST)),8),0,1)))</f>
        <v>0</v>
      </c>
      <c r="I125" s="111" cm="1">
        <f t="array" ref="I125">IF($D$5='Lookup refs'!$D$25,
IF(I124=INDEX(RateCheck_VDO2021F[[Ausnet]:[United Energy]],MATCH(IF(OR(Calc_Rates!$C124="Single rate charge",Calc_Rates!$C124="Block 1 charge",Calc_Rates!$C124="Balance charge"),"Anytime - ","TOU - ")&amp;Calc_Rates!$C124&amp;"_"&amp;Calc_Rates!$F124,RateCheck_VDO2021F[Rate],0),MATCH(Calc_Rates!I$9,RateCheck_VDO2021F[[#Headers],[Ausnet]:[United Energy]],0)),0,1),
IF(I124="-","-",
IF(ROUND(I124,8)=ROUND((((
SUMIFS(Calc_Variable_1[Jemena],Calc_Variable_1[Customer type],Calc_Rates!$F124)+
SUMIFS(Calc_Variable_1[Jemena],Calc_Variable_1[Customer type],"All")+I120)*(1+Calc_ROM_1[Jemena]))*(1+GST)),8),0,1)))</f>
        <v>0</v>
      </c>
      <c r="J125" s="111" cm="1">
        <f t="array" ref="J125">IF($D$5='Lookup refs'!$D$25,
IF(J124=INDEX(RateCheck_VDO2021F[[Ausnet]:[United Energy]],MATCH(IF(OR(Calc_Rates!$C124="Single rate charge",Calc_Rates!$C124="Block 1 charge",Calc_Rates!$C124="Balance charge"),"Anytime - ","TOU - ")&amp;Calc_Rates!$C124&amp;"_"&amp;Calc_Rates!$F124,RateCheck_VDO2021F[Rate],0),MATCH(Calc_Rates!J$9,RateCheck_VDO2021F[[#Headers],[Ausnet]:[United Energy]],0)),0,1),
IF(J124="-","-",
IF(ROUND(J124,8)=ROUND((((
SUMIFS(Calc_Variable_1[Powercor],Calc_Variable_1[[Customer type]:[Customer type]],Calc_Rates!$F124)+
SUMIFS(Calc_Variable_1[Powercor],Calc_Variable_1[[Customer type]:[Customer type]],"All")+J120)*(1+Calc_ROM_1[Powercor]))*(1+GST)),8),0,1)))</f>
        <v>0</v>
      </c>
      <c r="K125" s="111" cm="1">
        <f t="array" ref="K125">IF($D$5='Lookup refs'!$D$25,
IF(K124=INDEX(RateCheck_VDO2021F[[Ausnet]:[United Energy]],MATCH(IF(OR(Calc_Rates!$C124="Single rate charge",Calc_Rates!$C124="Block 1 charge",Calc_Rates!$C124="Balance charge"),"Anytime - ","TOU - ")&amp;Calc_Rates!$C124&amp;"_"&amp;Calc_Rates!$F124,RateCheck_VDO2021F[[Rate]:[Rate]],0),MATCH(Calc_Rates!K$9,RateCheck_VDO2021F[[#Headers],[Ausnet]:[United Energy]],0)),0,1),
IF(K124="-","-",
IF(ROUND(K124,8)=ROUND((((
SUMIFS(Calc_Variable_1[United Energy],Calc_Variable_1[[Customer type]:[Customer type]],Calc_Rates!$F124)+
SUMIFS(Calc_Variable_1[United Energy],Calc_Variable_1[[Customer type]:[Customer type]],"All")+K120)*(1+Calc_ROM_1[United Energy]))*(1+GST)),8),0,1)))</f>
        <v>0</v>
      </c>
    </row>
    <row r="126" spans="2:11" ht="15.75" hidden="1" x14ac:dyDescent="0.25">
      <c r="B126"/>
      <c r="C126" s="153" t="s">
        <v>547</v>
      </c>
    </row>
    <row r="127" spans="2:11" ht="15.75" hidden="1" x14ac:dyDescent="0.25">
      <c r="B127"/>
      <c r="C127" s="82" t="s">
        <v>239</v>
      </c>
    </row>
    <row r="128" spans="2:11" hidden="1" x14ac:dyDescent="0.25">
      <c r="B128"/>
      <c r="C128" s="24" t="s">
        <v>295</v>
      </c>
      <c r="D128" s="24" t="s">
        <v>11</v>
      </c>
      <c r="E128" s="24" t="s">
        <v>291</v>
      </c>
      <c r="F128" s="24" t="s">
        <v>101</v>
      </c>
      <c r="G128" s="62">
        <f>SUMIFS(Calc_NetworkV_1[Ausnet],Calc_NetworkV_1[[Cost item]:[Cost item]],$C127,Calc_NetworkV_1[[Customer type]:[Customer type]],$F128)</f>
        <v>0.17508700000000002</v>
      </c>
      <c r="H128" s="62">
        <f>SUMIFS(Calc_NetworkV_1[Citipower],Calc_NetworkV_1[[Cost item]:[Cost item]],$C127,Calc_NetworkV_1[[Customer type]:[Customer type]],$F128)</f>
        <v>0.13019999999999998</v>
      </c>
      <c r="I128" s="62">
        <f>SUMIFS(Calc_NetworkV_1[Jemena],Calc_NetworkV_1[[Cost item]:[Cost item]],$C127,Calc_NetworkV_1[[Customer type]:[Customer type]],$F128)</f>
        <v>0.14330999999999999</v>
      </c>
      <c r="J128" s="62">
        <f>SUMIFS(Calc_NetworkV_1[Powercor],Calc_NetworkV_1[[Cost item]:[Cost item]],$C127,Calc_NetworkV_1[[Customer type]:[Customer type]],$F128)</f>
        <v>0.14749999999999999</v>
      </c>
      <c r="K128" s="62">
        <f>SUMIFS(Calc_NetworkV_1[United Energy],Calc_NetworkV_1[[Cost item]:[Cost item]],$C127,Calc_NetworkV_1[[Customer type]:[Customer type]],$F128)</f>
        <v>0.1399</v>
      </c>
    </row>
    <row r="129" spans="1:11" hidden="1" x14ac:dyDescent="0.25">
      <c r="B129"/>
      <c r="C129" s="24" t="s">
        <v>289</v>
      </c>
      <c r="D129" s="24" t="s">
        <v>11</v>
      </c>
      <c r="E129" s="24" t="s">
        <v>291</v>
      </c>
      <c r="F129" s="24" t="s">
        <v>101</v>
      </c>
      <c r="G129" s="62">
        <f>SUMIFS(Calc_Variable_1[Ausnet],Calc_Variable_1[[Customer type]:[Customer type]],"All")+SUMIFS(Calc_Variable_1[Ausnet],Calc_Variable_1[[Customer type]:[Customer type]],$F129)</f>
        <v>0.11369540103847998</v>
      </c>
      <c r="H129" s="62">
        <f>SUMIFS(Calc_Variable_1[Citipower],Calc_Variable_1[[Customer type]:[Customer type]],"All")+SUMIFS(Calc_Variable_1[Citipower],Calc_Variable_1[[Customer type]:[Customer type]],$F129)</f>
        <v>0.11472917972222922</v>
      </c>
      <c r="I129" s="62">
        <f>SUMIFS(Calc_Variable_1[Jemena],Calc_Variable_1[[Customer type]:[Customer type]],"All")+SUMIFS(Calc_Variable_1[Jemena],Calc_Variable_1[[Customer type]:[Customer type]],$F129)</f>
        <v>0.11289772271369052</v>
      </c>
      <c r="J129" s="62">
        <f>SUMIFS(Calc_Variable_1[Powercor],Calc_Variable_1[[Customer type]:[Customer type]],"All")+SUMIFS(Calc_Variable_1[Powercor],Calc_Variable_1[[Customer type]:[Customer type]],$F129)</f>
        <v>0.11176944916975179</v>
      </c>
      <c r="K129" s="62">
        <f>SUMIFS(Calc_Variable_1[United Energy],Calc_Variable_1[[Customer type]:[Customer type]],"All")+SUMIFS(Calc_Variable_1[United Energy],Calc_Variable_1[[Customer type]:[Customer type]],$F129)</f>
        <v>0.1167894443806243</v>
      </c>
    </row>
    <row r="130" spans="1:11" hidden="1" x14ac:dyDescent="0.25">
      <c r="B130"/>
      <c r="C130" s="24" t="s">
        <v>212</v>
      </c>
      <c r="D130" s="24" t="s">
        <v>11</v>
      </c>
      <c r="E130" s="24" t="s">
        <v>291</v>
      </c>
      <c r="F130" s="24" t="s">
        <v>101</v>
      </c>
      <c r="G130" s="74" cm="1">
        <f t="array" ref="G130">IF(G128=0,"-",
(G128+G129)*Calc_ROM_1[Ausnet])</f>
        <v>1.7442457022724192E-2</v>
      </c>
      <c r="H130" s="74" cm="1">
        <f t="array" ref="H130">IF(H128=0,"-",
(H128+H129)*Calc_ROM_1[Ausnet])</f>
        <v>1.4793722455222645E-2</v>
      </c>
      <c r="I130" s="74" cm="1">
        <f t="array" ref="I130">IF(I128=0,"-",
(I128+I129)*Calc_ROM_1[Ausnet])</f>
        <v>1.5474946451906908E-2</v>
      </c>
      <c r="J130" s="74" cm="1">
        <f t="array" ref="J130">IF(J128=0,"-",
(J128+J129)*Calc_ROM_1[Ausnet])</f>
        <v>1.5659874729853009E-2</v>
      </c>
      <c r="K130" s="74" cm="1">
        <f t="array" ref="K130">IF(K128=0,"-",
(K128+K129)*Calc_ROM_1[Ausnet])</f>
        <v>1.5504042440589708E-2</v>
      </c>
    </row>
    <row r="131" spans="1:11" hidden="1" x14ac:dyDescent="0.25">
      <c r="B131"/>
      <c r="C131" s="24" t="s">
        <v>286</v>
      </c>
      <c r="D131" s="24" t="s">
        <v>11</v>
      </c>
      <c r="E131" s="24" t="s">
        <v>291</v>
      </c>
      <c r="F131" s="24" t="s">
        <v>101</v>
      </c>
      <c r="G131" s="74">
        <f>IF(G128=0,"-",
(G128+G129+G130)*GST)</f>
        <v>3.0622485806120422E-2</v>
      </c>
      <c r="H131" s="74">
        <f>IF(H128=0,"-",
(H128+H129+H130)*GST)</f>
        <v>2.5972290217745189E-2</v>
      </c>
      <c r="I131" s="74">
        <f>IF(I128=0,"-",
(I128+I129+I130)*GST)</f>
        <v>2.7168266916559741E-2</v>
      </c>
      <c r="J131" s="74">
        <f>IF(J128=0,"-",
(J128+J129+J130)*GST)</f>
        <v>2.7492932389960485E-2</v>
      </c>
      <c r="K131" s="74">
        <f>IF(K128=0,"-",
(K128+K129+K130)*GST)</f>
        <v>2.7219348682121405E-2</v>
      </c>
    </row>
    <row r="132" spans="1:11" hidden="1" x14ac:dyDescent="0.25">
      <c r="B132"/>
      <c r="C132" s="24" t="str">
        <f>C127&amp;" charge"</f>
        <v>Peak charge</v>
      </c>
      <c r="D132" s="24" t="s">
        <v>11</v>
      </c>
      <c r="E132" s="24" t="s">
        <v>291</v>
      </c>
      <c r="F132" s="24" t="s">
        <v>101</v>
      </c>
      <c r="G132" s="75">
        <f>IF(G128=0,"-",
SUM(G128:G131))</f>
        <v>0.33684734386732462</v>
      </c>
      <c r="H132" s="75">
        <f>IF(H128=0,"-",
SUM(H128:H131))</f>
        <v>0.28569519239519703</v>
      </c>
      <c r="I132" s="75">
        <f t="shared" ref="I132" si="37">IF(I128=0,"-",
SUM(I128:I131))</f>
        <v>0.29885093608215718</v>
      </c>
      <c r="J132" s="75">
        <f t="shared" ref="J132" si="38">IF(J128=0,"-",
SUM(J128:J131))</f>
        <v>0.30242225628956532</v>
      </c>
      <c r="K132" s="75">
        <f t="shared" ref="K132" si="39">IF(K128=0,"-",
SUM(K128:K131))</f>
        <v>0.29941283550333542</v>
      </c>
    </row>
    <row r="133" spans="1:11" hidden="1" x14ac:dyDescent="0.25">
      <c r="B133"/>
      <c r="G133" s="111" cm="1">
        <f t="array" ref="G133">IF($D$5='Lookup refs'!$D$25,
IF(G132=INDEX(RateCheck_VDO2021F[[Ausnet]:[United Energy]],MATCH(IF(OR(Calc_Rates!$C132="Single rate charge",Calc_Rates!$C132="Block 1 charge",Calc_Rates!$C132="Balance charge"),"Anytime - ","TOU - ")&amp;Calc_Rates!$C132&amp;"_"&amp;Calc_Rates!$F132,RateCheck_VDO2021F[Rate],0),MATCH(Calc_Rates!G$9,RateCheck_VDO2021F[[#Headers],[Ausnet]:[United Energy]],0)),0,1),
IF(G132="-","-",
IF(ROUND(G132,8)=ROUND((((
SUMIFS(Calc_Variable_1[Ausnet],Calc_Variable_1[Customer type],Calc_Rates!$F132)+
SUMIFS(Calc_Variable_1[Ausnet],Calc_Variable_1[Customer type],"All")+G128)*(1+Calc_ROM_1[Ausnet]))*(1+GST)),8),0,1)))</f>
        <v>0</v>
      </c>
      <c r="H133" s="111" cm="1">
        <f t="array" ref="H133">IF($D$5='Lookup refs'!$D$25,
IF(H132=INDEX(RateCheck_VDO2021F[[Ausnet]:[United Energy]],MATCH(IF(OR(Calc_Rates!$C132="Single rate charge",Calc_Rates!$C132="Block 1 charge",Calc_Rates!$C132="Balance charge"),"Anytime - ","TOU - ")&amp;Calc_Rates!$C132&amp;"_"&amp;Calc_Rates!$F132,RateCheck_VDO2021F[Rate],0),MATCH(Calc_Rates!H$9,RateCheck_VDO2021F[[#Headers],[Ausnet]:[United Energy]],0)),0,1),
IF(H132="-","-",
IF(ROUND(H132,8)=ROUND((((
SUMIFS(Calc_Variable_1[Citipower],Calc_Variable_1[Customer type],Calc_Rates!$F132)+
SUMIFS(Calc_Variable_1[Citipower],Calc_Variable_1[Customer type],"All")+H128)*(1+Calc_ROM_1[Citipower]))*(1+GST)),8),0,1)))</f>
        <v>0</v>
      </c>
      <c r="I133" s="111" cm="1">
        <f t="array" ref="I133">IF($D$5='Lookup refs'!$D$25,
IF(I132=INDEX(RateCheck_VDO2021F[[Ausnet]:[United Energy]],MATCH(IF(OR(Calc_Rates!$C132="Single rate charge",Calc_Rates!$C132="Block 1 charge",Calc_Rates!$C132="Balance charge"),"Anytime - ","TOU - ")&amp;Calc_Rates!$C132&amp;"_"&amp;Calc_Rates!$F132,RateCheck_VDO2021F[Rate],0),MATCH(Calc_Rates!I$9,RateCheck_VDO2021F[[#Headers],[Ausnet]:[United Energy]],0)),0,1),
IF(I132="-","-",
IF(ROUND(I132,8)=ROUND((((
SUMIFS(Calc_Variable_1[Jemena],Calc_Variable_1[Customer type],Calc_Rates!$F132)+
SUMIFS(Calc_Variable_1[Jemena],Calc_Variable_1[Customer type],"All")+I128)*(1+Calc_ROM_1[Jemena]))*(1+GST)),8),0,1)))</f>
        <v>0</v>
      </c>
      <c r="J133" s="111" cm="1">
        <f t="array" ref="J133">IF($D$5='Lookup refs'!$D$25,
IF(J132=INDEX(RateCheck_VDO2021F[[Ausnet]:[United Energy]],MATCH(IF(OR(Calc_Rates!$C132="Single rate charge",Calc_Rates!$C132="Block 1 charge",Calc_Rates!$C132="Balance charge"),"Anytime - ","TOU - ")&amp;Calc_Rates!$C132&amp;"_"&amp;Calc_Rates!$F132,RateCheck_VDO2021F[Rate],0),MATCH(Calc_Rates!J$9,RateCheck_VDO2021F[[#Headers],[Ausnet]:[United Energy]],0)),0,1),
IF(J132="-","-",
IF(ROUND(J132,8)=ROUND((((
SUMIFS(Calc_Variable_1[Powercor],Calc_Variable_1[[Customer type]:[Customer type]],Calc_Rates!$F132)+
SUMIFS(Calc_Variable_1[Powercor],Calc_Variable_1[[Customer type]:[Customer type]],"All")+J128)*(1+Calc_ROM_1[Powercor]))*(1+GST)),8),0,1)))</f>
        <v>0</v>
      </c>
      <c r="K133" s="111" cm="1">
        <f t="array" ref="K133">IF($D$5='Lookup refs'!$D$25,
IF(K132=INDEX(RateCheck_VDO2021F[[Ausnet]:[United Energy]],MATCH(IF(OR(Calc_Rates!$C132="Single rate charge",Calc_Rates!$C132="Block 1 charge",Calc_Rates!$C132="Balance charge"),"Anytime - ","TOU - ")&amp;Calc_Rates!$C132&amp;"_"&amp;Calc_Rates!$F132,RateCheck_VDO2021F[[Rate]:[Rate]],0),MATCH(Calc_Rates!K$9,RateCheck_VDO2021F[[#Headers],[Ausnet]:[United Energy]],0)),0,1),
IF(K132="-","-",
IF(ROUND(K132,8)=ROUND((((
SUMIFS(Calc_Variable_1[United Energy],Calc_Variable_1[[Customer type]:[Customer type]],Calc_Rates!$F132)+
SUMIFS(Calc_Variable_1[United Energy],Calc_Variable_1[[Customer type]:[Customer type]],"All")+K128)*(1+Calc_ROM_1[United Energy]))*(1+GST)),8),0,1)))</f>
        <v>0</v>
      </c>
    </row>
    <row r="134" spans="1:11" ht="15.75" hidden="1" x14ac:dyDescent="0.25">
      <c r="B134"/>
      <c r="C134" s="82" t="s">
        <v>538</v>
      </c>
    </row>
    <row r="135" spans="1:11" hidden="1" x14ac:dyDescent="0.25">
      <c r="B135"/>
      <c r="C135" s="24" t="s">
        <v>295</v>
      </c>
      <c r="D135" s="24" t="s">
        <v>11</v>
      </c>
      <c r="E135" s="24" t="s">
        <v>291</v>
      </c>
      <c r="F135" s="24" t="s">
        <v>101</v>
      </c>
      <c r="G135" s="62">
        <f>SUMIFS(Calc_NetworkV_1[Ausnet],Calc_NetworkV_1[[Cost item]:[Cost item]],$C134,Calc_NetworkV_1[[Customer type]:[Customer type]],$F135)</f>
        <v>4.2655999999999999E-2</v>
      </c>
      <c r="H135" s="62">
        <f>SUMIFS(Calc_NetworkV_1[Citipower],Calc_NetworkV_1[[Cost item]:[Cost item]],$C134,Calc_NetworkV_1[[Customer type]:[Customer type]],$F135)</f>
        <v>2.8900000000000002E-2</v>
      </c>
      <c r="I135" s="62">
        <f>SUMIFS(Calc_NetworkV_1[Jemena],Calc_NetworkV_1[[Cost item]:[Cost item]],$C134,Calc_NetworkV_1[[Customer type]:[Customer type]],$F135)</f>
        <v>3.0520000000000002E-2</v>
      </c>
      <c r="J135" s="62">
        <f>SUMIFS(Calc_NetworkV_1[Powercor],Calc_NetworkV_1[[Cost item]:[Cost item]],$C134,Calc_NetworkV_1[[Customer type]:[Customer type]],$F135)</f>
        <v>3.2799999999999996E-2</v>
      </c>
      <c r="K135" s="62">
        <f>SUMIFS(Calc_NetworkV_1[United Energy],Calc_NetworkV_1[[Cost item]:[Cost item]],$C134,Calc_NetworkV_1[[Customer type]:[Customer type]],$F135)</f>
        <v>3.1099999999999999E-2</v>
      </c>
    </row>
    <row r="136" spans="1:11" hidden="1" x14ac:dyDescent="0.25">
      <c r="B136"/>
      <c r="C136" s="24" t="s">
        <v>289</v>
      </c>
      <c r="D136" s="24" t="s">
        <v>11</v>
      </c>
      <c r="E136" s="24" t="s">
        <v>291</v>
      </c>
      <c r="F136" s="24" t="s">
        <v>101</v>
      </c>
      <c r="G136" s="62">
        <f>SUMIFS(Calc_Variable_1[Ausnet],Calc_Variable_1[[Customer type]:[Customer type]],"All")+SUMIFS(Calc_Variable_1[Ausnet],Calc_Variable_1[[Customer type]:[Customer type]],$F136)</f>
        <v>0.11369540103847998</v>
      </c>
      <c r="H136" s="62">
        <f>SUMIFS(Calc_Variable_1[Citipower],Calc_Variable_1[[Customer type]:[Customer type]],"All")+SUMIFS(Calc_Variable_1[Citipower],Calc_Variable_1[[Customer type]:[Customer type]],$F136)</f>
        <v>0.11472917972222922</v>
      </c>
      <c r="I136" s="62">
        <f>SUMIFS(Calc_Variable_1[Jemena],Calc_Variable_1[[Customer type]:[Customer type]],"All")+SUMIFS(Calc_Variable_1[Jemena],Calc_Variable_1[[Customer type]:[Customer type]],$F136)</f>
        <v>0.11289772271369052</v>
      </c>
      <c r="J136" s="62">
        <f>SUMIFS(Calc_Variable_1[Powercor],Calc_Variable_1[[Customer type]:[Customer type]],"All")+SUMIFS(Calc_Variable_1[Powercor],Calc_Variable_1[[Customer type]:[Customer type]],$F136)</f>
        <v>0.11176944916975179</v>
      </c>
      <c r="K136" s="62">
        <f>SUMIFS(Calc_Variable_1[United Energy],Calc_Variable_1[[Customer type]:[Customer type]],"All")+SUMIFS(Calc_Variable_1[United Energy],Calc_Variable_1[[Customer type]:[Customer type]],$F136)</f>
        <v>0.1167894443806243</v>
      </c>
    </row>
    <row r="137" spans="1:11" ht="15.75" hidden="1" collapsed="1" x14ac:dyDescent="0.25">
      <c r="A137" s="1" t="s">
        <v>30</v>
      </c>
      <c r="C137" s="24" t="s">
        <v>212</v>
      </c>
      <c r="D137" s="24" t="s">
        <v>11</v>
      </c>
      <c r="E137" s="24" t="s">
        <v>291</v>
      </c>
      <c r="F137" s="24" t="s">
        <v>101</v>
      </c>
      <c r="G137" s="74" cm="1">
        <f t="array" ref="G137">IF(G135=0,"-",
(G135+G136)*Calc_ROM_1[Ausnet])</f>
        <v>9.4436246227241928E-3</v>
      </c>
      <c r="H137" s="74" cm="1">
        <f t="array" ref="H137">IF(H135=0,"-",
(H135+H136)*Calc_ROM_1[Ausnet])</f>
        <v>8.6752024552226442E-3</v>
      </c>
      <c r="I137" s="74" cm="1">
        <f t="array" ref="I137">IF(I135=0,"-",
(I135+I136)*Calc_ROM_1[Ausnet])</f>
        <v>8.6624304519069082E-3</v>
      </c>
      <c r="J137" s="74" cm="1">
        <f t="array" ref="J137">IF(J135=0,"-",
(J135+J136)*Calc_ROM_1[Ausnet])</f>
        <v>8.7319947298530078E-3</v>
      </c>
      <c r="K137" s="74" cm="1">
        <f t="array" ref="K137">IF(K135=0,"-",
(K135+K136)*Calc_ROM_1[Ausnet])</f>
        <v>8.9325224405897071E-3</v>
      </c>
    </row>
    <row r="138" spans="1:11" hidden="1" x14ac:dyDescent="0.25">
      <c r="C138" s="24" t="s">
        <v>286</v>
      </c>
      <c r="D138" s="24" t="s">
        <v>11</v>
      </c>
      <c r="E138" s="24" t="s">
        <v>291</v>
      </c>
      <c r="F138" s="24" t="s">
        <v>101</v>
      </c>
      <c r="G138" s="74">
        <f>IF(G135=0,"-",
(G135+G136+G137)*GST)</f>
        <v>1.6579502566120421E-2</v>
      </c>
      <c r="H138" s="74">
        <f>IF(H135=0,"-",
(H135+H136+H137)*GST)</f>
        <v>1.5230438217745185E-2</v>
      </c>
      <c r="I138" s="74">
        <f>IF(I135=0,"-",
(I135+I136+I137)*GST)</f>
        <v>1.5208015316559742E-2</v>
      </c>
      <c r="J138" s="74">
        <f>IF(J135=0,"-",
(J135+J136+J137)*GST)</f>
        <v>1.5330144389960479E-2</v>
      </c>
      <c r="K138" s="74">
        <f>IF(K135=0,"-",
(K135+K136+K137)*GST)</f>
        <v>1.56821966821214E-2</v>
      </c>
    </row>
    <row r="139" spans="1:11" hidden="1" x14ac:dyDescent="0.25">
      <c r="C139" s="24" t="str">
        <f>C134&amp;" charge"</f>
        <v>Off peak charge</v>
      </c>
      <c r="D139" s="24" t="s">
        <v>11</v>
      </c>
      <c r="E139" s="24" t="s">
        <v>291</v>
      </c>
      <c r="F139" s="24" t="s">
        <v>101</v>
      </c>
      <c r="G139" s="75">
        <f>IF(G135=0,"-",
SUM(G135:G138))</f>
        <v>0.18237452822732461</v>
      </c>
      <c r="H139" s="75">
        <f>IF(H135=0,"-",
SUM(H135:H138))</f>
        <v>0.16753482039519704</v>
      </c>
      <c r="I139" s="75">
        <f t="shared" ref="I139" si="40">IF(I135=0,"-",
SUM(I135:I138))</f>
        <v>0.16728816848215716</v>
      </c>
      <c r="J139" s="75">
        <f t="shared" ref="J139" si="41">IF(J135=0,"-",
SUM(J135:J138))</f>
        <v>0.16863158828956526</v>
      </c>
      <c r="K139" s="75">
        <f t="shared" ref="K139" si="42">IF(K135=0,"-",
SUM(K135:K138))</f>
        <v>0.17250416350333539</v>
      </c>
    </row>
    <row r="140" spans="1:11" hidden="1" x14ac:dyDescent="0.25">
      <c r="G140" s="111" cm="1">
        <f t="array" ref="G140">IF($D$5='Lookup refs'!$D$25,
IF(G139=INDEX(RateCheck_VDO2021F[[Ausnet]:[United Energy]],MATCH(IF(OR(Calc_Rates!$C139="Single rate charge",Calc_Rates!$C139="Block 1 charge",Calc_Rates!$C139="Balance charge"),"Anytime - ","TOU - ")&amp;Calc_Rates!$C139&amp;"_"&amp;Calc_Rates!$F139,RateCheck_VDO2021F[Rate],0),MATCH(Calc_Rates!G$9,RateCheck_VDO2021F[[#Headers],[Ausnet]:[United Energy]],0)),0,1),
IF(G139="-","-",
IF(ROUND(G139,8)=ROUND((((
SUMIFS(Calc_Variable_1[Ausnet],Calc_Variable_1[Customer type],Calc_Rates!$F139)+
SUMIFS(Calc_Variable_1[Ausnet],Calc_Variable_1[Customer type],"All")+G135)*(1+Calc_ROM_1[Ausnet]))*(1+GST)),8),0,1)))</f>
        <v>0</v>
      </c>
      <c r="H140" s="111" cm="1">
        <f t="array" ref="H140">IF($D$5='Lookup refs'!$D$25,
IF(H139=INDEX(RateCheck_VDO2021F[[Ausnet]:[United Energy]],MATCH(IF(OR(Calc_Rates!$C139="Single rate charge",Calc_Rates!$C139="Block 1 charge",Calc_Rates!$C139="Balance charge"),"Anytime - ","TOU - ")&amp;Calc_Rates!$C139&amp;"_"&amp;Calc_Rates!$F139,RateCheck_VDO2021F[Rate],0),MATCH(Calc_Rates!H$9,RateCheck_VDO2021F[[#Headers],[Ausnet]:[United Energy]],0)),0,1),
IF(H139="-","-",
IF(ROUND(H139,8)=ROUND((((
SUMIFS(Calc_Variable_1[Citipower],Calc_Variable_1[Customer type],Calc_Rates!$F139)+
SUMIFS(Calc_Variable_1[Citipower],Calc_Variable_1[Customer type],"All")+H135)*(1+Calc_ROM_1[Citipower]))*(1+GST)),8),0,1)))</f>
        <v>0</v>
      </c>
      <c r="I140" s="111" cm="1">
        <f t="array" ref="I140">IF($D$5='Lookup refs'!$D$25,
IF(I139=INDEX(RateCheck_VDO2021F[[Ausnet]:[United Energy]],MATCH(IF(OR(Calc_Rates!$C139="Single rate charge",Calc_Rates!$C139="Block 1 charge",Calc_Rates!$C139="Balance charge"),"Anytime - ","TOU - ")&amp;Calc_Rates!$C139&amp;"_"&amp;Calc_Rates!$F139,RateCheck_VDO2021F[Rate],0),MATCH(Calc_Rates!I$9,RateCheck_VDO2021F[[#Headers],[Ausnet]:[United Energy]],0)),0,1),
IF(I139="-","-",
IF(ROUND(I139,8)=ROUND((((
SUMIFS(Calc_Variable_1[Jemena],Calc_Variable_1[Customer type],Calc_Rates!$F139)+
SUMIFS(Calc_Variable_1[Jemena],Calc_Variable_1[Customer type],"All")+I135)*(1+Calc_ROM_1[Jemena]))*(1+GST)),8),0,1)))</f>
        <v>0</v>
      </c>
      <c r="J140" s="111" cm="1">
        <f t="array" ref="J140">IF($D$5='Lookup refs'!$D$25,
IF(J139=INDEX(RateCheck_VDO2021F[[Ausnet]:[United Energy]],MATCH(IF(OR(Calc_Rates!$C139="Single rate charge",Calc_Rates!$C139="Block 1 charge",Calc_Rates!$C139="Balance charge"),"Anytime - ","TOU - ")&amp;Calc_Rates!$C139&amp;"_"&amp;Calc_Rates!$F139,RateCheck_VDO2021F[Rate],0),MATCH(Calc_Rates!J$9,RateCheck_VDO2021F[[#Headers],[Ausnet]:[United Energy]],0)),0,1),
IF(J139="-","-",
IF(ROUND(J139,8)=ROUND((((
SUMIFS(Calc_Variable_1[Powercor],Calc_Variable_1[[Customer type]:[Customer type]],Calc_Rates!$F139)+
SUMIFS(Calc_Variable_1[Powercor],Calc_Variable_1[[Customer type]:[Customer type]],"All")+J135)*(1+Calc_ROM_1[Powercor]))*(1+GST)),8),0,1)))</f>
        <v>0</v>
      </c>
      <c r="K140" s="111" cm="1">
        <f t="array" ref="K140">IF($D$5='Lookup refs'!$D$25,
IF(K139=INDEX(RateCheck_VDO2021F[[Ausnet]:[United Energy]],MATCH(IF(OR(Calc_Rates!$C139="Single rate charge",Calc_Rates!$C139="Block 1 charge",Calc_Rates!$C139="Balance charge"),"Anytime - ","TOU - ")&amp;Calc_Rates!$C139&amp;"_"&amp;Calc_Rates!$F139,RateCheck_VDO2021F[[Rate]:[Rate]],0),MATCH(Calc_Rates!K$9,RateCheck_VDO2021F[[#Headers],[Ausnet]:[United Energy]],0)),0,1),
IF(K139="-","-",
IF(ROUND(K139,8)=ROUND((((
SUMIFS(Calc_Variable_1[United Energy],Calc_Variable_1[[Customer type]:[Customer type]],Calc_Rates!$F139)+
SUMIFS(Calc_Variable_1[United Energy],Calc_Variable_1[[Customer type]:[Customer type]],"All")+K135)*(1+Calc_ROM_1[United Energy]))*(1+GST)),8),0,1)))</f>
        <v>0</v>
      </c>
    </row>
    <row r="141" spans="1:11" hidden="1" x14ac:dyDescent="0.25"/>
    <row r="142" spans="1:11" ht="16.5" hidden="1" thickBot="1" x14ac:dyDescent="0.3">
      <c r="B142" s="9">
        <f ca="1">MAX(B$3:B136)+0.1</f>
        <v>12.2</v>
      </c>
      <c r="C142" s="29" t="s">
        <v>298</v>
      </c>
      <c r="D142" s="29"/>
      <c r="E142" s="29"/>
      <c r="F142" s="29"/>
      <c r="G142" s="29"/>
      <c r="H142" s="29"/>
      <c r="I142" s="29"/>
      <c r="J142" s="29"/>
      <c r="K142" s="29"/>
    </row>
    <row r="143" spans="1:11" hidden="1" x14ac:dyDescent="0.25"/>
    <row r="144" spans="1:11" ht="15.75" hidden="1" x14ac:dyDescent="0.25">
      <c r="C144" s="30" t="s">
        <v>258</v>
      </c>
    </row>
    <row r="145" spans="3:11" ht="15.75" hidden="1" x14ac:dyDescent="0.25">
      <c r="C145" s="55" t="s">
        <v>299</v>
      </c>
      <c r="D145" s="77">
        <f>IFERROR(INDEX(Input_CPI[Indice],MATCH($D$5,Input_CPI[Decision paper],0),1),"-")</f>
        <v>116.2</v>
      </c>
    </row>
    <row r="146" spans="3:11" ht="15.75" hidden="1" x14ac:dyDescent="0.25">
      <c r="C146" s="30"/>
    </row>
    <row r="147" spans="3:11" ht="15.75" hidden="1" x14ac:dyDescent="0.25">
      <c r="C147" s="44" t="s">
        <v>54</v>
      </c>
      <c r="D147" s="44" t="s">
        <v>110</v>
      </c>
      <c r="E147" s="44" t="s">
        <v>111</v>
      </c>
      <c r="F147" s="44" t="s">
        <v>99</v>
      </c>
      <c r="G147" s="44" t="s">
        <v>747</v>
      </c>
      <c r="H147" s="61" t="s">
        <v>300</v>
      </c>
      <c r="I147" s="61" t="s">
        <v>393</v>
      </c>
    </row>
    <row r="148" spans="3:11" hidden="1" x14ac:dyDescent="0.25">
      <c r="C148" s="24" t="s">
        <v>116</v>
      </c>
      <c r="D148" s="24"/>
      <c r="E148" s="24" t="str">
        <f>INDEX(Input_ForRateCalc[Unit],MATCH(Calc_CPI_1[[#This Row],[Cost item]],Input_ForRateCalc[Cost item],0),1)</f>
        <v>$</v>
      </c>
      <c r="F148" s="24" t="str">
        <f>INDEX(Input_ForRateCalc[Customer type],MATCH(Calc_CPI_1[[#This Row],[Cost item]],Input_ForRateCalc[Cost item],0),1)</f>
        <v>All</v>
      </c>
      <c r="G148" s="24" t="str">
        <f>INDEX(Input_CostItemCPI[[VDO 2021 - Final]:[VDO 2022 - Final]],MATCH(Calc_CPI_1[[#This Row],[Cost item]],Input_CostItemCPI[Cost item],0),MATCH(Calc_Rates!$D$5,Input_CostItemCPI[[#Headers],[VDO 2021 - Final]:[VDO 2022 - Final]],0))</f>
        <v>Yes</v>
      </c>
      <c r="H148" s="57">
        <f>IF(Calc_CPI_1[[#This Row],[Adjust?]]="No",0,
IFERROR(
($D$145-
INDEX(CPI[Indice],MATCH(
INDEX(Input_ForRateCalc[[F-CurrentVDO_InputDate]:[F-NextVDO_Input]],MATCH(Calc_Rates!$C148,Input_ForRateCalc[Cost item],0),MATCH(Calc_Rates!$D$5&amp;" - input date",Inputs!H$8:Q$8,0)),
CPI[Period],0),1))/
INDEX(CPI[Indice],MATCH(
INDEX(Input_ForRateCalc[[F-CurrentVDO_InputDate]:[F-NextVDO_Input]],MATCH(Calc_Rates!$C148,Input_ForRateCalc[Cost item],0),MATCH(Calc_Rates!$D$5&amp;" - input date",Inputs!H$8:Q$8,0)),
CPI[Period],0),1),"-"))</f>
        <v>4.9683830171635052E-2</v>
      </c>
      <c r="I148" s="62">
        <f>IFERROR((H148)*
INDEX(Input_ForRateCalc[[F-CurrentVDO_InputDate]:[F-NextVDO_Input]],MATCH(Calc_Rates!$C148,Input_ForRateCalc[Cost item],0),MATCH($D$5,Inputs!$H$8:$Q$8,0)),"-")</f>
        <v>6.0152213188798553</v>
      </c>
    </row>
    <row r="149" spans="3:11" hidden="1" x14ac:dyDescent="0.25">
      <c r="C149" s="128" t="s">
        <v>123</v>
      </c>
      <c r="D149" s="24"/>
      <c r="E149" s="24" t="str">
        <f>INDEX(Input_ForRateCalc[Unit],MATCH(Calc_CPI_1[[#This Row],[Cost item]],Input_ForRateCalc[Cost item],0),1)</f>
        <v>$</v>
      </c>
      <c r="F149" s="24" t="str">
        <f>INDEX(Input_ForRateCalc[Customer type],MATCH(Calc_CPI_1[[#This Row],[Cost item]],Input_ForRateCalc[Cost item],0),1)</f>
        <v>All</v>
      </c>
      <c r="G149" s="24" t="str">
        <f>INDEX(Input_CostItemCPI[[VDO 2021 - Final]:[VDO 2022 - Final]],MATCH(Calc_CPI_1[[#This Row],[Cost item]],Input_CostItemCPI[Cost item],0),MATCH(Calc_Rates!$D$5,Input_CostItemCPI[[#Headers],[VDO 2021 - Final]:[VDO 2022 - Final]],0))</f>
        <v>Yes</v>
      </c>
      <c r="H149" s="57">
        <f>IF(Calc_CPI_1[[#This Row],[Adjust?]]="No",0,
IFERROR(
($D$145-
INDEX(CPI[Indice],MATCH(
INDEX(Input_ForRateCalc[[F-CurrentVDO_InputDate]:[F-NextVDO_Input]],MATCH(Calc_Rates!$C149,Input_ForRateCalc[Cost item],0),MATCH(Calc_Rates!$D$5&amp;" - input date",Inputs!H$8:Q$8,0)),
CPI[Period],0),1))/
INDEX(CPI[Indice],MATCH(
INDEX(Input_ForRateCalc[[F-CurrentVDO_InputDate]:[F-NextVDO_Input]],MATCH(Calc_Rates!$C149,Input_ForRateCalc[Cost item],0),MATCH(Calc_Rates!$D$5&amp;" - input date",Inputs!H$8:Q$8,0)),
CPI[Period],0),1),"-"))</f>
        <v>1.2195121951219561E-2</v>
      </c>
      <c r="I149" s="62">
        <f>IFERROR((H149)*
INDEX(Input_ForRateCalc[[F-CurrentVDO_InputDate]:[F-NextVDO_Input]],MATCH(Calc_Rates!$C149,Input_ForRateCalc[Cost item],0),MATCH($D$5,Inputs!$H$8:$Q$8,0)),"-")</f>
        <v>0.46341463414634332</v>
      </c>
    </row>
    <row r="150" spans="3:11" hidden="1" x14ac:dyDescent="0.25">
      <c r="C150" s="24" t="s">
        <v>125</v>
      </c>
      <c r="D150" s="24"/>
      <c r="E150" s="24" t="str">
        <f>INDEX(Input_ForRateCalc[Unit],MATCH(Calc_CPI_1[[#This Row],[Cost item]],Input_ForRateCalc[Cost item],0),1)</f>
        <v>$</v>
      </c>
      <c r="F150" s="24" t="str">
        <f>INDEX(Input_ForRateCalc[Customer type],MATCH(Calc_CPI_1[[#This Row],[Cost item]],Input_ForRateCalc[Cost item],0),1)</f>
        <v>All</v>
      </c>
      <c r="G150" s="24" t="str">
        <f>INDEX(Input_CostItemCPI[[VDO 2021 - Final]:[VDO 2022 - Final]],MATCH(Calc_CPI_1[[#This Row],[Cost item]],Input_CostItemCPI[Cost item],0),MATCH(Calc_Rates!$D$5,Input_CostItemCPI[[#Headers],[VDO 2021 - Final]:[VDO 2022 - Final]],0))</f>
        <v>Yes</v>
      </c>
      <c r="H150" s="57">
        <f>IF(Calc_CPI_1[[#This Row],[Adjust?]]="No",0,
IFERROR(
($D$145-
INDEX(CPI[Indice],MATCH(
INDEX(Input_ForRateCalc[[F-CurrentVDO_InputDate]:[F-NextVDO_Input]],MATCH(Calc_Rates!$C150,Input_ForRateCalc[Cost item],0),MATCH(Calc_Rates!$D$5&amp;" - input date",Inputs!H$8:Q$8,0)),
CPI[Period],0),1))/
INDEX(CPI[Indice],MATCH(
INDEX(Input_ForRateCalc[[F-CurrentVDO_InputDate]:[F-NextVDO_Input]],MATCH(Calc_Rates!$C150,Input_ForRateCalc[Cost item],0),MATCH(Calc_Rates!$D$5&amp;" - input date",Inputs!H$8:Q$8,0)),
CPI[Period],0),1),"-"))</f>
        <v>1.5734265734265708E-2</v>
      </c>
      <c r="I150" s="62">
        <f>IFERROR((H150)*
INDEX(Input_ForRateCalc[[F-CurrentVDO_InputDate]:[F-NextVDO_Input]],MATCH(Calc_Rates!$C150,Input_ForRateCalc[Cost item],0),MATCH($D$5,Inputs!$H$8:$Q$8,0)),"-")</f>
        <v>0.16806064320445238</v>
      </c>
    </row>
    <row r="151" spans="3:11" hidden="1" x14ac:dyDescent="0.25">
      <c r="C151" s="24" t="s">
        <v>126</v>
      </c>
      <c r="D151" s="24"/>
      <c r="E151" s="24" t="str">
        <f>INDEX(Input_ForRateCalc[Unit],MATCH(Calc_CPI_1[[#This Row],[Cost item]],Input_ForRateCalc[Cost item],0),1)</f>
        <v>$</v>
      </c>
      <c r="F151" s="24" t="str">
        <f>INDEX(Input_ForRateCalc[Customer type],MATCH(Calc_CPI_1[[#This Row],[Cost item]],Input_ForRateCalc[Cost item],0),1)</f>
        <v>All</v>
      </c>
      <c r="G151" s="24" t="str">
        <f>INDEX(Input_CostItemCPI[[VDO 2021 - Final]:[VDO 2022 - Final]],MATCH(Calc_CPI_1[[#This Row],[Cost item]],Input_CostItemCPI[Cost item],0),MATCH(Calc_Rates!$D$5,Input_CostItemCPI[[#Headers],[VDO 2021 - Final]:[VDO 2022 - Final]],0))</f>
        <v>Yes</v>
      </c>
      <c r="H151" s="57">
        <f>IF(Calc_CPI_1[[#This Row],[Adjust?]]="No",0,
IFERROR(
($D$145-
INDEX(CPI[Indice],MATCH(
INDEX(Input_ForRateCalc[[F-CurrentVDO_InputDate]:[F-NextVDO_Input]],MATCH(Calc_Rates!$C151,Input_ForRateCalc[Cost item],0),MATCH(Calc_Rates!$D$5&amp;" - input date",Inputs!H$8:Q$8,0)),
CPI[Period],0),1))/
INDEX(CPI[Indice],MATCH(
INDEX(Input_ForRateCalc[[F-CurrentVDO_InputDate]:[F-NextVDO_Input]],MATCH(Calc_Rates!$C151,Input_ForRateCalc[Cost item],0),MATCH(Calc_Rates!$D$5&amp;" - input date",Inputs!H$8:Q$8,0)),
CPI[Period],0),1),"-"))</f>
        <v>1.2195121951219561E-2</v>
      </c>
      <c r="I151" s="62">
        <f>IFERROR((H151)*
INDEX(Input_ForRateCalc[[F-CurrentVDO_InputDate]:[F-NextVDO_Input]],MATCH(Calc_Rates!$C151,Input_ForRateCalc[Cost item],0),MATCH($D$5,Inputs!$H$8:$Q$8,0)),"-")</f>
        <v>2.0408837969874402E-2</v>
      </c>
    </row>
    <row r="152" spans="3:11" hidden="1" x14ac:dyDescent="0.25">
      <c r="C152" s="60" t="s">
        <v>633</v>
      </c>
      <c r="D152" s="24"/>
      <c r="E152" s="24" t="str">
        <f>INDEX(Input_ForRateCalc[Unit],MATCH(Calc_CPI_1[[#This Row],[Cost item]],Input_ForRateCalc[Cost item],0),1)</f>
        <v>$/week</v>
      </c>
      <c r="F152" s="24" t="str">
        <f>INDEX(Input_ForRateCalc[Customer type],MATCH(Calc_CPI_1[[#This Row],[Cost item]],Input_ForRateCalc[Cost item],0),1)</f>
        <v>All</v>
      </c>
      <c r="G152" s="24" t="str">
        <f>INDEX(Input_CostItemCPI[[VDO 2021 - Final]:[VDO 2022 - Final]],MATCH(Calc_CPI_1[[#This Row],[Cost item]],Input_CostItemCPI[Cost item],0),MATCH(Calc_Rates!$D$5,Input_CostItemCPI[[#Headers],[VDO 2021 - Final]:[VDO 2022 - Final]],0))</f>
        <v>Yes</v>
      </c>
      <c r="H152" s="57">
        <f>IF(Calc_CPI_1[[#This Row],[Adjust?]]="No",0,
IFERROR(
($D$145-
INDEX(CPI[Indice],MATCH(
INDEX(Input_ForRateCalc[[F-CurrentVDO_InputDate]:[F-NextVDO_Input]],MATCH(Calc_Rates!$C152,Input_ForRateCalc[Cost item],0),MATCH(Calc_Rates!$D$5&amp;" - input date",Inputs!H$8:Q$8,0)),
CPI[Period],0),1))/
INDEX(CPI[Indice],MATCH(
INDEX(Input_ForRateCalc[[F-CurrentVDO_InputDate]:[F-NextVDO_Input]],MATCH(Calc_Rates!$C152,Input_ForRateCalc[Cost item],0),MATCH(Calc_Rates!$D$5&amp;" - input date",Inputs!H$8:Q$8,0)),
CPI[Period],0),1),"-"))</f>
        <v>1.5734265734265708E-2</v>
      </c>
      <c r="I152" s="62">
        <f>IFERROR((H152)*
INDEX(Input_ForRateCalc[[F-CurrentVDO_InputDate]:[F-NextVDO_Input]],MATCH(Calc_Rates!$C152,Input_ForRateCalc[Cost item],0),MATCH($D$5,Inputs!$H$8:$Q$8,0)),"-")</f>
        <v>1.8645104895104864E-4</v>
      </c>
    </row>
    <row r="153" spans="3:11" hidden="1" x14ac:dyDescent="0.25">
      <c r="C153" s="45" t="s">
        <v>129</v>
      </c>
      <c r="D153" s="24"/>
      <c r="E153" s="24" t="str">
        <f>INDEX(Input_ForRateCalc[Unit],MATCH(Calc_CPI_1[[#This Row],[Cost item]],Input_ForRateCalc[Cost item],0),1)</f>
        <v>$/week</v>
      </c>
      <c r="F153" s="24" t="str">
        <f>INDEX(Input_ForRateCalc[Customer type],MATCH(Calc_CPI_1[[#This Row],[Cost item]],Input_ForRateCalc[Cost item],0),1)</f>
        <v>All</v>
      </c>
      <c r="G153" s="24" t="str">
        <f>INDEX(Input_CostItemCPI[[VDO 2021 - Final]:[VDO 2022 - Final]],MATCH(Calc_CPI_1[[#This Row],[Cost item]],Input_CostItemCPI[Cost item],0),MATCH(Calc_Rates!$D$5,Input_CostItemCPI[[#Headers],[VDO 2021 - Final]:[VDO 2022 - Final]],0))</f>
        <v>Yes</v>
      </c>
      <c r="H153" s="57">
        <f>IF(Calc_CPI_1[[#This Row],[Adjust?]]="No",0,
IFERROR(
($D$145-
INDEX(CPI[Indice],MATCH(
INDEX(Input_ForRateCalc[[F-CurrentVDO_InputDate]:[F-NextVDO_Input]],MATCH(Calc_Rates!$C153,Input_ForRateCalc[Cost item],0),MATCH(Calc_Rates!$D$5&amp;" - input date",Inputs!H$8:Q$8,0)),
CPI[Period],0),1))/
INDEX(CPI[Indice],MATCH(
INDEX(Input_ForRateCalc[[F-CurrentVDO_InputDate]:[F-NextVDO_Input]],MATCH(Calc_Rates!$C153,Input_ForRateCalc[Cost item],0),MATCH(Calc_Rates!$D$5&amp;" - input date",Inputs!H$8:Q$8,0)),
CPI[Period],0),1),"-"))</f>
        <v>1.5734265734265708E-2</v>
      </c>
      <c r="I153" s="62">
        <f>IFERROR((H153)*
INDEX(Input_ForRateCalc[[F-CurrentVDO_InputDate]:[F-NextVDO_Input]],MATCH(Calc_Rates!$C153,Input_ForRateCalc[Cost item],0),MATCH($D$5,Inputs!$H$8:$Q$8,0)),"-")</f>
        <v>4.0122377622377555E-4</v>
      </c>
    </row>
    <row r="154" spans="3:11" hidden="1" x14ac:dyDescent="0.25">
      <c r="C154" s="45" t="s">
        <v>169</v>
      </c>
      <c r="D154" s="45"/>
      <c r="E154" s="24" t="str">
        <f>INDEX(Input_ForRateCalc[Unit],MATCH(Calc_CPI_1[[#This Row],[Cost item]],Input_ForRateCalc[Cost item],0),1)</f>
        <v>$/MWh</v>
      </c>
      <c r="F154" s="24" t="str">
        <f>INDEX(Input_ForRateCalc[Customer type],MATCH(Calc_CPI_1[[#This Row],[Cost item]],Input_ForRateCalc[Cost item],0),1)</f>
        <v>All</v>
      </c>
      <c r="G154" s="24" t="str">
        <f>INDEX(Input_CostItemCPI[[VDO 2021 - Final]:[VDO 2022 - Final]],MATCH(Calc_CPI_1[[#This Row],[Cost item]],Input_CostItemCPI[Cost item],0),MATCH(Calc_Rates!$D$5,Input_CostItemCPI[[#Headers],[VDO 2021 - Final]:[VDO 2022 - Final]],0))</f>
        <v>Yes</v>
      </c>
      <c r="H154" s="57">
        <f>IF(Calc_CPI_1[[#This Row],[Adjust?]]="No",0,
IFERROR(
($D$145-
INDEX(CPI[Indice],MATCH(
INDEX(Input_ForRateCalc[[F-CurrentVDO_InputDate]:[F-NextVDO_Input]],MATCH(Calc_Rates!$C154,Input_ForRateCalc[Cost item],0),MATCH(Calc_Rates!$D$5&amp;" - input date",Inputs!H$8:Q$8,0)),
CPI[Period],0),1))/
INDEX(CPI[Indice],MATCH(
INDEX(Input_ForRateCalc[[F-CurrentVDO_InputDate]:[F-NextVDO_Input]],MATCH(Calc_Rates!$C154,Input_ForRateCalc[Cost item],0),MATCH(Calc_Rates!$D$5&amp;" - input date",Inputs!H$8:Q$8,0)),
CPI[Period],0),1),"-"))</f>
        <v>1.5734265734265708E-2</v>
      </c>
      <c r="I154" s="62">
        <f>IFERROR((H154)*
INDEX(Input_ForRateCalc[[F-CurrentVDO_InputDate]:[F-NextVDO_Input]],MATCH(Calc_Rates!$C154,Input_ForRateCalc[Cost item],0),MATCH($D$5,Inputs!$H$8:$Q$8,0)),"-")</f>
        <v>5.7902097902097806E-3</v>
      </c>
    </row>
    <row r="155" spans="3:11" hidden="1" x14ac:dyDescent="0.25"/>
    <row r="156" spans="3:11" ht="15.75" hidden="1" x14ac:dyDescent="0.25">
      <c r="C156" s="30" t="s">
        <v>293</v>
      </c>
    </row>
    <row r="157" spans="3:11" ht="15.75" hidden="1" x14ac:dyDescent="0.25">
      <c r="C157" s="44" t="s">
        <v>54</v>
      </c>
      <c r="D157" s="44" t="s">
        <v>110</v>
      </c>
      <c r="E157" s="44" t="s">
        <v>111</v>
      </c>
      <c r="F157" s="44" t="s">
        <v>99</v>
      </c>
      <c r="G157" s="61" t="s">
        <v>277</v>
      </c>
      <c r="H157" s="61" t="s">
        <v>278</v>
      </c>
      <c r="I157" s="61" t="s">
        <v>279</v>
      </c>
      <c r="J157" s="61" t="s">
        <v>280</v>
      </c>
      <c r="K157" s="61" t="s">
        <v>281</v>
      </c>
    </row>
    <row r="158" spans="3:11" hidden="1" x14ac:dyDescent="0.25">
      <c r="C158" s="24" t="s">
        <v>302</v>
      </c>
      <c r="D158" s="24" t="s">
        <v>11</v>
      </c>
      <c r="E158" s="24" t="s">
        <v>213</v>
      </c>
      <c r="F158" s="24" t="s">
        <v>119</v>
      </c>
      <c r="G158" s="87" cm="1">
        <f t="array" ref="G158">IFERROR(INDEX(Input_ForRateCalc[[F-CurrentVDO_InputDate]:[F-NextVDO_Input]],MATCH(Calc_Losses_1[[#This Row],[Cost item]:[Cost item]]&amp;" - "&amp;Calc_Losses_1[[#Headers],[Ausnet]],Input_ForRateCalc[[Cost item]:[Cost item]],0),MATCH($D$5,Inputs!$H$8:$Q$8,0)),"-")</f>
        <v>0.99914999999999998</v>
      </c>
      <c r="H158" s="87" cm="1">
        <f t="array" ref="H158">IFERROR(INDEX(Input_ForRateCalc[[F-CurrentVDO_InputDate]:[F-NextVDO_Input]],MATCH(Calc_Losses_1[[#This Row],[Cost item]:[Cost item]]&amp;" - "&amp;Calc_Losses_1[[#Headers],[Citipower]],Input_ForRateCalc[[Cost item]:[Cost item]],0),MATCH($D$5,Inputs!$H$8:$Q$8,0)),"-")</f>
        <v>0.99780999999999997</v>
      </c>
      <c r="I158" s="87" cm="1">
        <f t="array" ref="I158">IFERROR(INDEX(Input_ForRateCalc[[F-CurrentVDO_InputDate]:[F-NextVDO_Input]],MATCH(Calc_Losses_1[[#This Row],[Cost item]:[Cost item]]&amp;" - "&amp;Calc_Losses_1[[#Headers],[Jemena]],Input_ForRateCalc[[Cost item]:[Cost item]],0),MATCH($D$5,Inputs!$H$8:$Q$8,0)),"-")</f>
        <v>0.99831111111111126</v>
      </c>
      <c r="J158" s="87" cm="1">
        <f t="array" ref="J158">IFERROR(INDEX(Input_ForRateCalc[[F-CurrentVDO_InputDate]:[F-NextVDO_Input]],MATCH(Calc_Losses_1[[#This Row],[Cost item]:[Cost item]]&amp;" - "&amp;Calc_Losses_1[[#Headers],[Powercor]],Input_ForRateCalc[[Cost item]:[Cost item]],0),MATCH($D$5,Inputs!$H$8:$Q$8,0)),"-")</f>
        <v>0.98904090909090892</v>
      </c>
      <c r="K158" s="87" cm="1">
        <f t="array" ref="K158">IFERROR(INDEX(Input_ForRateCalc[[F-CurrentVDO_InputDate]:[F-NextVDO_Input]],MATCH(Calc_Losses_1[[#This Row],[Cost item]:[Cost item]]&amp;" - "&amp;Calc_Losses_1[[#Headers],[United Energy]],Input_ForRateCalc[[Cost item]:[Cost item]],0),MATCH($D$5,Inputs!$H$8:$Q$8,0)),"-")</f>
        <v>0.99633000000000005</v>
      </c>
    </row>
    <row r="159" spans="3:11" hidden="1" x14ac:dyDescent="0.25">
      <c r="C159" s="24" t="s">
        <v>303</v>
      </c>
      <c r="D159" s="24" t="s">
        <v>11</v>
      </c>
      <c r="E159" s="24" t="s">
        <v>213</v>
      </c>
      <c r="F159" s="24" t="s">
        <v>119</v>
      </c>
      <c r="G159" s="87" cm="1">
        <f t="array" ref="G159">IFERROR(INDEX(Input_ForRateCalc[[F-CurrentVDO_InputDate]:[F-NextVDO_Input]],MATCH(Calc_Losses_1[[#This Row],[Cost item]:[Cost item]]&amp;" - "&amp;Calc_Losses_1[[#Headers],[Ausnet]],Input_ForRateCalc[[Cost item]:[Cost item]],0),MATCH($D$5,Inputs!$H$8:$Q$8,0)),"-")</f>
        <v>1.06795</v>
      </c>
      <c r="H159" s="87" cm="1">
        <f t="array" ref="H159">IFERROR(INDEX(Input_ForRateCalc[[F-CurrentVDO_InputDate]:[F-NextVDO_Input]],MATCH(Calc_Losses_1[[#This Row],[Cost item]:[Cost item]]&amp;" - "&amp;Calc_Losses_1[[#Headers],[Citipower]],Input_ForRateCalc[[Cost item]:[Cost item]],0),MATCH($D$5,Inputs!$H$8:$Q$8,0)),"-")</f>
        <v>1.0508999999999999</v>
      </c>
      <c r="I159" s="87" cm="1">
        <f t="array" ref="I159">IFERROR(INDEX(Input_ForRateCalc[[F-CurrentVDO_InputDate]:[F-NextVDO_Input]],MATCH(Calc_Losses_1[[#This Row],[Cost item]:[Cost item]]&amp;" - "&amp;Calc_Losses_1[[#Headers],[Jemena]],Input_ForRateCalc[[Cost item]:[Cost item]],0),MATCH($D$5,Inputs!$H$8:$Q$8,0)),"-")</f>
        <v>1.0394000000000001</v>
      </c>
      <c r="J159" s="87" cm="1">
        <f t="array" ref="J159">IFERROR(INDEX(Input_ForRateCalc[[F-CurrentVDO_InputDate]:[F-NextVDO_Input]],MATCH(Calc_Losses_1[[#This Row],[Cost item]:[Cost item]]&amp;" - "&amp;Calc_Losses_1[[#Headers],[Powercor]],Input_ForRateCalc[[Cost item]:[Cost item]],0),MATCH($D$5,Inputs!$H$8:$Q$8,0)),"-")</f>
        <v>1.0829499999999999</v>
      </c>
      <c r="K159" s="87" cm="1">
        <f t="array" ref="K159">IFERROR(INDEX(Input_ForRateCalc[[F-CurrentVDO_InputDate]:[F-NextVDO_Input]],MATCH(Calc_Losses_1[[#This Row],[Cost item]:[Cost item]]&amp;" - "&amp;Calc_Losses_1[[#Headers],[United Energy]],Input_ForRateCalc[[Cost item]:[Cost item]],0),MATCH($D$5,Inputs!$H$8:$Q$8,0)),"-")</f>
        <v>1.0563</v>
      </c>
    </row>
    <row r="160" spans="3:11" hidden="1" x14ac:dyDescent="0.25">
      <c r="C160" s="45" t="s">
        <v>304</v>
      </c>
      <c r="D160" s="24" t="s">
        <v>11</v>
      </c>
      <c r="E160" s="45" t="s">
        <v>213</v>
      </c>
      <c r="F160" s="24" t="s">
        <v>119</v>
      </c>
      <c r="G160" s="203">
        <f>(G158*G159)-1</f>
        <v>6.7042242499999904E-2</v>
      </c>
      <c r="H160" s="203">
        <f t="shared" ref="H160:K160" si="43">(H158*H159)-1</f>
        <v>4.8598528999999946E-2</v>
      </c>
      <c r="I160" s="203">
        <f t="shared" si="43"/>
        <v>3.7644568888889118E-2</v>
      </c>
      <c r="J160" s="203">
        <f t="shared" si="43"/>
        <v>7.1081852499999654E-2</v>
      </c>
      <c r="K160" s="203">
        <f t="shared" si="43"/>
        <v>5.2423379000000159E-2</v>
      </c>
    </row>
    <row r="161" spans="1:11" hidden="1" x14ac:dyDescent="0.25">
      <c r="B161"/>
    </row>
    <row r="162" spans="1:11" ht="15.75" hidden="1" collapsed="1" x14ac:dyDescent="0.25">
      <c r="A162" s="1" t="s">
        <v>30</v>
      </c>
      <c r="C162" s="30" t="s">
        <v>212</v>
      </c>
    </row>
    <row r="163" spans="1:11" ht="15.75" hidden="1" x14ac:dyDescent="0.25">
      <c r="C163" s="44" t="s">
        <v>54</v>
      </c>
      <c r="D163" s="44" t="s">
        <v>110</v>
      </c>
      <c r="E163" s="44" t="s">
        <v>111</v>
      </c>
      <c r="F163" s="44" t="s">
        <v>99</v>
      </c>
      <c r="G163" s="61" t="s">
        <v>277</v>
      </c>
      <c r="H163" s="61" t="s">
        <v>278</v>
      </c>
      <c r="I163" s="61" t="s">
        <v>279</v>
      </c>
      <c r="J163" s="61" t="s">
        <v>280</v>
      </c>
      <c r="K163" s="61" t="s">
        <v>281</v>
      </c>
    </row>
    <row r="164" spans="1:11" hidden="1" x14ac:dyDescent="0.25">
      <c r="C164" s="24" t="s">
        <v>212</v>
      </c>
      <c r="D164" s="24" t="s">
        <v>11</v>
      </c>
      <c r="E164" s="24" t="s">
        <v>213</v>
      </c>
      <c r="F164" s="24" t="s">
        <v>119</v>
      </c>
      <c r="G164" s="87" cm="1">
        <f t="array" ref="G164">IFERROR(INDEX(Input_ForRateCalc[[F-CurrentVDO_InputDate]:[F-NextVDO_Input]],MATCH(Calc_ROM_1[[#This Row],[Cost item]:[Cost item]],Input_ForRateCalc[[Cost item]:[Cost item]],0),MATCH($D$5,Inputs!$H$8:$Q$8,0)),"-")</f>
        <v>6.0400000000000002E-2</v>
      </c>
      <c r="H164" s="87" cm="1">
        <f t="array" ref="H164">IFERROR(INDEX(Input_ForRateCalc[[F-CurrentVDO_InputDate]:[F-NextVDO_Input]],MATCH(Calc_ROM_1[[#This Row],[Cost item]:[Cost item]],Input_ForRateCalc[[Cost item]:[Cost item]],0),MATCH($D$5,Inputs!$H$8:$Q$8,0)),"-")</f>
        <v>6.0400000000000002E-2</v>
      </c>
      <c r="I164" s="87" cm="1">
        <f t="array" ref="I164">IFERROR(INDEX(Input_ForRateCalc[[F-CurrentVDO_InputDate]:[F-NextVDO_Input]],MATCH(Calc_ROM_1[[#This Row],[Cost item]:[Cost item]],Input_ForRateCalc[[Cost item]:[Cost item]],0),MATCH($D$5,Inputs!$H$8:$Q$8,0)),"-")</f>
        <v>6.0400000000000002E-2</v>
      </c>
      <c r="J164" s="87" cm="1">
        <f t="array" ref="J164">IFERROR(INDEX(Input_ForRateCalc[[F-CurrentVDO_InputDate]:[F-NextVDO_Input]],MATCH(Calc_ROM_1[[#This Row],[Cost item]:[Cost item]],Input_ForRateCalc[[Cost item]:[Cost item]],0),MATCH($D$5,Inputs!$H$8:$Q$8,0)),"-")</f>
        <v>6.0400000000000002E-2</v>
      </c>
      <c r="K164" s="87" cm="1">
        <f t="array" ref="K164">IFERROR(INDEX(Input_ForRateCalc[[F-CurrentVDO_InputDate]:[F-NextVDO_Input]],MATCH(Calc_ROM_1[[#This Row],[Cost item]:[Cost item]],Input_ForRateCalc[[Cost item]:[Cost item]],0),MATCH($D$5,Inputs!$H$8:$Q$8,0)),"-")</f>
        <v>6.0400000000000002E-2</v>
      </c>
    </row>
    <row r="165" spans="1:11" hidden="1" x14ac:dyDescent="0.25">
      <c r="B165"/>
    </row>
    <row r="166" spans="1:11" hidden="1" x14ac:dyDescent="0.25">
      <c r="C166" s="148"/>
      <c r="D166" s="148"/>
      <c r="E166" s="150"/>
      <c r="F166" s="148"/>
      <c r="G166" s="148"/>
      <c r="H166" s="148"/>
      <c r="I166" s="148"/>
      <c r="J166" s="148"/>
      <c r="K166" s="148"/>
    </row>
    <row r="167" spans="1:11" ht="16.5" hidden="1" thickBot="1" x14ac:dyDescent="0.3">
      <c r="B167" s="9">
        <f ca="1">MAX(B$3:B166)+0.1</f>
        <v>12.299999999999999</v>
      </c>
      <c r="C167" s="29" t="s">
        <v>305</v>
      </c>
      <c r="D167" s="29"/>
      <c r="E167" s="29"/>
      <c r="F167" s="29"/>
      <c r="G167" s="29"/>
      <c r="H167" s="29"/>
      <c r="I167" s="29"/>
      <c r="J167" s="29"/>
      <c r="K167" s="29"/>
    </row>
    <row r="168" spans="1:11" hidden="1" x14ac:dyDescent="0.25"/>
    <row r="169" spans="1:11" ht="15.75" hidden="1" collapsed="1" x14ac:dyDescent="0.25">
      <c r="A169" s="1" t="s">
        <v>30</v>
      </c>
      <c r="C169" s="44" t="s">
        <v>54</v>
      </c>
      <c r="D169" s="44" t="s">
        <v>110</v>
      </c>
      <c r="E169" s="44" t="s">
        <v>111</v>
      </c>
      <c r="F169" s="44" t="s">
        <v>99</v>
      </c>
      <c r="G169" s="61" t="s">
        <v>277</v>
      </c>
      <c r="H169" s="61" t="s">
        <v>278</v>
      </c>
      <c r="I169" s="61" t="s">
        <v>279</v>
      </c>
      <c r="J169" s="61" t="s">
        <v>280</v>
      </c>
      <c r="K169" s="61" t="s">
        <v>281</v>
      </c>
    </row>
    <row r="170" spans="1:11" hidden="1" x14ac:dyDescent="0.25">
      <c r="C170" s="24" t="s">
        <v>301</v>
      </c>
      <c r="D170" s="24" t="s">
        <v>117</v>
      </c>
      <c r="E170" s="24" t="s">
        <v>118</v>
      </c>
      <c r="F170" s="24" t="s">
        <v>119</v>
      </c>
      <c r="G170" s="62" cm="1">
        <f t="array" ref="G170">IFERROR(
IFERROR(INDEX(Calc_CPI_1[[CPI uplift factor]:[CPI uplift factor]],MATCH($C170&amp;" - base",Calc_CPI_1[[Cost item]:[Cost item]],0),1),0)+
INDEX(Input_ForRateCalc[[F-CurrentVDO_InputDate]:[F-NextVDO_Input]],MATCH(Calc_Retail_1[[#This Row],[Cost item]:[Cost item]]&amp;" - base",Input_ForRateCalc[[Cost item]:[Cost item]],0),MATCH($D$5,Inputs!$H$8:$Q$8,0))+
INDEX(Input_ForRateCalc[[F-CurrentVDO_InputDate]:[F-NextVDO_Input]],MATCH(Calc_Retail_1[[#This Row],[Cost item]:[Cost item]]&amp;" - 5 min settlement allowance",Input_ForRateCalc[[Cost item]:[Cost item]],0),MATCH($D$5,Inputs!$H$8:$Q$8,0))+
INDEX(Input_ForRateCalc[[F-CurrentVDO_InputDate]:[F-NextVDO_Input]],MATCH(Calc_Retail_1[[#This Row],[Cost item]:[Cost item]]&amp;" - regulatory cost allowance",Input_ForRateCalc[[Cost item]:[Cost item]],0),MATCH($D$5,Inputs!$H$8:$Q$8,0))+
INDEX(Input_ForRateCalc[[F-CurrentVDO_InputDate]:[F-NextVDO_Input]],MATCH(Calc_Retail_1[[#This Row],[Cost item]:[Cost item]]&amp;" - bad debt allowance",Input_ForRateCalc[[Cost item]:[Cost item]],0),MATCH($D$5,Inputs!$H$8:$Q$8,0)),"-")</f>
        <v>143.29536631887984</v>
      </c>
      <c r="H170" s="62" cm="1">
        <f t="array" ref="H170">IFERROR(
IFERROR(INDEX(Calc_CPI_1[[CPI uplift factor]:[CPI uplift factor]],MATCH($C170&amp;" - base",Calc_CPI_1[[Cost item]:[Cost item]],0),1),0)+
INDEX(Input_ForRateCalc[[F-CurrentVDO_InputDate]:[F-NextVDO_Input]],MATCH(Calc_Retail_1[[#This Row],[Cost item]:[Cost item]]&amp;" - base",Input_ForRateCalc[[Cost item]:[Cost item]],0),MATCH($D$5,Inputs!$H$8:$Q$8,0))+
INDEX(Input_ForRateCalc[[F-CurrentVDO_InputDate]:[F-NextVDO_Input]],MATCH(Calc_Retail_1[[#This Row],[Cost item]:[Cost item]]&amp;" - 5 min settlement allowance",Input_ForRateCalc[[Cost item]:[Cost item]],0),MATCH($D$5,Inputs!$H$8:$Q$8,0))+
INDEX(Input_ForRateCalc[[F-CurrentVDO_InputDate]:[F-NextVDO_Input]],MATCH(Calc_Retail_1[[#This Row],[Cost item]:[Cost item]]&amp;" - regulatory cost allowance",Input_ForRateCalc[[Cost item]:[Cost item]],0),MATCH($D$5,Inputs!$H$8:$Q$8,0))+
INDEX(Input_ForRateCalc[[F-CurrentVDO_InputDate]:[F-NextVDO_Input]],MATCH(Calc_Retail_1[[#This Row],[Cost item]:[Cost item]]&amp;" - bad debt allowance",Input_ForRateCalc[[Cost item]:[Cost item]],0),MATCH($D$5,Inputs!$H$8:$Q$8,0)),"-")</f>
        <v>143.29536631887984</v>
      </c>
      <c r="I170" s="62" cm="1">
        <f t="array" ref="I170">IFERROR(
IFERROR(INDEX(Calc_CPI_1[[CPI uplift factor]:[CPI uplift factor]],MATCH($C170&amp;" - base",Calc_CPI_1[[Cost item]:[Cost item]],0),1),0)+
INDEX(Input_ForRateCalc[[F-CurrentVDO_InputDate]:[F-NextVDO_Input]],MATCH(Calc_Retail_1[[#This Row],[Cost item]:[Cost item]]&amp;" - base",Input_ForRateCalc[[Cost item]:[Cost item]],0),MATCH($D$5,Inputs!$H$8:$Q$8,0))+
INDEX(Input_ForRateCalc[[F-CurrentVDO_InputDate]:[F-NextVDO_Input]],MATCH(Calc_Retail_1[[#This Row],[Cost item]:[Cost item]]&amp;" - 5 min settlement allowance",Input_ForRateCalc[[Cost item]:[Cost item]],0),MATCH($D$5,Inputs!$H$8:$Q$8,0))+
INDEX(Input_ForRateCalc[[F-CurrentVDO_InputDate]:[F-NextVDO_Input]],MATCH(Calc_Retail_1[[#This Row],[Cost item]:[Cost item]]&amp;" - regulatory cost allowance",Input_ForRateCalc[[Cost item]:[Cost item]],0),MATCH($D$5,Inputs!$H$8:$Q$8,0))+
INDEX(Input_ForRateCalc[[F-CurrentVDO_InputDate]:[F-NextVDO_Input]],MATCH(Calc_Retail_1[[#This Row],[Cost item]:[Cost item]]&amp;" - bad debt allowance",Input_ForRateCalc[[Cost item]:[Cost item]],0),MATCH($D$5,Inputs!$H$8:$Q$8,0)),"-")</f>
        <v>143.29536631887984</v>
      </c>
      <c r="J170" s="62" cm="1">
        <f t="array" ref="J170">IFERROR(
IFERROR(INDEX(Calc_CPI_1[[CPI uplift factor]:[CPI uplift factor]],MATCH($C170&amp;" - base",Calc_CPI_1[[Cost item]:[Cost item]],0),1),0)+
INDEX(Input_ForRateCalc[[F-CurrentVDO_InputDate]:[F-NextVDO_Input]],MATCH(Calc_Retail_1[[#This Row],[Cost item]:[Cost item]]&amp;" - base",Input_ForRateCalc[[Cost item]:[Cost item]],0),MATCH($D$5,Inputs!$H$8:$Q$8,0))+
INDEX(Input_ForRateCalc[[F-CurrentVDO_InputDate]:[F-NextVDO_Input]],MATCH(Calc_Retail_1[[#This Row],[Cost item]:[Cost item]]&amp;" - 5 min settlement allowance",Input_ForRateCalc[[Cost item]:[Cost item]],0),MATCH($D$5,Inputs!$H$8:$Q$8,0))+
INDEX(Input_ForRateCalc[[F-CurrentVDO_InputDate]:[F-NextVDO_Input]],MATCH(Calc_Retail_1[[#This Row],[Cost item]:[Cost item]]&amp;" - regulatory cost allowance",Input_ForRateCalc[[Cost item]:[Cost item]],0),MATCH($D$5,Inputs!$H$8:$Q$8,0))+
INDEX(Input_ForRateCalc[[F-CurrentVDO_InputDate]:[F-NextVDO_Input]],MATCH(Calc_Retail_1[[#This Row],[Cost item]:[Cost item]]&amp;" - bad debt allowance",Input_ForRateCalc[[Cost item]:[Cost item]],0),MATCH($D$5,Inputs!$H$8:$Q$8,0)),"-")</f>
        <v>143.29536631887984</v>
      </c>
      <c r="K170" s="62" cm="1">
        <f t="array" ref="K170">IFERROR(
IFERROR(INDEX(Calc_CPI_1[[CPI uplift factor]:[CPI uplift factor]],MATCH($C170&amp;" - base",Calc_CPI_1[[Cost item]:[Cost item]],0),1),0)+
INDEX(Input_ForRateCalc[[F-CurrentVDO_InputDate]:[F-NextVDO_Input]],MATCH(Calc_Retail_1[[#This Row],[Cost item]:[Cost item]]&amp;" - base",Input_ForRateCalc[[Cost item]:[Cost item]],0),MATCH($D$5,Inputs!$H$8:$Q$8,0))+
INDEX(Input_ForRateCalc[[F-CurrentVDO_InputDate]:[F-NextVDO_Input]],MATCH(Calc_Retail_1[[#This Row],[Cost item]:[Cost item]]&amp;" - 5 min settlement allowance",Input_ForRateCalc[[Cost item]:[Cost item]],0),MATCH($D$5,Inputs!$H$8:$Q$8,0))+
INDEX(Input_ForRateCalc[[F-CurrentVDO_InputDate]:[F-NextVDO_Input]],MATCH(Calc_Retail_1[[#This Row],[Cost item]:[Cost item]]&amp;" - regulatory cost allowance",Input_ForRateCalc[[Cost item]:[Cost item]],0),MATCH($D$5,Inputs!$H$8:$Q$8,0))+
INDEX(Input_ForRateCalc[[F-CurrentVDO_InputDate]:[F-NextVDO_Input]],MATCH(Calc_Retail_1[[#This Row],[Cost item]:[Cost item]]&amp;" - bad debt allowance",Input_ForRateCalc[[Cost item]:[Cost item]],0),MATCH($D$5,Inputs!$H$8:$Q$8,0)),"-")</f>
        <v>143.29536631887984</v>
      </c>
    </row>
    <row r="171" spans="1:11" hidden="1" x14ac:dyDescent="0.25">
      <c r="C171" s="45" t="s">
        <v>123</v>
      </c>
      <c r="D171" s="45" t="s">
        <v>117</v>
      </c>
      <c r="E171" s="24" t="s">
        <v>118</v>
      </c>
      <c r="F171" s="24" t="s">
        <v>119</v>
      </c>
      <c r="G171" s="62" cm="1">
        <f t="array" ref="G171">IFERROR(
IFERROR(INDEX(Calc_CPI_1[[CPI uplift factor]:[CPI uplift factor]],MATCH($C171,Calc_CPI_1[[Cost item]:[Cost item]],0),1),0)+
INDEX(Input_ForRateCalc[[F-CurrentVDO_InputDate]:[F-NextVDO_Input]],MATCH(Calc_Retail_1[[#This Row],[Cost item]:[Cost item]],Input_ForRateCalc[[Cost item]:[Cost item]],0),MATCH($D$5,Inputs!$H$8:$Q$8,0)),"-")</f>
        <v>38.463414634146346</v>
      </c>
      <c r="H171" s="62" cm="1">
        <f t="array" ref="H171">IFERROR(
IFERROR(INDEX(Calc_CPI_1[[CPI uplift factor]:[CPI uplift factor]],MATCH($C171,Calc_CPI_1[[Cost item]:[Cost item]],0),1),0)+
INDEX(Input_ForRateCalc[[F-CurrentVDO_InputDate]:[F-NextVDO_Input]],MATCH(Calc_Retail_1[[#This Row],[Cost item]:[Cost item]],Input_ForRateCalc[[Cost item]:[Cost item]],0),MATCH($D$5,Inputs!$H$8:$Q$8,0)),"-")</f>
        <v>38.463414634146346</v>
      </c>
      <c r="I171" s="62" cm="1">
        <f t="array" ref="I171">IFERROR(
IFERROR(INDEX(Calc_CPI_1[[CPI uplift factor]:[CPI uplift factor]],MATCH($C171,Calc_CPI_1[[Cost item]:[Cost item]],0),1),0)+
INDEX(Input_ForRateCalc[[F-CurrentVDO_InputDate]:[F-NextVDO_Input]],MATCH(Calc_Retail_1[[#This Row],[Cost item]:[Cost item]],Input_ForRateCalc[[Cost item]:[Cost item]],0),MATCH($D$5,Inputs!$H$8:$Q$8,0)),"-")</f>
        <v>38.463414634146346</v>
      </c>
      <c r="J171" s="62" cm="1">
        <f t="array" ref="J171">IFERROR(
IFERROR(INDEX(Calc_CPI_1[[CPI uplift factor]:[CPI uplift factor]],MATCH($C171,Calc_CPI_1[[Cost item]:[Cost item]],0),1),0)+
INDEX(Input_ForRateCalc[[F-CurrentVDO_InputDate]:[F-NextVDO_Input]],MATCH(Calc_Retail_1[[#This Row],[Cost item]:[Cost item]],Input_ForRateCalc[[Cost item]:[Cost item]],0),MATCH($D$5,Inputs!$H$8:$Q$8,0)),"-")</f>
        <v>38.463414634146346</v>
      </c>
      <c r="K171" s="62" cm="1">
        <f t="array" ref="K171">IFERROR(
IFERROR(INDEX(Calc_CPI_1[[CPI uplift factor]:[CPI uplift factor]],MATCH($C171,Calc_CPI_1[[Cost item]:[Cost item]],0),1),0)+
INDEX(Input_ForRateCalc[[F-CurrentVDO_InputDate]:[F-NextVDO_Input]],MATCH(Calc_Retail_1[[#This Row],[Cost item]:[Cost item]],Input_ForRateCalc[[Cost item]:[Cost item]],0),MATCH($D$5,Inputs!$H$8:$Q$8,0)),"-")</f>
        <v>38.463414634146346</v>
      </c>
    </row>
    <row r="172" spans="1:11" hidden="1" x14ac:dyDescent="0.25"/>
    <row r="173" spans="1:11" ht="16.5" hidden="1" thickBot="1" x14ac:dyDescent="0.3">
      <c r="B173" s="9">
        <f ca="1">MAX(B$3:B172)+0.1</f>
        <v>12.399999999999999</v>
      </c>
      <c r="C173" s="29" t="s">
        <v>282</v>
      </c>
      <c r="D173" s="29"/>
      <c r="E173" s="29"/>
      <c r="F173" s="29"/>
      <c r="G173" s="29"/>
      <c r="H173" s="29"/>
      <c r="I173" s="29"/>
      <c r="J173" s="29"/>
      <c r="K173" s="29"/>
    </row>
    <row r="174" spans="1:11" hidden="1" x14ac:dyDescent="0.25"/>
    <row r="175" spans="1:11" ht="15.75" hidden="1" x14ac:dyDescent="0.25">
      <c r="C175" s="44" t="s">
        <v>54</v>
      </c>
      <c r="D175" s="44" t="s">
        <v>110</v>
      </c>
      <c r="E175" s="44" t="s">
        <v>111</v>
      </c>
      <c r="F175" s="44" t="s">
        <v>99</v>
      </c>
      <c r="G175" s="61" t="s">
        <v>277</v>
      </c>
      <c r="H175" s="61" t="s">
        <v>278</v>
      </c>
      <c r="I175" s="61" t="s">
        <v>279</v>
      </c>
      <c r="J175" s="61" t="s">
        <v>280</v>
      </c>
      <c r="K175" s="61" t="s">
        <v>281</v>
      </c>
    </row>
    <row r="176" spans="1:11" hidden="1" x14ac:dyDescent="0.25">
      <c r="C176" s="24" t="s">
        <v>126</v>
      </c>
      <c r="D176" s="24" t="s">
        <v>117</v>
      </c>
      <c r="E176" s="24" t="s">
        <v>118</v>
      </c>
      <c r="F176" s="24" t="s">
        <v>119</v>
      </c>
      <c r="G176" s="62" cm="1">
        <f t="array" ref="G176">IFERROR(
IF(Calc_OtherCosts_1[[#This Row],[Fixed/Variable]:[Fixed/Variable]]="Fixed",
(IFERROR(INDEX(Calc_CPI_1[[CPI uplift factor]:[CPI uplift factor]],MATCH($C176,Calc_CPI_1[[Cost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factor]],MATCH($C176,Calc_CPI_1[[Cost item]:[Cost item]],0),1),0)+
INDEX(Input_ForRateCalc[[F-CurrentVDO_InputDate]:[F-NextVDO_Input]],MATCH(Calc_OtherCosts_1[[#This Row],[Cost item]:[Cost item]],Input_ForRateCalc[[Cost item]:[Cost item]],0),MATCH($D$5,Inputs!$H$8:$Q$8,0)))/1000),"-")</f>
        <v>1.6939335514995686</v>
      </c>
      <c r="H176" s="62" cm="1">
        <f t="array" ref="H176">IFERROR(
IF(Calc_OtherCosts_1[[#This Row],[Fixed/Variable]:[Fixed/Variable]]="Fixed",
(IFERROR(INDEX(Calc_CPI_1[[CPI uplift factor]:[CPI uplift factor]],MATCH($C176,Calc_CPI_1[[Cost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factor]],MATCH($C176,Calc_CPI_1[[Cost item]:[Cost item]],0),1),0)+
INDEX(Input_ForRateCalc[[F-CurrentVDO_InputDate]:[F-NextVDO_Input]],MATCH(Calc_OtherCosts_1[[#This Row],[Cost item]:[Cost item]],Input_ForRateCalc[[Cost item]:[Cost item]],0),MATCH($D$5,Inputs!$H$8:$Q$8,0)))/1000),"-")</f>
        <v>1.6939335514995686</v>
      </c>
      <c r="I176" s="62" cm="1">
        <f t="array" ref="I176">IFERROR(
IF(Calc_OtherCosts_1[[#This Row],[Fixed/Variable]:[Fixed/Variable]]="Fixed",
(IFERROR(INDEX(Calc_CPI_1[[CPI uplift factor]:[CPI uplift factor]],MATCH($C176,Calc_CPI_1[[Cost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factor]],MATCH($C176,Calc_CPI_1[[Cost item]:[Cost item]],0),1),0)+
INDEX(Input_ForRateCalc[[F-CurrentVDO_InputDate]:[F-NextVDO_Input]],MATCH(Calc_OtherCosts_1[[#This Row],[Cost item]:[Cost item]],Input_ForRateCalc[[Cost item]:[Cost item]],0),MATCH($D$5,Inputs!$H$8:$Q$8,0)))/1000),"-")</f>
        <v>1.6939335514995686</v>
      </c>
      <c r="J176" s="62" cm="1">
        <f t="array" ref="J176">IFERROR(
IF(Calc_OtherCosts_1[[#This Row],[Fixed/Variable]:[Fixed/Variable]]="Fixed",
(IFERROR(INDEX(Calc_CPI_1[[CPI uplift factor]:[CPI uplift factor]],MATCH($C176,Calc_CPI_1[[Cost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factor]],MATCH($C176,Calc_CPI_1[[Cost item]:[Cost item]],0),1),0)+
INDEX(Input_ForRateCalc[[F-CurrentVDO_InputDate]:[F-NextVDO_Input]],MATCH(Calc_OtherCosts_1[[#This Row],[Cost item]:[Cost item]],Input_ForRateCalc[[Cost item]:[Cost item]],0),MATCH($D$5,Inputs!$H$8:$Q$8,0)))/1000),"-")</f>
        <v>1.6939335514995686</v>
      </c>
      <c r="K176" s="62" cm="1">
        <f t="array" ref="K176">IFERROR(
IF(Calc_OtherCosts_1[[#This Row],[Fixed/Variable]:[Fixed/Variable]]="Fixed",
(IFERROR(INDEX(Calc_CPI_1[[CPI uplift factor]:[CPI uplift factor]],MATCH($C176,Calc_CPI_1[[Cost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factor]],MATCH($C176,Calc_CPI_1[[Cost item]:[Cost item]],0),1),0)+
INDEX(Input_ForRateCalc[[F-CurrentVDO_InputDate]:[F-NextVDO_Input]],MATCH(Calc_OtherCosts_1[[#This Row],[Cost item]:[Cost item]],Input_ForRateCalc[[Cost item]:[Cost item]],0),MATCH($D$5,Inputs!$H$8:$Q$8,0)))/1000),"-")</f>
        <v>1.6939335514995686</v>
      </c>
    </row>
    <row r="177" spans="1:11" hidden="1" x14ac:dyDescent="0.25">
      <c r="C177" s="24" t="s">
        <v>127</v>
      </c>
      <c r="D177" s="24" t="s">
        <v>117</v>
      </c>
      <c r="E177" s="24" t="s">
        <v>118</v>
      </c>
      <c r="F177" s="24" t="s">
        <v>119</v>
      </c>
      <c r="G177" s="62" cm="1">
        <f t="array" ref="G177">IFERROR(
IF(Calc_OtherCosts_1[[#This Row],[Fixed/Variable]:[Fixed/Variable]]="Fixed",
(IFERROR(INDEX(Calc_CPI_1[[CPI uplift factor]:[CPI uplift factor]],MATCH($C177,Calc_CPI_1[[Cost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factor]],MATCH($C177,Calc_CPI_1[[Cost item]:[Cost item]],0),1),0)+
INDEX(Input_ForRateCalc[[F-CurrentVDO_InputDate]:[F-NextVDO_Input]],MATCH(Calc_OtherCosts_1[[#This Row],[Cost item]:[Cost item]],Input_ForRateCalc[[Cost item]:[Cost item]],0),MATCH($D$5,Inputs!$H$8:$Q$8,0)))/1000),"-")</f>
        <v>2.46</v>
      </c>
      <c r="H177" s="62" cm="1">
        <f t="array" ref="H177">IFERROR(
IF(Calc_OtherCosts_1[[#This Row],[Fixed/Variable]:[Fixed/Variable]]="Fixed",
(IFERROR(INDEX(Calc_CPI_1[[CPI uplift factor]:[CPI uplift factor]],MATCH($C177,Calc_CPI_1[[Cost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factor]],MATCH($C177,Calc_CPI_1[[Cost item]:[Cost item]],0),1),0)+
INDEX(Input_ForRateCalc[[F-CurrentVDO_InputDate]:[F-NextVDO_Input]],MATCH(Calc_OtherCosts_1[[#This Row],[Cost item]:[Cost item]],Input_ForRateCalc[[Cost item]:[Cost item]],0),MATCH($D$5,Inputs!$H$8:$Q$8,0)))/1000),"-")</f>
        <v>2.46</v>
      </c>
      <c r="I177" s="62" cm="1">
        <f t="array" ref="I177">IFERROR(
IF(Calc_OtherCosts_1[[#This Row],[Fixed/Variable]:[Fixed/Variable]]="Fixed",
(IFERROR(INDEX(Calc_CPI_1[[CPI uplift factor]:[CPI uplift factor]],MATCH($C177,Calc_CPI_1[[Cost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factor]],MATCH($C177,Calc_CPI_1[[Cost item]:[Cost item]],0),1),0)+
INDEX(Input_ForRateCalc[[F-CurrentVDO_InputDate]:[F-NextVDO_Input]],MATCH(Calc_OtherCosts_1[[#This Row],[Cost item]:[Cost item]],Input_ForRateCalc[[Cost item]:[Cost item]],0),MATCH($D$5,Inputs!$H$8:$Q$8,0)))/1000),"-")</f>
        <v>2.46</v>
      </c>
      <c r="J177" s="62" cm="1">
        <f t="array" ref="J177">IFERROR(
IF(Calc_OtherCosts_1[[#This Row],[Fixed/Variable]:[Fixed/Variable]]="Fixed",
(IFERROR(INDEX(Calc_CPI_1[[CPI uplift factor]:[CPI uplift factor]],MATCH($C177,Calc_CPI_1[[Cost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factor]],MATCH($C177,Calc_CPI_1[[Cost item]:[Cost item]],0),1),0)+
INDEX(Input_ForRateCalc[[F-CurrentVDO_InputDate]:[F-NextVDO_Input]],MATCH(Calc_OtherCosts_1[[#This Row],[Cost item]:[Cost item]],Input_ForRateCalc[[Cost item]:[Cost item]],0),MATCH($D$5,Inputs!$H$8:$Q$8,0)))/1000),"-")</f>
        <v>2.46</v>
      </c>
      <c r="K177" s="62" cm="1">
        <f t="array" ref="K177">IFERROR(
IF(Calc_OtherCosts_1[[#This Row],[Fixed/Variable]:[Fixed/Variable]]="Fixed",
(IFERROR(INDEX(Calc_CPI_1[[CPI uplift factor]:[CPI uplift factor]],MATCH($C177,Calc_CPI_1[[Cost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factor]],MATCH($C177,Calc_CPI_1[[Cost item]:[Cost item]],0),1),0)+
INDEX(Input_ForRateCalc[[F-CurrentVDO_InputDate]:[F-NextVDO_Input]],MATCH(Calc_OtherCosts_1[[#This Row],[Cost item]:[Cost item]],Input_ForRateCalc[[Cost item]:[Cost item]],0),MATCH($D$5,Inputs!$H$8:$Q$8,0)))/1000),"-")</f>
        <v>2.46</v>
      </c>
    </row>
    <row r="178" spans="1:11" hidden="1" x14ac:dyDescent="0.25">
      <c r="C178" s="60" t="s">
        <v>633</v>
      </c>
      <c r="D178" s="24" t="s">
        <v>117</v>
      </c>
      <c r="E178" s="24" t="s">
        <v>128</v>
      </c>
      <c r="F178" s="24" t="s">
        <v>119</v>
      </c>
      <c r="G178" s="62" cm="1">
        <f t="array" ref="G178">IFERROR(
IF(Calc_OtherCosts_1[[#This Row],[Fixed/Variable]:[Fixed/Variable]]="Fixed",
(IFERROR(INDEX(Calc_CPI_1[[CPI uplift factor]:[CPI uplift factor]],MATCH($C178,Calc_CPI_1[[Cost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factor]],MATCH($C178,Calc_CPI_1[[Cost item]:[Cost item]],0),1),0)+
INDEX(Input_ForRateCalc[[F-CurrentVDO_InputDate]:[F-NextVDO_Input]],MATCH(Calc_OtherCosts_1[[#This Row],[Cost item]:[Cost item]],Input_ForRateCalc[[Cost item]:[Cost item]],0),MATCH($D$5,Inputs!$H$8:$Q$8,0)))/1000),"-")</f>
        <v>0.62589545454545448</v>
      </c>
      <c r="H178" s="62" cm="1">
        <f t="array" ref="H178">IFERROR(
IF(Calc_OtherCosts_1[[#This Row],[Fixed/Variable]:[Fixed/Variable]]="Fixed",
(IFERROR(INDEX(Calc_CPI_1[[CPI uplift factor]:[CPI uplift factor]],MATCH($C178,Calc_CPI_1[[Cost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factor]],MATCH($C178,Calc_CPI_1[[Cost item]:[Cost item]],0),1),0)+
INDEX(Input_ForRateCalc[[F-CurrentVDO_InputDate]:[F-NextVDO_Input]],MATCH(Calc_OtherCosts_1[[#This Row],[Cost item]:[Cost item]],Input_ForRateCalc[[Cost item]:[Cost item]],0),MATCH($D$5,Inputs!$H$8:$Q$8,0)))/1000),"-")</f>
        <v>0.62589545454545448</v>
      </c>
      <c r="I178" s="62" cm="1">
        <f t="array" ref="I178">IFERROR(
IF(Calc_OtherCosts_1[[#This Row],[Fixed/Variable]:[Fixed/Variable]]="Fixed",
(IFERROR(INDEX(Calc_CPI_1[[CPI uplift factor]:[CPI uplift factor]],MATCH($C178,Calc_CPI_1[[Cost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factor]],MATCH($C178,Calc_CPI_1[[Cost item]:[Cost item]],0),1),0)+
INDEX(Input_ForRateCalc[[F-CurrentVDO_InputDate]:[F-NextVDO_Input]],MATCH(Calc_OtherCosts_1[[#This Row],[Cost item]:[Cost item]],Input_ForRateCalc[[Cost item]:[Cost item]],0),MATCH($D$5,Inputs!$H$8:$Q$8,0)))/1000),"-")</f>
        <v>0.62589545454545448</v>
      </c>
      <c r="J178" s="62" cm="1">
        <f t="array" ref="J178">IFERROR(
IF(Calc_OtherCosts_1[[#This Row],[Fixed/Variable]:[Fixed/Variable]]="Fixed",
(IFERROR(INDEX(Calc_CPI_1[[CPI uplift factor]:[CPI uplift factor]],MATCH($C178,Calc_CPI_1[[Cost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factor]],MATCH($C178,Calc_CPI_1[[Cost item]:[Cost item]],0),1),0)+
INDEX(Input_ForRateCalc[[F-CurrentVDO_InputDate]:[F-NextVDO_Input]],MATCH(Calc_OtherCosts_1[[#This Row],[Cost item]:[Cost item]],Input_ForRateCalc[[Cost item]:[Cost item]],0),MATCH($D$5,Inputs!$H$8:$Q$8,0)))/1000),"-")</f>
        <v>0.62589545454545448</v>
      </c>
      <c r="K178" s="62" cm="1">
        <f t="array" ref="K178">IFERROR(
IF(Calc_OtherCosts_1[[#This Row],[Fixed/Variable]:[Fixed/Variable]]="Fixed",
(IFERROR(INDEX(Calc_CPI_1[[CPI uplift factor]:[CPI uplift factor]],MATCH($C178,Calc_CPI_1[[Cost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factor]],MATCH($C178,Calc_CPI_1[[Cost item]:[Cost item]],0),1),0)+
INDEX(Input_ForRateCalc[[F-CurrentVDO_InputDate]:[F-NextVDO_Input]],MATCH(Calc_OtherCosts_1[[#This Row],[Cost item]:[Cost item]],Input_ForRateCalc[[Cost item]:[Cost item]],0),MATCH($D$5,Inputs!$H$8:$Q$8,0)))/1000),"-")</f>
        <v>0.62589545454545448</v>
      </c>
    </row>
    <row r="179" spans="1:11" hidden="1" x14ac:dyDescent="0.25">
      <c r="C179" s="24" t="s">
        <v>129</v>
      </c>
      <c r="D179" s="24" t="s">
        <v>117</v>
      </c>
      <c r="E179" s="24" t="s">
        <v>128</v>
      </c>
      <c r="F179" s="24" t="s">
        <v>119</v>
      </c>
      <c r="G179" s="62" cm="1">
        <f t="array" ref="G179">IFERROR(
IF(Calc_OtherCosts_1[[#This Row],[Fixed/Variable]:[Fixed/Variable]]="Fixed",
(IFERROR(INDEX(Calc_CPI_1[[CPI uplift factor]:[CPI uplift factor]],MATCH($C179,Calc_CPI_1[[Cost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factor]],MATCH($C179,Calc_CPI_1[[Cost item]:[Cost item]],0),1),0)+
INDEX(Input_ForRateCalc[[F-CurrentVDO_InputDate]:[F-NextVDO_Input]],MATCH(Calc_OtherCosts_1[[#This Row],[Cost item]:[Cost item]],Input_ForRateCalc[[Cost item]:[Cost item]],0),MATCH($D$5,Inputs!$H$8:$Q$8,0)))/1000),"-")</f>
        <v>1.3468636363636362</v>
      </c>
      <c r="H179" s="62" cm="1">
        <f t="array" ref="H179">IFERROR(
IF(Calc_OtherCosts_1[[#This Row],[Fixed/Variable]:[Fixed/Variable]]="Fixed",
(IFERROR(INDEX(Calc_CPI_1[[CPI uplift factor]:[CPI uplift factor]],MATCH($C179,Calc_CPI_1[[Cost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factor]],MATCH($C179,Calc_CPI_1[[Cost item]:[Cost item]],0),1),0)+
INDEX(Input_ForRateCalc[[F-CurrentVDO_InputDate]:[F-NextVDO_Input]],MATCH(Calc_OtherCosts_1[[#This Row],[Cost item]:[Cost item]],Input_ForRateCalc[[Cost item]:[Cost item]],0),MATCH($D$5,Inputs!$H$8:$Q$8,0)))/1000),"-")</f>
        <v>1.3468636363636362</v>
      </c>
      <c r="I179" s="62" cm="1">
        <f t="array" ref="I179">IFERROR(
IF(Calc_OtherCosts_1[[#This Row],[Fixed/Variable]:[Fixed/Variable]]="Fixed",
(IFERROR(INDEX(Calc_CPI_1[[CPI uplift factor]:[CPI uplift factor]],MATCH($C179,Calc_CPI_1[[Cost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factor]],MATCH($C179,Calc_CPI_1[[Cost item]:[Cost item]],0),1),0)+
INDEX(Input_ForRateCalc[[F-CurrentVDO_InputDate]:[F-NextVDO_Input]],MATCH(Calc_OtherCosts_1[[#This Row],[Cost item]:[Cost item]],Input_ForRateCalc[[Cost item]:[Cost item]],0),MATCH($D$5,Inputs!$H$8:$Q$8,0)))/1000),"-")</f>
        <v>1.3468636363636362</v>
      </c>
      <c r="J179" s="62" cm="1">
        <f t="array" ref="J179">IFERROR(
IF(Calc_OtherCosts_1[[#This Row],[Fixed/Variable]:[Fixed/Variable]]="Fixed",
(IFERROR(INDEX(Calc_CPI_1[[CPI uplift factor]:[CPI uplift factor]],MATCH($C179,Calc_CPI_1[[Cost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factor]],MATCH($C179,Calc_CPI_1[[Cost item]:[Cost item]],0),1),0)+
INDEX(Input_ForRateCalc[[F-CurrentVDO_InputDate]:[F-NextVDO_Input]],MATCH(Calc_OtherCosts_1[[#This Row],[Cost item]:[Cost item]],Input_ForRateCalc[[Cost item]:[Cost item]],0),MATCH($D$5,Inputs!$H$8:$Q$8,0)))/1000),"-")</f>
        <v>1.3468636363636362</v>
      </c>
      <c r="K179" s="62" cm="1">
        <f t="array" ref="K179">IFERROR(
IF(Calc_OtherCosts_1[[#This Row],[Fixed/Variable]:[Fixed/Variable]]="Fixed",
(IFERROR(INDEX(Calc_CPI_1[[CPI uplift factor]:[CPI uplift factor]],MATCH($C179,Calc_CPI_1[[Cost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factor]],MATCH($C179,Calc_CPI_1[[Cost item]:[Cost item]],0),1),0)+
INDEX(Input_ForRateCalc[[F-CurrentVDO_InputDate]:[F-NextVDO_Input]],MATCH(Calc_OtherCosts_1[[#This Row],[Cost item]:[Cost item]],Input_ForRateCalc[[Cost item]:[Cost item]],0),MATCH($D$5,Inputs!$H$8:$Q$8,0)))/1000),"-")</f>
        <v>1.3468636363636362</v>
      </c>
    </row>
    <row r="180" spans="1:11" ht="15.75" hidden="1" collapsed="1" x14ac:dyDescent="0.25">
      <c r="A180" s="1" t="s">
        <v>30</v>
      </c>
      <c r="C180" s="24" t="s">
        <v>169</v>
      </c>
      <c r="D180" s="24" t="s">
        <v>139</v>
      </c>
      <c r="E180" s="24" t="s">
        <v>291</v>
      </c>
      <c r="F180" s="24" t="s">
        <v>119</v>
      </c>
      <c r="G180" s="62" cm="1">
        <f t="array" ref="G180">IFERROR(
IF(Calc_OtherCosts_1[[#This Row],[Fixed/Variable]:[Fixed/Variable]]="Fixed",
(IFERROR(INDEX(Calc_CPI_1[[CPI uplift factor]:[CPI uplift factor]],MATCH($C180,Calc_CPI_1[[Cost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factor]],MATCH($C180,Calc_CPI_1[[Cost item]:[Cost item]],0),1),0)+
INDEX(Input_ForRateCalc[[F-CurrentVDO_InputDate]:[F-NextVDO_Input]],MATCH(Calc_OtherCosts_1[[#This Row],[Cost item]:[Cost item]],Input_ForRateCalc[[Cost item]:[Cost item]],0),MATCH($D$5,Inputs!$H$8:$Q$8,0)))/1000),"-")</f>
        <v>3.7379020979020976E-4</v>
      </c>
      <c r="H180" s="62" cm="1">
        <f t="array" ref="H180">IFERROR(
IF(Calc_OtherCosts_1[[#This Row],[Fixed/Variable]:[Fixed/Variable]]="Fixed",
(IFERROR(INDEX(Calc_CPI_1[[CPI uplift factor]:[CPI uplift factor]],MATCH($C180,Calc_CPI_1[[Cost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factor]],MATCH($C180,Calc_CPI_1[[Cost item]:[Cost item]],0),1),0)+
INDEX(Input_ForRateCalc[[F-CurrentVDO_InputDate]:[F-NextVDO_Input]],MATCH(Calc_OtherCosts_1[[#This Row],[Cost item]:[Cost item]],Input_ForRateCalc[[Cost item]:[Cost item]],0),MATCH($D$5,Inputs!$H$8:$Q$8,0)))/1000),"-")</f>
        <v>3.7379020979020976E-4</v>
      </c>
      <c r="I180" s="62" cm="1">
        <f t="array" ref="I180">IFERROR(
IF(Calc_OtherCosts_1[[#This Row],[Fixed/Variable]:[Fixed/Variable]]="Fixed",
(IFERROR(INDEX(Calc_CPI_1[[CPI uplift factor]:[CPI uplift factor]],MATCH($C180,Calc_CPI_1[[Cost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factor]],MATCH($C180,Calc_CPI_1[[Cost item]:[Cost item]],0),1),0)+
INDEX(Input_ForRateCalc[[F-CurrentVDO_InputDate]:[F-NextVDO_Input]],MATCH(Calc_OtherCosts_1[[#This Row],[Cost item]:[Cost item]],Input_ForRateCalc[[Cost item]:[Cost item]],0),MATCH($D$5,Inputs!$H$8:$Q$8,0)))/1000),"-")</f>
        <v>3.7379020979020976E-4</v>
      </c>
      <c r="J180" s="62" cm="1">
        <f t="array" ref="J180">IFERROR(
IF(Calc_OtherCosts_1[[#This Row],[Fixed/Variable]:[Fixed/Variable]]="Fixed",
(IFERROR(INDEX(Calc_CPI_1[[CPI uplift factor]:[CPI uplift factor]],MATCH($C180,Calc_CPI_1[[Cost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factor]],MATCH($C180,Calc_CPI_1[[Cost item]:[Cost item]],0),1),0)+
INDEX(Input_ForRateCalc[[F-CurrentVDO_InputDate]:[F-NextVDO_Input]],MATCH(Calc_OtherCosts_1[[#This Row],[Cost item]:[Cost item]],Input_ForRateCalc[[Cost item]:[Cost item]],0),MATCH($D$5,Inputs!$H$8:$Q$8,0)))/1000),"-")</f>
        <v>3.7379020979020976E-4</v>
      </c>
      <c r="K180" s="62" cm="1">
        <f t="array" ref="K180">IFERROR(
IF(Calc_OtherCosts_1[[#This Row],[Fixed/Variable]:[Fixed/Variable]]="Fixed",
(IFERROR(INDEX(Calc_CPI_1[[CPI uplift factor]:[CPI uplift factor]],MATCH($C180,Calc_CPI_1[[Cost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factor]],MATCH($C180,Calc_CPI_1[[Cost item]:[Cost item]],0),1),0)+
INDEX(Input_ForRateCalc[[F-CurrentVDO_InputDate]:[F-NextVDO_Input]],MATCH(Calc_OtherCosts_1[[#This Row],[Cost item]:[Cost item]],Input_ForRateCalc[[Cost item]:[Cost item]],0),MATCH($D$5,Inputs!$H$8:$Q$8,0)))/1000),"-")</f>
        <v>3.7379020979020976E-4</v>
      </c>
    </row>
    <row r="181" spans="1:11" hidden="1" x14ac:dyDescent="0.25">
      <c r="C181" s="24" t="s">
        <v>171</v>
      </c>
      <c r="D181" s="24" t="s">
        <v>139</v>
      </c>
      <c r="E181" s="24" t="s">
        <v>291</v>
      </c>
      <c r="F181" s="24" t="s">
        <v>119</v>
      </c>
      <c r="G181" s="62" cm="1">
        <f t="array" ref="G181">IFERROR(
IF(Calc_OtherCosts_1[[#This Row],[Fixed/Variable]:[Fixed/Variable]]="Fixed",
(IFERROR(INDEX(Calc_CPI_1[[CPI uplift factor]:[CPI uplift factor]],MATCH($C181,Calc_CPI_1[[Cost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factor]],MATCH($C181,Calc_CPI_1[[Cost item]:[Cost item]],0),1),0)+
INDEX(Input_ForRateCalc[[F-CurrentVDO_InputDate]:[F-NextVDO_Input]],MATCH(Calc_OtherCosts_1[[#This Row],[Cost item]:[Cost item]],Input_ForRateCalc[[Cost item]:[Cost item]],0),MATCH($D$5,Inputs!$H$8:$Q$8,0)))/1000),"-")</f>
        <v>0</v>
      </c>
      <c r="H181" s="62" cm="1">
        <f t="array" ref="H181">IFERROR(
IF(Calc_OtherCosts_1[[#This Row],[Fixed/Variable]:[Fixed/Variable]]="Fixed",
(IFERROR(INDEX(Calc_CPI_1[[CPI uplift factor]:[CPI uplift factor]],MATCH($C181,Calc_CPI_1[[Cost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factor]],MATCH($C181,Calc_CPI_1[[Cost item]:[Cost item]],0),1),0)+
INDEX(Input_ForRateCalc[[F-CurrentVDO_InputDate]:[F-NextVDO_Input]],MATCH(Calc_OtherCosts_1[[#This Row],[Cost item]:[Cost item]],Input_ForRateCalc[[Cost item]:[Cost item]],0),MATCH($D$5,Inputs!$H$8:$Q$8,0)))/1000),"-")</f>
        <v>0</v>
      </c>
      <c r="I181" s="62" cm="1">
        <f t="array" ref="I181">IFERROR(
IF(Calc_OtherCosts_1[[#This Row],[Fixed/Variable]:[Fixed/Variable]]="Fixed",
(IFERROR(INDEX(Calc_CPI_1[[CPI uplift factor]:[CPI uplift factor]],MATCH($C181,Calc_CPI_1[[Cost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factor]],MATCH($C181,Calc_CPI_1[[Cost item]:[Cost item]],0),1),0)+
INDEX(Input_ForRateCalc[[F-CurrentVDO_InputDate]:[F-NextVDO_Input]],MATCH(Calc_OtherCosts_1[[#This Row],[Cost item]:[Cost item]],Input_ForRateCalc[[Cost item]:[Cost item]],0),MATCH($D$5,Inputs!$H$8:$Q$8,0)))/1000),"-")</f>
        <v>0</v>
      </c>
      <c r="J181" s="62" cm="1">
        <f t="array" ref="J181">IFERROR(
IF(Calc_OtherCosts_1[[#This Row],[Fixed/Variable]:[Fixed/Variable]]="Fixed",
(IFERROR(INDEX(Calc_CPI_1[[CPI uplift factor]:[CPI uplift factor]],MATCH($C181,Calc_CPI_1[[Cost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factor]],MATCH($C181,Calc_CPI_1[[Cost item]:[Cost item]],0),1),0)+
INDEX(Input_ForRateCalc[[F-CurrentVDO_InputDate]:[F-NextVDO_Input]],MATCH(Calc_OtherCosts_1[[#This Row],[Cost item]:[Cost item]],Input_ForRateCalc[[Cost item]:[Cost item]],0),MATCH($D$5,Inputs!$H$8:$Q$8,0)))/1000),"-")</f>
        <v>0</v>
      </c>
      <c r="K181" s="62" cm="1">
        <f t="array" ref="K181">IFERROR(
IF(Calc_OtherCosts_1[[#This Row],[Fixed/Variable]:[Fixed/Variable]]="Fixed",
(IFERROR(INDEX(Calc_CPI_1[[CPI uplift factor]:[CPI uplift factor]],MATCH($C181,Calc_CPI_1[[Cost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factor]],MATCH($C181,Calc_CPI_1[[Cost item]:[Cost item]],0),1),0)+
INDEX(Input_ForRateCalc[[F-CurrentVDO_InputDate]:[F-NextVDO_Input]],MATCH(Calc_OtherCosts_1[[#This Row],[Cost item]:[Cost item]],Input_ForRateCalc[[Cost item]:[Cost item]],0),MATCH($D$5,Inputs!$H$8:$Q$8,0)))/1000),"-")</f>
        <v>0</v>
      </c>
    </row>
    <row r="182" spans="1:11" hidden="1" x14ac:dyDescent="0.25">
      <c r="C182" s="24" t="s">
        <v>660</v>
      </c>
      <c r="D182" s="24" t="s">
        <v>139</v>
      </c>
      <c r="E182" s="24" t="s">
        <v>291</v>
      </c>
      <c r="F182" s="24" t="s">
        <v>119</v>
      </c>
      <c r="G182" s="62" t="str" cm="1">
        <f t="array" ref="G182">IFERROR(
IF(Calc_OtherCosts_1[[#This Row],[Fixed/Variable]:[Fixed/Variable]]="Fixed",
(IFERROR(INDEX(Calc_CPI_1[[CPI uplift factor]:[CPI uplift factor]],MATCH($C182,Calc_CPI_1[[Cost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factor]],MATCH($C182,Calc_CPI_1[[Cost item]:[Cost item]],0),1),0)+
INDEX(Input_ForRateCalc[[F-CurrentVDO_InputDate]:[F-NextVDO_Input]],MATCH(Calc_OtherCosts_1[[#This Row],[Cost item]:[Cost item]],Input_ForRateCalc[[Cost item]:[Cost item]],0),MATCH($D$5,Inputs!$H$8:$Q$8,0)))/1000),"-")</f>
        <v>-</v>
      </c>
      <c r="H182" s="62" t="str" cm="1">
        <f t="array" ref="H182">IFERROR(
IF(Calc_OtherCosts_1[[#This Row],[Fixed/Variable]:[Fixed/Variable]]="Fixed",
(IFERROR(INDEX(Calc_CPI_1[[CPI uplift factor]:[CPI uplift factor]],MATCH($C182,Calc_CPI_1[[Cost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factor]],MATCH($C182,Calc_CPI_1[[Cost item]:[Cost item]],0),1),0)+
INDEX(Input_ForRateCalc[[F-CurrentVDO_InputDate]:[F-NextVDO_Input]],MATCH(Calc_OtherCosts_1[[#This Row],[Cost item]:[Cost item]],Input_ForRateCalc[[Cost item]:[Cost item]],0),MATCH($D$5,Inputs!$H$8:$Q$8,0)))/1000),"-")</f>
        <v>-</v>
      </c>
      <c r="I182" s="62" t="str" cm="1">
        <f t="array" ref="I182">IFERROR(
IF(Calc_OtherCosts_1[[#This Row],[Fixed/Variable]:[Fixed/Variable]]="Fixed",
(IFERROR(INDEX(Calc_CPI_1[[CPI uplift factor]:[CPI uplift factor]],MATCH($C182,Calc_CPI_1[[Cost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factor]],MATCH($C182,Calc_CPI_1[[Cost item]:[Cost item]],0),1),0)+
INDEX(Input_ForRateCalc[[F-CurrentVDO_InputDate]:[F-NextVDO_Input]],MATCH(Calc_OtherCosts_1[[#This Row],[Cost item]:[Cost item]],Input_ForRateCalc[[Cost item]:[Cost item]],0),MATCH($D$5,Inputs!$H$8:$Q$8,0)))/1000),"-")</f>
        <v>-</v>
      </c>
      <c r="J182" s="62" t="str" cm="1">
        <f t="array" ref="J182">IFERROR(
IF(Calc_OtherCosts_1[[#This Row],[Fixed/Variable]:[Fixed/Variable]]="Fixed",
(IFERROR(INDEX(Calc_CPI_1[[CPI uplift factor]:[CPI uplift factor]],MATCH($C182,Calc_CPI_1[[Cost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factor]],MATCH($C182,Calc_CPI_1[[Cost item]:[Cost item]],0),1),0)+
INDEX(Input_ForRateCalc[[F-CurrentVDO_InputDate]:[F-NextVDO_Input]],MATCH(Calc_OtherCosts_1[[#This Row],[Cost item]:[Cost item]],Input_ForRateCalc[[Cost item]:[Cost item]],0),MATCH($D$5,Inputs!$H$8:$Q$8,0)))/1000),"-")</f>
        <v>-</v>
      </c>
      <c r="K182" s="62" t="str" cm="1">
        <f t="array" ref="K182">IFERROR(
IF(Calc_OtherCosts_1[[#This Row],[Fixed/Variable]:[Fixed/Variable]]="Fixed",
(IFERROR(INDEX(Calc_CPI_1[[CPI uplift factor]:[CPI uplift factor]],MATCH($C182,Calc_CPI_1[[Cost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factor]],MATCH($C182,Calc_CPI_1[[Cost item]:[Cost item]],0),1),0)+
INDEX(Input_ForRateCalc[[F-CurrentVDO_InputDate]:[F-NextVDO_Input]],MATCH(Calc_OtherCosts_1[[#This Row],[Cost item]:[Cost item]],Input_ForRateCalc[[Cost item]:[Cost item]],0),MATCH($D$5,Inputs!$H$8:$Q$8,0)))/1000),"-")</f>
        <v>-</v>
      </c>
    </row>
    <row r="183" spans="1:11" hidden="1" x14ac:dyDescent="0.25">
      <c r="C183" s="24" t="s">
        <v>659</v>
      </c>
      <c r="D183" s="24" t="s">
        <v>139</v>
      </c>
      <c r="E183" s="24" t="s">
        <v>291</v>
      </c>
      <c r="F183" s="24" t="s">
        <v>119</v>
      </c>
      <c r="G183" s="62" t="str" cm="1">
        <f t="array" ref="G183">IFERROR(
IF(Calc_OtherCosts_1[[#This Row],[Fixed/Variable]:[Fixed/Variable]]="Fixed",
(IFERROR(INDEX(Calc_CPI_1[[CPI uplift factor]:[CPI uplift factor]],MATCH($C183,Calc_CPI_1[[Cost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factor]],MATCH($C183,Calc_CPI_1[[Cost item]:[Cost item]],0),1),0)+
INDEX(Input_ForRateCalc[[F-CurrentVDO_InputDate]:[F-NextVDO_Input]],MATCH(Calc_OtherCosts_1[[#This Row],[Cost item]:[Cost item]],Input_ForRateCalc[[Cost item]:[Cost item]],0),MATCH($D$5,Inputs!$H$8:$Q$8,0)))/1000),"-")</f>
        <v>-</v>
      </c>
      <c r="H183" s="62" t="str" cm="1">
        <f t="array" ref="H183">IFERROR(
IF(Calc_OtherCosts_1[[#This Row],[Fixed/Variable]:[Fixed/Variable]]="Fixed",
(IFERROR(INDEX(Calc_CPI_1[[CPI uplift factor]:[CPI uplift factor]],MATCH($C183,Calc_CPI_1[[Cost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factor]],MATCH($C183,Calc_CPI_1[[Cost item]:[Cost item]],0),1),0)+
INDEX(Input_ForRateCalc[[F-CurrentVDO_InputDate]:[F-NextVDO_Input]],MATCH(Calc_OtherCosts_1[[#This Row],[Cost item]:[Cost item]],Input_ForRateCalc[[Cost item]:[Cost item]],0),MATCH($D$5,Inputs!$H$8:$Q$8,0)))/1000),"-")</f>
        <v>-</v>
      </c>
      <c r="I183" s="62" t="str" cm="1">
        <f t="array" ref="I183">IFERROR(
IF(Calc_OtherCosts_1[[#This Row],[Fixed/Variable]:[Fixed/Variable]]="Fixed",
(IFERROR(INDEX(Calc_CPI_1[[CPI uplift factor]:[CPI uplift factor]],MATCH($C183,Calc_CPI_1[[Cost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factor]],MATCH($C183,Calc_CPI_1[[Cost item]:[Cost item]],0),1),0)+
INDEX(Input_ForRateCalc[[F-CurrentVDO_InputDate]:[F-NextVDO_Input]],MATCH(Calc_OtherCosts_1[[#This Row],[Cost item]:[Cost item]],Input_ForRateCalc[[Cost item]:[Cost item]],0),MATCH($D$5,Inputs!$H$8:$Q$8,0)))/1000),"-")</f>
        <v>-</v>
      </c>
      <c r="J183" s="62" t="str" cm="1">
        <f t="array" ref="J183">IFERROR(
IF(Calc_OtherCosts_1[[#This Row],[Fixed/Variable]:[Fixed/Variable]]="Fixed",
(IFERROR(INDEX(Calc_CPI_1[[CPI uplift factor]:[CPI uplift factor]],MATCH($C183,Calc_CPI_1[[Cost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factor]],MATCH($C183,Calc_CPI_1[[Cost item]:[Cost item]],0),1),0)+
INDEX(Input_ForRateCalc[[F-CurrentVDO_InputDate]:[F-NextVDO_Input]],MATCH(Calc_OtherCosts_1[[#This Row],[Cost item]:[Cost item]],Input_ForRateCalc[[Cost item]:[Cost item]],0),MATCH($D$5,Inputs!$H$8:$Q$8,0)))/1000),"-")</f>
        <v>-</v>
      </c>
      <c r="K183" s="62" t="str" cm="1">
        <f t="array" ref="K183">IFERROR(
IF(Calc_OtherCosts_1[[#This Row],[Fixed/Variable]:[Fixed/Variable]]="Fixed",
(IFERROR(INDEX(Calc_CPI_1[[CPI uplift factor]:[CPI uplift factor]],MATCH($C183,Calc_CPI_1[[Cost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factor]],MATCH($C183,Calc_CPI_1[[Cost item]:[Cost item]],0),1),0)+
INDEX(Input_ForRateCalc[[F-CurrentVDO_InputDate]:[F-NextVDO_Input]],MATCH(Calc_OtherCosts_1[[#This Row],[Cost item]:[Cost item]],Input_ForRateCalc[[Cost item]:[Cost item]],0),MATCH($D$5,Inputs!$H$8:$Q$8,0)))/1000),"-")</f>
        <v>-</v>
      </c>
    </row>
    <row r="184" spans="1:11" hidden="1" x14ac:dyDescent="0.25">
      <c r="C184" s="45" t="s">
        <v>172</v>
      </c>
      <c r="D184" s="45" t="s">
        <v>139</v>
      </c>
      <c r="E184" s="24" t="s">
        <v>291</v>
      </c>
      <c r="F184" s="24" t="s">
        <v>119</v>
      </c>
      <c r="G184" s="62" cm="1">
        <f t="array" ref="G184">IFERROR(
IF(Calc_OtherCosts_1[[#This Row],[Fixed/Variable]:[Fixed/Variable]]="Fixed",
(IFERROR(INDEX(Calc_CPI_1[[CPI uplift factor]:[CPI uplift factor]],MATCH($C184,Calc_CPI_1[[Cost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factor]],MATCH($C184,Calc_CPI_1[[Cost item]:[Cost item]],0),1),0)+
INDEX(Input_ForRateCalc[[F-CurrentVDO_InputDate]:[F-NextVDO_Input]],MATCH(Calc_OtherCosts_1[[#This Row],[Cost item]:[Cost item]],Input_ForRateCalc[[Cost item]:[Cost item]],0),MATCH($D$5,Inputs!$H$8:$Q$8,0)))/1000),"-")</f>
        <v>3.602961684772472E-4</v>
      </c>
      <c r="H184" s="62" cm="1">
        <f t="array" ref="H184">IFERROR(
IF(Calc_OtherCosts_1[[#This Row],[Fixed/Variable]:[Fixed/Variable]]="Fixed",
(IFERROR(INDEX(Calc_CPI_1[[CPI uplift factor]:[CPI uplift factor]],MATCH($C184,Calc_CPI_1[[Cost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factor]],MATCH($C184,Calc_CPI_1[[Cost item]:[Cost item]],0),1),0)+
INDEX(Input_ForRateCalc[[F-CurrentVDO_InputDate]:[F-NextVDO_Input]],MATCH(Calc_OtherCosts_1[[#This Row],[Cost item]:[Cost item]],Input_ForRateCalc[[Cost item]:[Cost item]],0),MATCH($D$5,Inputs!$H$8:$Q$8,0)))/1000),"-")</f>
        <v>3.602961684772472E-4</v>
      </c>
      <c r="I184" s="62" cm="1">
        <f t="array" ref="I184">IFERROR(
IF(Calc_OtherCosts_1[[#This Row],[Fixed/Variable]:[Fixed/Variable]]="Fixed",
(IFERROR(INDEX(Calc_CPI_1[[CPI uplift factor]:[CPI uplift factor]],MATCH($C184,Calc_CPI_1[[Cost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factor]],MATCH($C184,Calc_CPI_1[[Cost item]:[Cost item]],0),1),0)+
INDEX(Input_ForRateCalc[[F-CurrentVDO_InputDate]:[F-NextVDO_Input]],MATCH(Calc_OtherCosts_1[[#This Row],[Cost item]:[Cost item]],Input_ForRateCalc[[Cost item]:[Cost item]],0),MATCH($D$5,Inputs!$H$8:$Q$8,0)))/1000),"-")</f>
        <v>3.602961684772472E-4</v>
      </c>
      <c r="J184" s="62" cm="1">
        <f t="array" ref="J184">IFERROR(
IF(Calc_OtherCosts_1[[#This Row],[Fixed/Variable]:[Fixed/Variable]]="Fixed",
(IFERROR(INDEX(Calc_CPI_1[[CPI uplift factor]:[CPI uplift factor]],MATCH($C184,Calc_CPI_1[[Cost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factor]],MATCH($C184,Calc_CPI_1[[Cost item]:[Cost item]],0),1),0)+
INDEX(Input_ForRateCalc[[F-CurrentVDO_InputDate]:[F-NextVDO_Input]],MATCH(Calc_OtherCosts_1[[#This Row],[Cost item]:[Cost item]],Input_ForRateCalc[[Cost item]:[Cost item]],0),MATCH($D$5,Inputs!$H$8:$Q$8,0)))/1000),"-")</f>
        <v>3.602961684772472E-4</v>
      </c>
      <c r="K184" s="62" cm="1">
        <f t="array" ref="K184">IFERROR(
IF(Calc_OtherCosts_1[[#This Row],[Fixed/Variable]:[Fixed/Variable]]="Fixed",
(IFERROR(INDEX(Calc_CPI_1[[CPI uplift factor]:[CPI uplift factor]],MATCH($C184,Calc_CPI_1[[Cost item]:[Cost item]],0),1),0)+
INDEX(Input_ForRateCalc[[F-CurrentVDO_InputDate]:[F-NextVDO_Input]],MATCH(Calc_OtherCosts_1[[#This Row],[Cost item]:[Cost item]],Input_ForRateCalc[[Cost item]:[Cost item]],0),MATCH($D$5,Inputs!$H$8:$Q$8,0)))*IF(Calc_OtherCosts_1[[#This Row],[Unit]:[Unit]]="$",1,IF(Calc_OtherCosts_1[[#This Row],[Unit]:[Unit]]="$/week",WiY)),
(IFERROR(INDEX(Calc_CPI_1[[CPI uplift factor]:[CPI uplift factor]],MATCH($C184,Calc_CPI_1[[Cost item]:[Cost item]],0),1),0)+
INDEX(Input_ForRateCalc[[F-CurrentVDO_InputDate]:[F-NextVDO_Input]],MATCH(Calc_OtherCosts_1[[#This Row],[Cost item]:[Cost item]],Input_ForRateCalc[[Cost item]:[Cost item]],0),MATCH($D$5,Inputs!$H$8:$Q$8,0)))/1000),"-")</f>
        <v>3.602961684772472E-4</v>
      </c>
    </row>
    <row r="185" spans="1:11" hidden="1" x14ac:dyDescent="0.25"/>
    <row r="186" spans="1:11" ht="16.5" hidden="1" thickBot="1" x14ac:dyDescent="0.3">
      <c r="B186" s="9">
        <f ca="1">MAX(B$3:B185)+0.1</f>
        <v>12.499999999999998</v>
      </c>
      <c r="C186" s="29" t="s">
        <v>130</v>
      </c>
      <c r="D186" s="29"/>
      <c r="E186" s="29"/>
      <c r="F186" s="29"/>
      <c r="G186" s="29"/>
      <c r="H186" s="29"/>
      <c r="I186" s="29"/>
      <c r="J186" s="29"/>
      <c r="K186" s="29"/>
    </row>
    <row r="187" spans="1:11" hidden="1" x14ac:dyDescent="0.25"/>
    <row r="188" spans="1:11" ht="15.75" hidden="1" x14ac:dyDescent="0.25">
      <c r="C188" s="30" t="s">
        <v>306</v>
      </c>
    </row>
    <row r="189" spans="1:11" ht="15.75" hidden="1" x14ac:dyDescent="0.25">
      <c r="C189" s="44" t="s">
        <v>54</v>
      </c>
      <c r="D189" s="44" t="s">
        <v>110</v>
      </c>
      <c r="E189" s="44" t="s">
        <v>111</v>
      </c>
      <c r="F189" s="44" t="s">
        <v>99</v>
      </c>
      <c r="G189" s="61" t="s">
        <v>277</v>
      </c>
      <c r="H189" s="61" t="s">
        <v>278</v>
      </c>
      <c r="I189" s="61" t="s">
        <v>279</v>
      </c>
      <c r="J189" s="61" t="s">
        <v>280</v>
      </c>
      <c r="K189" s="61" t="s">
        <v>281</v>
      </c>
    </row>
    <row r="190" spans="1:11" hidden="1" x14ac:dyDescent="0.25">
      <c r="C190" s="24" t="s">
        <v>509</v>
      </c>
      <c r="D190" s="24" t="s">
        <v>117</v>
      </c>
      <c r="E190" s="24" t="s">
        <v>132</v>
      </c>
      <c r="F190" s="24" t="s">
        <v>100</v>
      </c>
      <c r="G190" s="62" cm="1">
        <f t="array" ref="G190">IFERROR(
IFERROR(INDEX(Calc_CPI_1[[CPI uplift factor]:[CPI uplift factor]],MATCH($C190,Calc_CPI_1[[Cost item]:[Cost item]],0),1),0)+
INDEX(Input_ForRateCalc[[F-CurrentVDO_InputDate]:[F-NextVDO_Input]],MATCH(
IF(Calc_NetworkF_1[[#This Row],[Cost item]:[Cost item]]="Metering",
Calc_NetworkF_1[[#This Row],[Cost item]:[Cost item]]&amp;" - "&amp;Calc_NetworkF_1[[#Headers],[Ausnet]],
Calc_NetworkF_1[[#This Row],[Cost item]:[Cost item]]&amp;" charge - "&amp;IF(Calc_NetworkF_1[[#This Row],[Customer type]:[Customer type]]="Residential","RES - ","SME - ")&amp;Calc_NetworkF_1[[#Headers],[Ausnet]]),Input_ForRateCalc[[Cost item]:[Cost item]],0),MATCH($D$5,Inputs!$H$8:$Q$8,0)),"-")</f>
        <v>111.11</v>
      </c>
      <c r="H190" s="62" cm="1">
        <f t="array" ref="H190">IFERROR(
IFERROR(INDEX(Calc_CPI_1[[CPI uplift factor]:[CPI uplift factor]],MATCH($C190,Calc_CPI_1[[Cost item]:[Cost item]],0),1),0)+
INDEX(Input_ForRateCalc[[F-CurrentVDO_InputDate]:[F-NextVDO_Input]],MATCH(
IF(Calc_NetworkF_1[[#This Row],[Cost item]:[Cost item]]="Metering",
Calc_NetworkF_1[[#This Row],[Cost item]:[Cost item]]&amp;" - "&amp;Calc_NetworkF_1[[#Headers],[Citipower]],
Calc_NetworkF_1[[#This Row],[Cost item]:[Cost item]]&amp;" charge - "&amp;IF(Calc_NetworkF_1[[#This Row],[Customer type]:[Customer type]]="Residential","RES - ","SME - ")&amp;Calc_NetworkF_1[[#Headers],[Citipower]]),Input_ForRateCalc[[Cost item]:[Cost item]],0),MATCH($D$5,Inputs!$H$8:$Q$8,0)),"-")</f>
        <v>90.009</v>
      </c>
      <c r="I190" s="62" cm="1">
        <f t="array" ref="I190">IFERROR(
IFERROR(INDEX(Calc_CPI_1[[CPI uplift factor]:[CPI uplift factor]],MATCH($C190,Calc_CPI_1[[Cost item]:[Cost item]],0),1),0)+
INDEX(Input_ForRateCalc[[F-CurrentVDO_InputDate]:[F-NextVDO_Input]],MATCH(
IF(Calc_NetworkF_1[[#This Row],[Cost item]:[Cost item]]="Metering",
Calc_NetworkF_1[[#This Row],[Cost item]:[Cost item]]&amp;" - "&amp;Calc_NetworkF_1[[#Headers],[Jemena]],
Calc_NetworkF_1[[#This Row],[Cost item]:[Cost item]]&amp;" charge - "&amp;IF(Calc_NetworkF_1[[#This Row],[Customer type]:[Customer type]]="Residential","RES - ","SME - ")&amp;Calc_NetworkF_1[[#Headers],[Jemena]]),Input_ForRateCalc[[Cost item]:[Cost item]],0),MATCH($D$5,Inputs!$H$8:$Q$8,0)),"-")</f>
        <v>82.195999999999998</v>
      </c>
      <c r="J190" s="62" cm="1">
        <f t="array" ref="J190">IFERROR(
IFERROR(INDEX(Calc_CPI_1[[CPI uplift factor]:[CPI uplift factor]],MATCH($C190,Calc_CPI_1[[Cost item]:[Cost item]],0),1),0)+
INDEX(Input_ForRateCalc[[F-CurrentVDO_InputDate]:[F-NextVDO_Input]],MATCH(
IF(Calc_NetworkF_1[[#This Row],[Cost item]:[Cost item]]="Metering",
Calc_NetworkF_1[[#This Row],[Cost item]:[Cost item]]&amp;" - "&amp;Calc_NetworkF_1[[#Headers],[Powercor]],
Calc_NetworkF_1[[#This Row],[Cost item]:[Cost item]]&amp;" charge - "&amp;IF(Calc_NetworkF_1[[#This Row],[Customer type]:[Customer type]]="Residential","RES - ","SME - ")&amp;Calc_NetworkF_1[[#Headers],[Powercor]]),Input_ForRateCalc[[Cost item]:[Cost item]],0),MATCH($D$5,Inputs!$H$8:$Q$8,0)),"-")</f>
        <v>139.97749999999999</v>
      </c>
      <c r="K190" s="62" cm="1">
        <f t="array" ref="K190">IFERROR(
IFERROR(INDEX(Calc_CPI_1[[CPI uplift factor]:[CPI uplift factor]],MATCH($C190,Calc_CPI_1[[Cost item]:[Cost item]],0),1),0)+
INDEX(Input_ForRateCalc[[F-CurrentVDO_InputDate]:[F-NextVDO_Input]],MATCH(
IF(Calc_NetworkF_1[[#This Row],[Cost item]:[Cost item]]="Metering",
Calc_NetworkF_1[[#This Row],[Cost item]:[Cost item]]&amp;" - "&amp;Calc_NetworkF_1[[#Headers],[United Energy]],
Calc_NetworkF_1[[#This Row],[Cost item]:[Cost item]]&amp;" charge - "&amp;IF(Calc_NetworkF_1[[#This Row],[Customer type]:[Customer type]]="Residential","RES - ","SME - ")&amp;Calc_NetworkF_1[[#Headers],[United Energy]]),Input_ForRateCalc[[Cost item]:[Cost item]],0),MATCH($D$5,Inputs!$H$8:$Q$8,0)),"-")</f>
        <v>80.007999999999996</v>
      </c>
    </row>
    <row r="191" spans="1:11" hidden="1" x14ac:dyDescent="0.25">
      <c r="C191" s="24" t="s">
        <v>509</v>
      </c>
      <c r="D191" s="24" t="s">
        <v>117</v>
      </c>
      <c r="E191" s="24" t="s">
        <v>132</v>
      </c>
      <c r="F191" s="24" t="s">
        <v>101</v>
      </c>
      <c r="G191" s="62" cm="1">
        <f t="array" ref="G191">IFERROR(
IFERROR(INDEX(Calc_CPI_1[[CPI uplift factor]:[CPI uplift factor]],MATCH($C191,Calc_CPI_1[[Cost item]:[Cost item]],0),1),0)+
INDEX(Input_ForRateCalc[[F-CurrentVDO_InputDate]:[F-NextVDO_Input]],MATCH(
IF(Calc_NetworkF_1[[#This Row],[Cost item]:[Cost item]]="Metering",
Calc_NetworkF_1[[#This Row],[Cost item]:[Cost item]]&amp;" - "&amp;Calc_NetworkF_1[[#Headers],[Ausnet]],
Calc_NetworkF_1[[#This Row],[Cost item]:[Cost item]]&amp;" charge - "&amp;IF(Calc_NetworkF_1[[#This Row],[Customer type]:[Customer type]]="Residential","RES - ","SME - ")&amp;Calc_NetworkF_1[[#Headers],[Ausnet]]),Input_ForRateCalc[[Cost item]:[Cost item]],0),MATCH($D$5,Inputs!$H$8:$Q$8,0)),"-")</f>
        <v>111.11</v>
      </c>
      <c r="H191" s="62" cm="1">
        <f t="array" ref="H191">IFERROR(
IFERROR(INDEX(Calc_CPI_1[[CPI uplift factor]:[CPI uplift factor]],MATCH($C191,Calc_CPI_1[[Cost item]:[Cost item]],0),1),0)+
INDEX(Input_ForRateCalc[[F-CurrentVDO_InputDate]:[F-NextVDO_Input]],MATCH(
IF(Calc_NetworkF_1[[#This Row],[Cost item]:[Cost item]]="Metering",
Calc_NetworkF_1[[#This Row],[Cost item]:[Cost item]]&amp;" - "&amp;Calc_NetworkF_1[[#Headers],[Citipower]],
Calc_NetworkF_1[[#This Row],[Cost item]:[Cost item]]&amp;" charge - "&amp;IF(Calc_NetworkF_1[[#This Row],[Customer type]:[Customer type]]="Residential","RES - ","SME - ")&amp;Calc_NetworkF_1[[#Headers],[Citipower]]),Input_ForRateCalc[[Cost item]:[Cost item]],0),MATCH($D$5,Inputs!$H$8:$Q$8,0)),"-")</f>
        <v>160.01599999999999</v>
      </c>
      <c r="I191" s="62" cm="1">
        <f t="array" ref="I191">IFERROR(
IFERROR(INDEX(Calc_CPI_1[[CPI uplift factor]:[CPI uplift factor]],MATCH($C191,Calc_CPI_1[[Cost item]:[Cost item]],0),1),0)+
INDEX(Input_ForRateCalc[[F-CurrentVDO_InputDate]:[F-NextVDO_Input]],MATCH(
IF(Calc_NetworkF_1[[#This Row],[Cost item]:[Cost item]]="Metering",
Calc_NetworkF_1[[#This Row],[Cost item]:[Cost item]]&amp;" - "&amp;Calc_NetworkF_1[[#Headers],[Jemena]],
Calc_NetworkF_1[[#This Row],[Cost item]:[Cost item]]&amp;" charge - "&amp;IF(Calc_NetworkF_1[[#This Row],[Customer type]:[Customer type]]="Residential","RES - ","SME - ")&amp;Calc_NetworkF_1[[#Headers],[Jemena]]),Input_ForRateCalc[[Cost item]:[Cost item]],0),MATCH($D$5,Inputs!$H$8:$Q$8,0)),"-")</f>
        <v>134.46600000000001</v>
      </c>
      <c r="J191" s="62" cm="1">
        <f t="array" ref="J191">IFERROR(
IFERROR(INDEX(Calc_CPI_1[[CPI uplift factor]:[CPI uplift factor]],MATCH($C191,Calc_CPI_1[[Cost item]:[Cost item]],0),1),0)+
INDEX(Input_ForRateCalc[[F-CurrentVDO_InputDate]:[F-NextVDO_Input]],MATCH(
IF(Calc_NetworkF_1[[#This Row],[Cost item]:[Cost item]]="Metering",
Calc_NetworkF_1[[#This Row],[Cost item]:[Cost item]]&amp;" - "&amp;Calc_NetworkF_1[[#Headers],[Powercor]],
Calc_NetworkF_1[[#This Row],[Cost item]:[Cost item]]&amp;" charge - "&amp;IF(Calc_NetworkF_1[[#This Row],[Customer type]:[Customer type]]="Residential","RES - ","SME - ")&amp;Calc_NetworkF_1[[#Headers],[Powercor]]),Input_ForRateCalc[[Cost item]:[Cost item]],0),MATCH($D$5,Inputs!$H$8:$Q$8,0)),"-")</f>
        <v>179.98150000000001</v>
      </c>
      <c r="K191" s="62" cm="1">
        <f t="array" ref="K191">IFERROR(
IFERROR(INDEX(Calc_CPI_1[[CPI uplift factor]:[CPI uplift factor]],MATCH($C191,Calc_CPI_1[[Cost item]:[Cost item]],0),1),0)+
INDEX(Input_ForRateCalc[[F-CurrentVDO_InputDate]:[F-NextVDO_Input]],MATCH(
IF(Calc_NetworkF_1[[#This Row],[Cost item]:[Cost item]]="Metering",
Calc_NetworkF_1[[#This Row],[Cost item]:[Cost item]]&amp;" - "&amp;Calc_NetworkF_1[[#Headers],[United Energy]],
Calc_NetworkF_1[[#This Row],[Cost item]:[Cost item]]&amp;" charge - "&amp;IF(Calc_NetworkF_1[[#This Row],[Customer type]:[Customer type]]="Residential","RES - ","SME - ")&amp;Calc_NetworkF_1[[#Headers],[United Energy]]),Input_ForRateCalc[[Cost item]:[Cost item]],0),MATCH($D$5,Inputs!$H$8:$Q$8,0)),"-")</f>
        <v>120.01199999999999</v>
      </c>
    </row>
    <row r="192" spans="1:11" hidden="1" x14ac:dyDescent="0.25">
      <c r="C192" s="24" t="s">
        <v>510</v>
      </c>
      <c r="D192" s="24" t="s">
        <v>117</v>
      </c>
      <c r="E192" s="24" t="s">
        <v>132</v>
      </c>
      <c r="F192" s="24" t="s">
        <v>100</v>
      </c>
      <c r="G192" s="62" cm="1">
        <f t="array" ref="G192">IFERROR(
IFERROR(INDEX(Calc_CPI_1[[CPI uplift factor]:[CPI uplift factor]],MATCH($C192,Calc_CPI_1[[Cost item]:[Cost item]],0),1),0)+
INDEX(Input_ForRateCalc[[F-CurrentVDO_InputDate]:[F-NextVDO_Input]],MATCH(
IF(Calc_NetworkF_1[[#This Row],[Cost item]:[Cost item]]="Metering",
Calc_NetworkF_1[[#This Row],[Cost item]:[Cost item]]&amp;" - "&amp;Calc_NetworkF_1[[#Headers],[Ausnet]],
Calc_NetworkF_1[[#This Row],[Cost item]:[Cost item]]&amp;" charge - "&amp;IF(Calc_NetworkF_1[[#This Row],[Customer type]:[Customer type]]="Residential","RES - ","SME - ")&amp;Calc_NetworkF_1[[#Headers],[Ausnet]]),Input_ForRateCalc[[Cost item]:[Cost item]],0),MATCH($D$5,Inputs!$H$8:$Q$8,0)),"-")</f>
        <v>111.11</v>
      </c>
      <c r="H192" s="62" cm="1">
        <f t="array" ref="H192">IFERROR(
IFERROR(INDEX(Calc_CPI_1[[CPI uplift factor]:[CPI uplift factor]],MATCH($C192,Calc_CPI_1[[Cost item]:[Cost item]],0),1),0)+
INDEX(Input_ForRateCalc[[F-CurrentVDO_InputDate]:[F-NextVDO_Input]],MATCH(
IF(Calc_NetworkF_1[[#This Row],[Cost item]:[Cost item]]="Metering",
Calc_NetworkF_1[[#This Row],[Cost item]:[Cost item]]&amp;" - "&amp;Calc_NetworkF_1[[#Headers],[Citipower]],
Calc_NetworkF_1[[#This Row],[Cost item]:[Cost item]]&amp;" charge - "&amp;IF(Calc_NetworkF_1[[#This Row],[Customer type]:[Customer type]]="Residential","RES - ","SME - ")&amp;Calc_NetworkF_1[[#Headers],[Citipower]]),Input_ForRateCalc[[Cost item]:[Cost item]],0),MATCH($D$5,Inputs!$H$8:$Q$8,0)),"-")</f>
        <v>90.009</v>
      </c>
      <c r="I192" s="62" cm="1">
        <f t="array" ref="I192">IFERROR(
IFERROR(INDEX(Calc_CPI_1[[CPI uplift factor]:[CPI uplift factor]],MATCH($C192,Calc_CPI_1[[Cost item]:[Cost item]],0),1),0)+
INDEX(Input_ForRateCalc[[F-CurrentVDO_InputDate]:[F-NextVDO_Input]],MATCH(
IF(Calc_NetworkF_1[[#This Row],[Cost item]:[Cost item]]="Metering",
Calc_NetworkF_1[[#This Row],[Cost item]:[Cost item]]&amp;" - "&amp;Calc_NetworkF_1[[#Headers],[Jemena]],
Calc_NetworkF_1[[#This Row],[Cost item]:[Cost item]]&amp;" charge - "&amp;IF(Calc_NetworkF_1[[#This Row],[Customer type]:[Customer type]]="Residential","RES - ","SME - ")&amp;Calc_NetworkF_1[[#Headers],[Jemena]]),Input_ForRateCalc[[Cost item]:[Cost item]],0),MATCH($D$5,Inputs!$H$8:$Q$8,0)),"-")</f>
        <v>82.195999999999998</v>
      </c>
      <c r="J192" s="62" cm="1">
        <f t="array" ref="J192">IFERROR(
IFERROR(INDEX(Calc_CPI_1[[CPI uplift factor]:[CPI uplift factor]],MATCH($C192,Calc_CPI_1[[Cost item]:[Cost item]],0),1),0)+
INDEX(Input_ForRateCalc[[F-CurrentVDO_InputDate]:[F-NextVDO_Input]],MATCH(
IF(Calc_NetworkF_1[[#This Row],[Cost item]:[Cost item]]="Metering",
Calc_NetworkF_1[[#This Row],[Cost item]:[Cost item]]&amp;" - "&amp;Calc_NetworkF_1[[#Headers],[Powercor]],
Calc_NetworkF_1[[#This Row],[Cost item]:[Cost item]]&amp;" charge - "&amp;IF(Calc_NetworkF_1[[#This Row],[Customer type]:[Customer type]]="Residential","RES - ","SME - ")&amp;Calc_NetworkF_1[[#Headers],[Powercor]]),Input_ForRateCalc[[Cost item]:[Cost item]],0),MATCH($D$5,Inputs!$H$8:$Q$8,0)),"-")</f>
        <v>139.97749999999999</v>
      </c>
      <c r="K192" s="62" cm="1">
        <f t="array" ref="K192">IFERROR(
IFERROR(INDEX(Calc_CPI_1[[CPI uplift factor]:[CPI uplift factor]],MATCH($C192,Calc_CPI_1[[Cost item]:[Cost item]],0),1),0)+
INDEX(Input_ForRateCalc[[F-CurrentVDO_InputDate]:[F-NextVDO_Input]],MATCH(
IF(Calc_NetworkF_1[[#This Row],[Cost item]:[Cost item]]="Metering",
Calc_NetworkF_1[[#This Row],[Cost item]:[Cost item]]&amp;" - "&amp;Calc_NetworkF_1[[#Headers],[United Energy]],
Calc_NetworkF_1[[#This Row],[Cost item]:[Cost item]]&amp;" charge - "&amp;IF(Calc_NetworkF_1[[#This Row],[Customer type]:[Customer type]]="Residential","RES - ","SME - ")&amp;Calc_NetworkF_1[[#Headers],[United Energy]]),Input_ForRateCalc[[Cost item]:[Cost item]],0),MATCH($D$5,Inputs!$H$8:$Q$8,0)),"-")</f>
        <v>80.007999999999996</v>
      </c>
    </row>
    <row r="193" spans="1:11" hidden="1" x14ac:dyDescent="0.25">
      <c r="C193" s="24" t="s">
        <v>510</v>
      </c>
      <c r="D193" s="24" t="s">
        <v>117</v>
      </c>
      <c r="E193" s="24" t="s">
        <v>132</v>
      </c>
      <c r="F193" s="24" t="s">
        <v>101</v>
      </c>
      <c r="G193" s="62" cm="1">
        <f t="array" ref="G193">IFERROR(
IFERROR(INDEX(Calc_CPI_1[[CPI uplift factor]:[CPI uplift factor]],MATCH($C193,Calc_CPI_1[[Cost item]:[Cost item]],0),1),0)+
INDEX(Input_ForRateCalc[[F-CurrentVDO_InputDate]:[F-NextVDO_Input]],MATCH(
IF(Calc_NetworkF_1[[#This Row],[Cost item]:[Cost item]]="Metering",
Calc_NetworkF_1[[#This Row],[Cost item]:[Cost item]]&amp;" - "&amp;Calc_NetworkF_1[[#Headers],[Ausnet]],
Calc_NetworkF_1[[#This Row],[Cost item]:[Cost item]]&amp;" charge - "&amp;IF(Calc_NetworkF_1[[#This Row],[Customer type]:[Customer type]]="Residential","RES - ","SME - ")&amp;Calc_NetworkF_1[[#Headers],[Ausnet]]),Input_ForRateCalc[[Cost item]:[Cost item]],0),MATCH($D$5,Inputs!$H$8:$Q$8,0)),"-")</f>
        <v>111.11</v>
      </c>
      <c r="H193" s="62" cm="1">
        <f t="array" ref="H193">IFERROR(
IFERROR(INDEX(Calc_CPI_1[[CPI uplift factor]:[CPI uplift factor]],MATCH($C193,Calc_CPI_1[[Cost item]:[Cost item]],0),1),0)+
INDEX(Input_ForRateCalc[[F-CurrentVDO_InputDate]:[F-NextVDO_Input]],MATCH(
IF(Calc_NetworkF_1[[#This Row],[Cost item]:[Cost item]]="Metering",
Calc_NetworkF_1[[#This Row],[Cost item]:[Cost item]]&amp;" - "&amp;Calc_NetworkF_1[[#Headers],[Citipower]],
Calc_NetworkF_1[[#This Row],[Cost item]:[Cost item]]&amp;" charge - "&amp;IF(Calc_NetworkF_1[[#This Row],[Customer type]:[Customer type]]="Residential","RES - ","SME - ")&amp;Calc_NetworkF_1[[#Headers],[Citipower]]),Input_ForRateCalc[[Cost item]:[Cost item]],0),MATCH($D$5,Inputs!$H$8:$Q$8,0)),"-")</f>
        <v>160.01599999999999</v>
      </c>
      <c r="I193" s="62" cm="1">
        <f t="array" ref="I193">IFERROR(
IFERROR(INDEX(Calc_CPI_1[[CPI uplift factor]:[CPI uplift factor]],MATCH($C193,Calc_CPI_1[[Cost item]:[Cost item]],0),1),0)+
INDEX(Input_ForRateCalc[[F-CurrentVDO_InputDate]:[F-NextVDO_Input]],MATCH(
IF(Calc_NetworkF_1[[#This Row],[Cost item]:[Cost item]]="Metering",
Calc_NetworkF_1[[#This Row],[Cost item]:[Cost item]]&amp;" - "&amp;Calc_NetworkF_1[[#Headers],[Jemena]],
Calc_NetworkF_1[[#This Row],[Cost item]:[Cost item]]&amp;" charge - "&amp;IF(Calc_NetworkF_1[[#This Row],[Customer type]:[Customer type]]="Residential","RES - ","SME - ")&amp;Calc_NetworkF_1[[#Headers],[Jemena]]),Input_ForRateCalc[[Cost item]:[Cost item]],0),MATCH($D$5,Inputs!$H$8:$Q$8,0)),"-")</f>
        <v>242.124</v>
      </c>
      <c r="J193" s="62" cm="1">
        <f t="array" ref="J193">IFERROR(
IFERROR(INDEX(Calc_CPI_1[[CPI uplift factor]:[CPI uplift factor]],MATCH($C193,Calc_CPI_1[[Cost item]:[Cost item]],0),1),0)+
INDEX(Input_ForRateCalc[[F-CurrentVDO_InputDate]:[F-NextVDO_Input]],MATCH(
IF(Calc_NetworkF_1[[#This Row],[Cost item]:[Cost item]]="Metering",
Calc_NetworkF_1[[#This Row],[Cost item]:[Cost item]]&amp;" - "&amp;Calc_NetworkF_1[[#Headers],[Powercor]],
Calc_NetworkF_1[[#This Row],[Cost item]:[Cost item]]&amp;" charge - "&amp;IF(Calc_NetworkF_1[[#This Row],[Customer type]:[Customer type]]="Residential","RES - ","SME - ")&amp;Calc_NetworkF_1[[#Headers],[Powercor]]),Input_ForRateCalc[[Cost item]:[Cost item]],0),MATCH($D$5,Inputs!$H$8:$Q$8,0)),"-")</f>
        <v>179.98150000000001</v>
      </c>
      <c r="K193" s="62" cm="1">
        <f t="array" ref="K193">IFERROR(
IFERROR(INDEX(Calc_CPI_1[[CPI uplift factor]:[CPI uplift factor]],MATCH($C193,Calc_CPI_1[[Cost item]:[Cost item]],0),1),0)+
INDEX(Input_ForRateCalc[[F-CurrentVDO_InputDate]:[F-NextVDO_Input]],MATCH(
IF(Calc_NetworkF_1[[#This Row],[Cost item]:[Cost item]]="Metering",
Calc_NetworkF_1[[#This Row],[Cost item]:[Cost item]]&amp;" - "&amp;Calc_NetworkF_1[[#Headers],[United Energy]],
Calc_NetworkF_1[[#This Row],[Cost item]:[Cost item]]&amp;" charge - "&amp;IF(Calc_NetworkF_1[[#This Row],[Customer type]:[Customer type]]="Residential","RES - ","SME - ")&amp;Calc_NetworkF_1[[#Headers],[United Energy]]),Input_ForRateCalc[[Cost item]:[Cost item]],0),MATCH($D$5,Inputs!$H$8:$Q$8,0)),"-")</f>
        <v>120.01199999999999</v>
      </c>
    </row>
    <row r="194" spans="1:11" hidden="1" x14ac:dyDescent="0.25">
      <c r="C194" s="45" t="s">
        <v>284</v>
      </c>
      <c r="D194" s="45" t="s">
        <v>117</v>
      </c>
      <c r="E194" s="24" t="s">
        <v>132</v>
      </c>
      <c r="F194" s="24" t="s">
        <v>119</v>
      </c>
      <c r="G194" s="62" cm="1">
        <f t="array" ref="G194">IFERROR(
IFERROR(INDEX(Calc_CPI_1[[CPI uplift factor]:[CPI uplift factor]],MATCH($C194,Calc_CPI_1[[Cost item]:[Cost item]],0),1),0)+
INDEX(Input_ForRateCalc[[F-CurrentVDO_InputDate]:[F-NextVDO_Input]],MATCH(
IF(Calc_NetworkF_1[[#This Row],[Cost item]:[Cost item]]="Metering",
Calc_NetworkF_1[[#This Row],[Cost item]:[Cost item]]&amp;" - "&amp;Calc_NetworkF_1[[#Headers],[Ausnet]],
Calc_NetworkF_1[[#This Row],[Cost item]:[Cost item]]&amp;" charge - "&amp;IF(Calc_NetworkF_1[[#This Row],[Customer type]:[Customer type]]="Residential","RES - ","SME - ")&amp;Calc_NetworkF_1[[#Headers],[Ausnet]]),Input_ForRateCalc[[Cost item]:[Cost item]],0),MATCH($D$5,Inputs!$H$8:$Q$8,0)),"-")</f>
        <v>63.7</v>
      </c>
      <c r="H194" s="62" cm="1">
        <f t="array" ref="H194">IFERROR(
IFERROR(INDEX(Calc_CPI_1[[CPI uplift factor]:[CPI uplift factor]],MATCH($C194,Calc_CPI_1[[Cost item]:[Cost item]],0),1),0)+
INDEX(Input_ForRateCalc[[F-CurrentVDO_InputDate]:[F-NextVDO_Input]],MATCH(
IF(Calc_NetworkF_1[[#This Row],[Cost item]:[Cost item]]="Metering",
Calc_NetworkF_1[[#This Row],[Cost item]:[Cost item]]&amp;" - "&amp;Calc_NetworkF_1[[#Headers],[Citipower]],
Calc_NetworkF_1[[#This Row],[Cost item]:[Cost item]]&amp;" charge - "&amp;IF(Calc_NetworkF_1[[#This Row],[Customer type]:[Customer type]]="Residential","RES - ","SME - ")&amp;Calc_NetworkF_1[[#Headers],[Citipower]]),Input_ForRateCalc[[Cost item]:[Cost item]],0),MATCH($D$5,Inputs!$H$8:$Q$8,0)),"-")</f>
        <v>59.4</v>
      </c>
      <c r="I194" s="62" cm="1">
        <f t="array" ref="I194">IFERROR(
IFERROR(INDEX(Calc_CPI_1[[CPI uplift factor]:[CPI uplift factor]],MATCH($C194,Calc_CPI_1[[Cost item]:[Cost item]],0),1),0)+
INDEX(Input_ForRateCalc[[F-CurrentVDO_InputDate]:[F-NextVDO_Input]],MATCH(
IF(Calc_NetworkF_1[[#This Row],[Cost item]:[Cost item]]="Metering",
Calc_NetworkF_1[[#This Row],[Cost item]:[Cost item]]&amp;" - "&amp;Calc_NetworkF_1[[#Headers],[Jemena]],
Calc_NetworkF_1[[#This Row],[Cost item]:[Cost item]]&amp;" charge - "&amp;IF(Calc_NetworkF_1[[#This Row],[Customer type]:[Customer type]]="Residential","RES - ","SME - ")&amp;Calc_NetworkF_1[[#Headers],[Jemena]]),Input_ForRateCalc[[Cost item]:[Cost item]],0),MATCH($D$5,Inputs!$H$8:$Q$8,0)),"-")</f>
        <v>54.19</v>
      </c>
      <c r="J194" s="62" cm="1">
        <f t="array" ref="J194">IFERROR(
IFERROR(INDEX(Calc_CPI_1[[CPI uplift factor]:[CPI uplift factor]],MATCH($C194,Calc_CPI_1[[Cost item]:[Cost item]],0),1),0)+
INDEX(Input_ForRateCalc[[F-CurrentVDO_InputDate]:[F-NextVDO_Input]],MATCH(
IF(Calc_NetworkF_1[[#This Row],[Cost item]:[Cost item]]="Metering",
Calc_NetworkF_1[[#This Row],[Cost item]:[Cost item]]&amp;" - "&amp;Calc_NetworkF_1[[#Headers],[Powercor]],
Calc_NetworkF_1[[#This Row],[Cost item]:[Cost item]]&amp;" charge - "&amp;IF(Calc_NetworkF_1[[#This Row],[Customer type]:[Customer type]]="Residential","RES - ","SME - ")&amp;Calc_NetworkF_1[[#Headers],[Powercor]]),Input_ForRateCalc[[Cost item]:[Cost item]],0),MATCH($D$5,Inputs!$H$8:$Q$8,0)),"-")</f>
        <v>58</v>
      </c>
      <c r="K194" s="62" cm="1">
        <f t="array" ref="K194">IFERROR(
IFERROR(INDEX(Calc_CPI_1[[CPI uplift factor]:[CPI uplift factor]],MATCH($C194,Calc_CPI_1[[Cost item]:[Cost item]],0),1),0)+
INDEX(Input_ForRateCalc[[F-CurrentVDO_InputDate]:[F-NextVDO_Input]],MATCH(
IF(Calc_NetworkF_1[[#This Row],[Cost item]:[Cost item]]="Metering",
Calc_NetworkF_1[[#This Row],[Cost item]:[Cost item]]&amp;" - "&amp;Calc_NetworkF_1[[#Headers],[United Energy]],
Calc_NetworkF_1[[#This Row],[Cost item]:[Cost item]]&amp;" charge - "&amp;IF(Calc_NetworkF_1[[#This Row],[Customer type]:[Customer type]]="Residential","RES - ","SME - ")&amp;Calc_NetworkF_1[[#Headers],[United Energy]]),Input_ForRateCalc[[Cost item]:[Cost item]],0),MATCH($D$5,Inputs!$H$8:$Q$8,0)),"-")</f>
        <v>42.92</v>
      </c>
    </row>
    <row r="195" spans="1:11" hidden="1" x14ac:dyDescent="0.25"/>
    <row r="196" spans="1:11" ht="15.75" hidden="1" x14ac:dyDescent="0.25">
      <c r="C196" s="30" t="s">
        <v>307</v>
      </c>
    </row>
    <row r="197" spans="1:11" ht="15.75" hidden="1" x14ac:dyDescent="0.25">
      <c r="C197" s="44" t="s">
        <v>54</v>
      </c>
      <c r="D197" s="44" t="s">
        <v>110</v>
      </c>
      <c r="E197" s="44" t="s">
        <v>111</v>
      </c>
      <c r="F197" s="44" t="s">
        <v>99</v>
      </c>
      <c r="G197" s="61" t="s">
        <v>277</v>
      </c>
      <c r="H197" s="61" t="s">
        <v>278</v>
      </c>
      <c r="I197" s="61" t="s">
        <v>279</v>
      </c>
      <c r="J197" s="61" t="s">
        <v>280</v>
      </c>
      <c r="K197" s="61" t="s">
        <v>281</v>
      </c>
    </row>
    <row r="198" spans="1:11" hidden="1" x14ac:dyDescent="0.25">
      <c r="C198" s="24" t="s">
        <v>230</v>
      </c>
      <c r="D198" s="24" t="s">
        <v>139</v>
      </c>
      <c r="E198" s="24" t="s">
        <v>291</v>
      </c>
      <c r="F198" s="24" t="s">
        <v>100</v>
      </c>
      <c r="G198" s="62" cm="1">
        <f t="array" ref="G198">IFERROR(
(IFERROR(INDEX(Calc_CPI_1[[CPI uplift factor]:[CPI uplift factor]],MATCH($C198,Calc_CPI_1[[Cost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MATCH($D$5,Inputs!$H$8:$Q$8,0)))/100,"-")</f>
        <v>0.11450300000000001</v>
      </c>
      <c r="H198" s="62" t="str" cm="1">
        <f t="array" ref="H198">IFERROR(
(IFERROR(INDEX(Calc_CPI_1[[CPI uplift factor]:[CPI uplift factor]],MATCH($C198,Calc_CPI_1[[Cost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MATCH($D$5,Inputs!$H$8:$Q$8,0)))/100,"-")</f>
        <v>-</v>
      </c>
      <c r="I198" s="62" t="str" cm="1">
        <f t="array" ref="I198">IFERROR(
(IFERROR(INDEX(Calc_CPI_1[[CPI uplift factor]:[CPI uplift factor]],MATCH($C198,Calc_CPI_1[[Cost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MATCH($D$5,Inputs!$H$8:$Q$8,0)))/100,"-")</f>
        <v>-</v>
      </c>
      <c r="J198" s="62" t="str" cm="1">
        <f t="array" ref="J198">IFERROR(
(IFERROR(INDEX(Calc_CPI_1[[CPI uplift factor]:[CPI uplift factor]],MATCH($C198,Calc_CPI_1[[Cost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MATCH($D$5,Inputs!$H$8:$Q$8,0)))/100,"-")</f>
        <v>-</v>
      </c>
      <c r="K198" s="62" t="str" cm="1">
        <f t="array" ref="K198">IFERROR(
(IFERROR(INDEX(Calc_CPI_1[[CPI uplift factor]:[CPI uplift factor]],MATCH($C198,Calc_CPI_1[[Cost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MATCH($D$5,Inputs!$H$8:$Q$8,0)))/100,"-")</f>
        <v>-</v>
      </c>
    </row>
    <row r="199" spans="1:11" hidden="1" x14ac:dyDescent="0.25">
      <c r="C199" s="24" t="s">
        <v>237</v>
      </c>
      <c r="D199" s="24" t="s">
        <v>139</v>
      </c>
      <c r="E199" s="24" t="s">
        <v>291</v>
      </c>
      <c r="F199" s="24" t="s">
        <v>100</v>
      </c>
      <c r="G199" s="62" cm="1">
        <f t="array" ref="G199">IFERROR(
(IFERROR(INDEX(Calc_CPI_1[[CPI uplift factor]:[CPI uplift factor]],MATCH($C199,Calc_CPI_1[[Cost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MATCH($D$5,Inputs!$H$8:$Q$8,0)))/100,"-")</f>
        <v>0.128382</v>
      </c>
      <c r="H199" s="62" t="str" cm="1">
        <f t="array" ref="H199">IFERROR(
(IFERROR(INDEX(Calc_CPI_1[[CPI uplift factor]:[CPI uplift factor]],MATCH($C199,Calc_CPI_1[[Cost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MATCH($D$5,Inputs!$H$8:$Q$8,0)))/100,"-")</f>
        <v>-</v>
      </c>
      <c r="I199" s="62" t="str" cm="1">
        <f t="array" ref="I199">IFERROR(
(IFERROR(INDEX(Calc_CPI_1[[CPI uplift factor]:[CPI uplift factor]],MATCH($C199,Calc_CPI_1[[Cost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MATCH($D$5,Inputs!$H$8:$Q$8,0)))/100,"-")</f>
        <v>-</v>
      </c>
      <c r="J199" s="62" t="str" cm="1">
        <f t="array" ref="J199">IFERROR(
(IFERROR(INDEX(Calc_CPI_1[[CPI uplift factor]:[CPI uplift factor]],MATCH($C199,Calc_CPI_1[[Cost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MATCH($D$5,Inputs!$H$8:$Q$8,0)))/100,"-")</f>
        <v>-</v>
      </c>
      <c r="K199" s="62" t="str" cm="1">
        <f t="array" ref="K199">IFERROR(
(IFERROR(INDEX(Calc_CPI_1[[CPI uplift factor]:[CPI uplift factor]],MATCH($C199,Calc_CPI_1[[Cost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MATCH($D$5,Inputs!$H$8:$Q$8,0)))/100,"-")</f>
        <v>-</v>
      </c>
    </row>
    <row r="200" spans="1:11" hidden="1" x14ac:dyDescent="0.25">
      <c r="C200" s="24" t="s">
        <v>508</v>
      </c>
      <c r="D200" s="24" t="s">
        <v>139</v>
      </c>
      <c r="E200" s="24" t="s">
        <v>291</v>
      </c>
      <c r="F200" s="24" t="s">
        <v>100</v>
      </c>
      <c r="G200" s="62" t="str" cm="1">
        <f t="array" ref="G200">IFERROR(
(IFERROR(INDEX(Calc_CPI_1[[CPI uplift factor]:[CPI uplift factor]],MATCH($C200,Calc_CPI_1[[Cost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MATCH($D$5,Inputs!$H$8:$Q$8,0)))/100,"-")</f>
        <v>-</v>
      </c>
      <c r="H200" s="62" cm="1">
        <f t="array" ref="H200">IFERROR(
(IFERROR(INDEX(Calc_CPI_1[[CPI uplift factor]:[CPI uplift factor]],MATCH($C200,Calc_CPI_1[[Cost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MATCH($D$5,Inputs!$H$8:$Q$8,0)))/100,"-")</f>
        <v>8.0500000000000002E-2</v>
      </c>
      <c r="I200" s="62" cm="1">
        <f t="array" ref="I200">IFERROR(
(IFERROR(INDEX(Calc_CPI_1[[CPI uplift factor]:[CPI uplift factor]],MATCH($C200,Calc_CPI_1[[Cost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MATCH($D$5,Inputs!$H$8:$Q$8,0)))/100,"-")</f>
        <v>8.6699999999999999E-2</v>
      </c>
      <c r="J200" s="62" cm="1">
        <f t="array" ref="J200">IFERROR(
(IFERROR(INDEX(Calc_CPI_1[[CPI uplift factor]:[CPI uplift factor]],MATCH($C200,Calc_CPI_1[[Cost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MATCH($D$5,Inputs!$H$8:$Q$8,0)))/100,"-")</f>
        <v>8.1500000000000003E-2</v>
      </c>
      <c r="K200" s="62" cm="1">
        <f t="array" ref="K200">IFERROR(
(IFERROR(INDEX(Calc_CPI_1[[CPI uplift factor]:[CPI uplift factor]],MATCH($C200,Calc_CPI_1[[Cost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MATCH($D$5,Inputs!$H$8:$Q$8,0)))/100,"-")</f>
        <v>7.9899999999999999E-2</v>
      </c>
    </row>
    <row r="201" spans="1:11" hidden="1" x14ac:dyDescent="0.25">
      <c r="C201" s="24" t="s">
        <v>239</v>
      </c>
      <c r="D201" s="24" t="s">
        <v>139</v>
      </c>
      <c r="E201" s="24" t="s">
        <v>291</v>
      </c>
      <c r="F201" s="24" t="s">
        <v>100</v>
      </c>
      <c r="G201" s="62" cm="1">
        <f t="array" ref="G201">IFERROR(
(IFERROR(INDEX(Calc_CPI_1[[CPI uplift factor]:[CPI uplift factor]],MATCH($C201,Calc_CPI_1[[Cost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MATCH($D$5,Inputs!$H$8:$Q$8,0)))/100,"-")</f>
        <v>0.20853200000000002</v>
      </c>
      <c r="H201" s="62" cm="1">
        <f t="array" ref="H201">IFERROR(
(IFERROR(INDEX(Calc_CPI_1[[CPI uplift factor]:[CPI uplift factor]],MATCH($C201,Calc_CPI_1[[Cost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MATCH($D$5,Inputs!$H$8:$Q$8,0)))/100,"-")</f>
        <v>0.15939999999999999</v>
      </c>
      <c r="I201" s="62" cm="1">
        <f t="array" ref="I201">IFERROR(
(IFERROR(INDEX(Calc_CPI_1[[CPI uplift factor]:[CPI uplift factor]],MATCH($C201,Calc_CPI_1[[Cost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MATCH($D$5,Inputs!$H$8:$Q$8,0)))/100,"-")</f>
        <v>0.13492000000000001</v>
      </c>
      <c r="J201" s="62" cm="1">
        <f t="array" ref="J201">IFERROR(
(IFERROR(INDEX(Calc_CPI_1[[CPI uplift factor]:[CPI uplift factor]],MATCH($C201,Calc_CPI_1[[Cost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MATCH($D$5,Inputs!$H$8:$Q$8,0)))/100,"-")</f>
        <v>0.15869999999999998</v>
      </c>
      <c r="K201" s="62" cm="1">
        <f t="array" ref="K201">IFERROR(
(IFERROR(INDEX(Calc_CPI_1[[CPI uplift factor]:[CPI uplift factor]],MATCH($C201,Calc_CPI_1[[Cost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MATCH($D$5,Inputs!$H$8:$Q$8,0)))/100,"-")</f>
        <v>0.15789999999999998</v>
      </c>
    </row>
    <row r="202" spans="1:11" hidden="1" x14ac:dyDescent="0.25">
      <c r="C202" s="24" t="s">
        <v>538</v>
      </c>
      <c r="D202" s="24" t="s">
        <v>139</v>
      </c>
      <c r="E202" s="24" t="s">
        <v>291</v>
      </c>
      <c r="F202" s="24" t="s">
        <v>100</v>
      </c>
      <c r="G202" s="62" cm="1">
        <f t="array" ref="G202">IFERROR(
(IFERROR(INDEX(Calc_CPI_1[[CPI uplift factor]:[CPI uplift factor]],MATCH($C202,Calc_CPI_1[[Cost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MATCH($D$5,Inputs!$H$8:$Q$8,0)))/100,"-")</f>
        <v>4.3418999999999999E-2</v>
      </c>
      <c r="H202" s="62" cm="1">
        <f t="array" ref="H202">IFERROR(
(IFERROR(INDEX(Calc_CPI_1[[CPI uplift factor]:[CPI uplift factor]],MATCH($C202,Calc_CPI_1[[Cost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MATCH($D$5,Inputs!$H$8:$Q$8,0)))/100,"-")</f>
        <v>3.9800000000000002E-2</v>
      </c>
      <c r="I202" s="62" cm="1">
        <f t="array" ref="I202">IFERROR(
(IFERROR(INDEX(Calc_CPI_1[[CPI uplift factor]:[CPI uplift factor]],MATCH($C202,Calc_CPI_1[[Cost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MATCH($D$5,Inputs!$H$8:$Q$8,0)))/100,"-")</f>
        <v>3.8900000000000004E-2</v>
      </c>
      <c r="J202" s="62" cm="1">
        <f t="array" ref="J202">IFERROR(
(IFERROR(INDEX(Calc_CPI_1[[CPI uplift factor]:[CPI uplift factor]],MATCH($C202,Calc_CPI_1[[Cost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MATCH($D$5,Inputs!$H$8:$Q$8,0)))/100,"-")</f>
        <v>3.9599999999999996E-2</v>
      </c>
      <c r="K202" s="62" cm="1">
        <f t="array" ref="K202">IFERROR(
(IFERROR(INDEX(Calc_CPI_1[[CPI uplift factor]:[CPI uplift factor]],MATCH($C202,Calc_CPI_1[[Cost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MATCH($D$5,Inputs!$H$8:$Q$8,0)))/100,"-")</f>
        <v>3.95E-2</v>
      </c>
    </row>
    <row r="203" spans="1:11" hidden="1" x14ac:dyDescent="0.25">
      <c r="C203" s="24" t="s">
        <v>296</v>
      </c>
      <c r="D203" s="24" t="s">
        <v>139</v>
      </c>
      <c r="E203" s="24" t="s">
        <v>291</v>
      </c>
      <c r="F203" s="24" t="s">
        <v>100</v>
      </c>
      <c r="G203" s="62" cm="1">
        <f t="array" ref="G203">IFERROR(
(IFERROR(INDEX(Calc_CPI_1[[CPI uplift factor]:[CPI uplift factor]],MATCH($C203,Calc_CPI_1[[Cost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MATCH($D$5,Inputs!$H$8:$Q$8,0)))/100,"-")</f>
        <v>4.2622999999999994E-2</v>
      </c>
      <c r="H203" s="62" cm="1">
        <f t="array" ref="H203">IFERROR(
(IFERROR(INDEX(Calc_CPI_1[[CPI uplift factor]:[CPI uplift factor]],MATCH($C203,Calc_CPI_1[[Cost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MATCH($D$5,Inputs!$H$8:$Q$8,0)))/100,"-")</f>
        <v>2.4700000000000003E-2</v>
      </c>
      <c r="I203" s="62" cm="1">
        <f t="array" ref="I203">IFERROR(
(IFERROR(INDEX(Calc_CPI_1[[CPI uplift factor]:[CPI uplift factor]],MATCH($C203,Calc_CPI_1[[Cost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MATCH($D$5,Inputs!$H$8:$Q$8,0)))/100,"-")</f>
        <v>3.5990000000000001E-2</v>
      </c>
      <c r="J203" s="62" cm="1">
        <f t="array" ref="J203">IFERROR(
(IFERROR(INDEX(Calc_CPI_1[[CPI uplift factor]:[CPI uplift factor]],MATCH($C203,Calc_CPI_1[[Cost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MATCH($D$5,Inputs!$H$8:$Q$8,0)))/100,"-")</f>
        <v>2.3900000000000001E-2</v>
      </c>
      <c r="K203" s="62" cm="1">
        <f t="array" ref="K203">IFERROR(
(IFERROR(INDEX(Calc_CPI_1[[CPI uplift factor]:[CPI uplift factor]],MATCH($C203,Calc_CPI_1[[Cost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MATCH($D$5,Inputs!$H$8:$Q$8,0)))/100,"-")</f>
        <v>2.1700000000000001E-2</v>
      </c>
    </row>
    <row r="204" spans="1:11" hidden="1" x14ac:dyDescent="0.25">
      <c r="C204" s="24" t="s">
        <v>230</v>
      </c>
      <c r="D204" s="24" t="s">
        <v>139</v>
      </c>
      <c r="E204" s="24" t="s">
        <v>291</v>
      </c>
      <c r="F204" s="24" t="s">
        <v>101</v>
      </c>
      <c r="G204" s="62" cm="1">
        <f t="array" ref="G204">IFERROR(
(IFERROR(INDEX(Calc_CPI_1[[CPI uplift factor]:[CPI uplift factor]],MATCH($C204,Calc_CPI_1[[Cost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MATCH($D$5,Inputs!$H$8:$Q$8,0)))/100,"-")</f>
        <v>0.155386</v>
      </c>
      <c r="H204" s="62" t="str" cm="1">
        <f t="array" ref="H204">IFERROR(
(IFERROR(INDEX(Calc_CPI_1[[CPI uplift factor]:[CPI uplift factor]],MATCH($C204,Calc_CPI_1[[Cost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MATCH($D$5,Inputs!$H$8:$Q$8,0)))/100,"-")</f>
        <v>-</v>
      </c>
      <c r="I204" s="62" t="str" cm="1">
        <f t="array" ref="I204">IFERROR(
(IFERROR(INDEX(Calc_CPI_1[[CPI uplift factor]:[CPI uplift factor]],MATCH($C204,Calc_CPI_1[[Cost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MATCH($D$5,Inputs!$H$8:$Q$8,0)))/100,"-")</f>
        <v>-</v>
      </c>
      <c r="J204" s="62" t="str" cm="1">
        <f t="array" ref="J204">IFERROR(
(IFERROR(INDEX(Calc_CPI_1[[CPI uplift factor]:[CPI uplift factor]],MATCH($C204,Calc_CPI_1[[Cost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MATCH($D$5,Inputs!$H$8:$Q$8,0)))/100,"-")</f>
        <v>-</v>
      </c>
      <c r="K204" s="62" t="str" cm="1">
        <f t="array" ref="K204">IFERROR(
(IFERROR(INDEX(Calc_CPI_1[[CPI uplift factor]:[CPI uplift factor]],MATCH($C204,Calc_CPI_1[[Cost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MATCH($D$5,Inputs!$H$8:$Q$8,0)))/100,"-")</f>
        <v>-</v>
      </c>
    </row>
    <row r="205" spans="1:11" hidden="1" x14ac:dyDescent="0.25">
      <c r="C205" s="24" t="s">
        <v>237</v>
      </c>
      <c r="D205" s="24" t="s">
        <v>139</v>
      </c>
      <c r="E205" s="24" t="s">
        <v>291</v>
      </c>
      <c r="F205" s="24" t="s">
        <v>101</v>
      </c>
      <c r="G205" s="62" cm="1">
        <f t="array" ref="G205">IFERROR(
(IFERROR(INDEX(Calc_CPI_1[[CPI uplift factor]:[CPI uplift factor]],MATCH($C205,Calc_CPI_1[[Cost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MATCH($D$5,Inputs!$H$8:$Q$8,0)))/100,"-")</f>
        <v>0.182667</v>
      </c>
      <c r="H205" s="62" t="str" cm="1">
        <f t="array" ref="H205">IFERROR(
(IFERROR(INDEX(Calc_CPI_1[[CPI uplift factor]:[CPI uplift factor]],MATCH($C205,Calc_CPI_1[[Cost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MATCH($D$5,Inputs!$H$8:$Q$8,0)))/100,"-")</f>
        <v>-</v>
      </c>
      <c r="I205" s="62" t="str" cm="1">
        <f t="array" ref="I205">IFERROR(
(IFERROR(INDEX(Calc_CPI_1[[CPI uplift factor]:[CPI uplift factor]],MATCH($C205,Calc_CPI_1[[Cost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MATCH($D$5,Inputs!$H$8:$Q$8,0)))/100,"-")</f>
        <v>-</v>
      </c>
      <c r="J205" s="62" t="str" cm="1">
        <f t="array" ref="J205">IFERROR(
(IFERROR(INDEX(Calc_CPI_1[[CPI uplift factor]:[CPI uplift factor]],MATCH($C205,Calc_CPI_1[[Cost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MATCH($D$5,Inputs!$H$8:$Q$8,0)))/100,"-")</f>
        <v>-</v>
      </c>
      <c r="K205" s="62" t="str" cm="1">
        <f t="array" ref="K205">IFERROR(
(IFERROR(INDEX(Calc_CPI_1[[CPI uplift factor]:[CPI uplift factor]],MATCH($C205,Calc_CPI_1[[Cost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MATCH($D$5,Inputs!$H$8:$Q$8,0)))/100,"-")</f>
        <v>-</v>
      </c>
    </row>
    <row r="206" spans="1:11" ht="15.75" hidden="1" collapsed="1" x14ac:dyDescent="0.25">
      <c r="A206" s="1" t="s">
        <v>30</v>
      </c>
      <c r="C206" s="24" t="s">
        <v>508</v>
      </c>
      <c r="D206" s="24" t="s">
        <v>139</v>
      </c>
      <c r="E206" s="24" t="s">
        <v>291</v>
      </c>
      <c r="F206" s="24" t="s">
        <v>101</v>
      </c>
      <c r="G206" s="62" t="str" cm="1">
        <f t="array" ref="G206">IFERROR(
(IFERROR(INDEX(Calc_CPI_1[[CPI uplift factor]:[CPI uplift factor]],MATCH($C206,Calc_CPI_1[[Cost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MATCH($D$5,Inputs!$H$8:$Q$8,0)))/100,"-")</f>
        <v>-</v>
      </c>
      <c r="H206" s="62" cm="1">
        <f t="array" ref="H206">IFERROR(
(IFERROR(INDEX(Calc_CPI_1[[CPI uplift factor]:[CPI uplift factor]],MATCH($C206,Calc_CPI_1[[Cost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MATCH($D$5,Inputs!$H$8:$Q$8,0)))/100,"-")</f>
        <v>8.2100000000000006E-2</v>
      </c>
      <c r="I206" s="62" cm="1">
        <f t="array" ref="I206">IFERROR(
(IFERROR(INDEX(Calc_CPI_1[[CPI uplift factor]:[CPI uplift factor]],MATCH($C206,Calc_CPI_1[[Cost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MATCH($D$5,Inputs!$H$8:$Q$8,0)))/100,"-")</f>
        <v>0.10973000000000001</v>
      </c>
      <c r="J206" s="62" cm="1">
        <f t="array" ref="J206">IFERROR(
(IFERROR(INDEX(Calc_CPI_1[[CPI uplift factor]:[CPI uplift factor]],MATCH($C206,Calc_CPI_1[[Cost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MATCH($D$5,Inputs!$H$8:$Q$8,0)))/100,"-")</f>
        <v>9.2899999999999996E-2</v>
      </c>
      <c r="K206" s="62" cm="1">
        <f t="array" ref="K206">IFERROR(
(IFERROR(INDEX(Calc_CPI_1[[CPI uplift factor]:[CPI uplift factor]],MATCH($C206,Calc_CPI_1[[Cost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MATCH($D$5,Inputs!$H$8:$Q$8,0)))/100,"-")</f>
        <v>8.7899999999999992E-2</v>
      </c>
    </row>
    <row r="207" spans="1:11" hidden="1" x14ac:dyDescent="0.25">
      <c r="C207" s="24" t="s">
        <v>239</v>
      </c>
      <c r="D207" s="24" t="s">
        <v>139</v>
      </c>
      <c r="E207" s="24" t="s">
        <v>291</v>
      </c>
      <c r="F207" s="24" t="s">
        <v>101</v>
      </c>
      <c r="G207" s="62" cm="1">
        <f t="array" ref="G207">IFERROR(
(IFERROR(INDEX(Calc_CPI_1[[CPI uplift factor]:[CPI uplift factor]],MATCH($C207,Calc_CPI_1[[Cost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MATCH($D$5,Inputs!$H$8:$Q$8,0)))/100,"-")</f>
        <v>0.17508700000000002</v>
      </c>
      <c r="H207" s="62" cm="1">
        <f t="array" ref="H207">IFERROR(
(IFERROR(INDEX(Calc_CPI_1[[CPI uplift factor]:[CPI uplift factor]],MATCH($C207,Calc_CPI_1[[Cost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MATCH($D$5,Inputs!$H$8:$Q$8,0)))/100,"-")</f>
        <v>0.13019999999999998</v>
      </c>
      <c r="I207" s="62" cm="1">
        <f t="array" ref="I207">IFERROR(
(IFERROR(INDEX(Calc_CPI_1[[CPI uplift factor]:[CPI uplift factor]],MATCH($C207,Calc_CPI_1[[Cost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MATCH($D$5,Inputs!$H$8:$Q$8,0)))/100,"-")</f>
        <v>0.14330999999999999</v>
      </c>
      <c r="J207" s="62" cm="1">
        <f t="array" ref="J207">IFERROR(
(IFERROR(INDEX(Calc_CPI_1[[CPI uplift factor]:[CPI uplift factor]],MATCH($C207,Calc_CPI_1[[Cost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MATCH($D$5,Inputs!$H$8:$Q$8,0)))/100,"-")</f>
        <v>0.14749999999999999</v>
      </c>
      <c r="K207" s="62" cm="1">
        <f t="array" ref="K207">IFERROR(
(IFERROR(INDEX(Calc_CPI_1[[CPI uplift factor]:[CPI uplift factor]],MATCH($C207,Calc_CPI_1[[Cost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MATCH($D$5,Inputs!$H$8:$Q$8,0)))/100,"-")</f>
        <v>0.1399</v>
      </c>
    </row>
    <row r="208" spans="1:11" hidden="1" x14ac:dyDescent="0.25">
      <c r="C208" s="24" t="s">
        <v>538</v>
      </c>
      <c r="D208" s="45" t="s">
        <v>139</v>
      </c>
      <c r="E208" s="24" t="s">
        <v>291</v>
      </c>
      <c r="F208" s="24" t="s">
        <v>101</v>
      </c>
      <c r="G208" s="62" cm="1">
        <f t="array" ref="G208">IFERROR(
(IFERROR(INDEX(Calc_CPI_1[[CPI uplift factor]:[CPI uplift factor]],MATCH($C208,Calc_CPI_1[[Cost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MATCH($D$5,Inputs!$H$8:$Q$8,0)))/100,"-")</f>
        <v>4.2655999999999999E-2</v>
      </c>
      <c r="H208" s="62" cm="1">
        <f t="array" ref="H208">IFERROR(
(IFERROR(INDEX(Calc_CPI_1[[CPI uplift factor]:[CPI uplift factor]],MATCH($C208,Calc_CPI_1[[Cost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MATCH($D$5,Inputs!$H$8:$Q$8,0)))/100,"-")</f>
        <v>2.8900000000000002E-2</v>
      </c>
      <c r="I208" s="62" cm="1">
        <f t="array" ref="I208">IFERROR(
(IFERROR(INDEX(Calc_CPI_1[[CPI uplift factor]:[CPI uplift factor]],MATCH($C208,Calc_CPI_1[[Cost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MATCH($D$5,Inputs!$H$8:$Q$8,0)))/100,"-")</f>
        <v>3.0520000000000002E-2</v>
      </c>
      <c r="J208" s="62" cm="1">
        <f t="array" ref="J208">IFERROR(
(IFERROR(INDEX(Calc_CPI_1[[CPI uplift factor]:[CPI uplift factor]],MATCH($C208,Calc_CPI_1[[Cost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MATCH($D$5,Inputs!$H$8:$Q$8,0)))/100,"-")</f>
        <v>3.2799999999999996E-2</v>
      </c>
      <c r="K208" s="62" cm="1">
        <f t="array" ref="K208">IFERROR(
(IFERROR(INDEX(Calc_CPI_1[[CPI uplift factor]:[CPI uplift factor]],MATCH($C208,Calc_CPI_1[[Cost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MATCH($D$5,Inputs!$H$8:$Q$8,0)))/100,"-")</f>
        <v>3.1099999999999999E-2</v>
      </c>
    </row>
    <row r="209" spans="1:11" hidden="1" x14ac:dyDescent="0.25"/>
    <row r="210" spans="1:11" ht="16.5" hidden="1" thickBot="1" x14ac:dyDescent="0.3">
      <c r="B210" s="9">
        <f ca="1">MAX(B$3:B209)+0.1</f>
        <v>12.599999999999998</v>
      </c>
      <c r="C210" s="29" t="s">
        <v>137</v>
      </c>
      <c r="D210" s="29"/>
      <c r="E210" s="29"/>
      <c r="F210" s="29"/>
      <c r="G210" s="29"/>
      <c r="H210" s="29"/>
      <c r="I210" s="29"/>
      <c r="J210" s="29"/>
      <c r="K210" s="29"/>
    </row>
    <row r="211" spans="1:11" hidden="1" x14ac:dyDescent="0.25"/>
    <row r="212" spans="1:11" ht="15.75" hidden="1" x14ac:dyDescent="0.25">
      <c r="C212" s="30" t="s">
        <v>308</v>
      </c>
    </row>
    <row r="213" spans="1:11" ht="15.75" hidden="1" x14ac:dyDescent="0.25">
      <c r="C213" s="44" t="s">
        <v>54</v>
      </c>
      <c r="D213" s="44" t="s">
        <v>110</v>
      </c>
      <c r="E213" s="44" t="s">
        <v>111</v>
      </c>
      <c r="F213" s="44" t="s">
        <v>99</v>
      </c>
      <c r="G213" s="61" t="s">
        <v>277</v>
      </c>
      <c r="H213" s="61" t="s">
        <v>278</v>
      </c>
      <c r="I213" s="61" t="s">
        <v>279</v>
      </c>
      <c r="J213" s="61" t="s">
        <v>280</v>
      </c>
      <c r="K213" s="61" t="s">
        <v>281</v>
      </c>
    </row>
    <row r="214" spans="1:11" hidden="1" x14ac:dyDescent="0.25">
      <c r="C214" s="24" t="s">
        <v>309</v>
      </c>
      <c r="D214" s="24" t="s">
        <v>139</v>
      </c>
      <c r="E214" s="24" t="s">
        <v>291</v>
      </c>
      <c r="F214" s="24" t="s">
        <v>100</v>
      </c>
      <c r="G214" s="62" cm="1">
        <f t="array" ref="G214">IFERROR(
(IFERROR(INDEX(Calc_CPI_1[[CPI uplift factor]:[CPI uplift factor]],MATCH($C214,Calc_CPI_1[[Cost item]:[Cost item]],0),1),0)+
INDEX(Input_ForRateCalc[[F-CurrentVDO_InputDate]:[F-NextVDO_Input]],MATCH(Calc_WholesaleRES_1[[#This Row],[Cost item]:[Cost item]]&amp;" - "&amp;Calc_WholesaleRES_1[[#Headers],[Ausnet]],Input_ForRateCalc[[Cost item]:[Cost item]],0),MATCH($D$5,Inputs!$H$8:$Q$8,0)))/1000,"-")</f>
        <v>9.4019999999999992E-2</v>
      </c>
      <c r="H214" s="62" cm="1">
        <f t="array" ref="H214">IFERROR(
(IFERROR(INDEX(Calc_CPI_1[[CPI uplift factor]:[CPI uplift factor]],MATCH($C214,Calc_CPI_1[[Cost item]:[Cost item]],0),1),0)+
INDEX(Input_ForRateCalc[[F-CurrentVDO_InputDate]:[F-NextVDO_Input]],MATCH(Calc_WholesaleRES_1[[#This Row],[Cost item]:[Cost item]]&amp;" - "&amp;Calc_WholesaleRES_1[[#Headers],[Citipower]],Input_ForRateCalc[[Cost item]:[Cost item]],0),MATCH($D$5,Inputs!$H$8:$Q$8,0)))/1000,"-")</f>
        <v>8.8840000000000002E-2</v>
      </c>
      <c r="I214" s="62" cm="1">
        <f t="array" ref="I214">IFERROR(
(IFERROR(INDEX(Calc_CPI_1[[CPI uplift factor]:[CPI uplift factor]],MATCH($C214,Calc_CPI_1[[Cost item]:[Cost item]],0),1),0)+
INDEX(Input_ForRateCalc[[F-CurrentVDO_InputDate]:[F-NextVDO_Input]],MATCH(Calc_WholesaleRES_1[[#This Row],[Cost item]:[Cost item]]&amp;" - "&amp;Calc_WholesaleRES_1[[#Headers],[Jemena]],Input_ForRateCalc[[Cost item]:[Cost item]],0),MATCH($D$5,Inputs!$H$8:$Q$8,0)))/1000,"-")</f>
        <v>9.7799999999999998E-2</v>
      </c>
      <c r="J214" s="62" cm="1">
        <f t="array" ref="J214">IFERROR(
(IFERROR(INDEX(Calc_CPI_1[[CPI uplift factor]:[CPI uplift factor]],MATCH($C214,Calc_CPI_1[[Cost item]:[Cost item]],0),1),0)+
INDEX(Input_ForRateCalc[[F-CurrentVDO_InputDate]:[F-NextVDO_Input]],MATCH(Calc_WholesaleRES_1[[#This Row],[Cost item]:[Cost item]]&amp;" - "&amp;Calc_WholesaleRES_1[[#Headers],[Powercor]],Input_ForRateCalc[[Cost item]:[Cost item]],0),MATCH($D$5,Inputs!$H$8:$Q$8,0)))/1000,"-")</f>
        <v>9.2030000000000001E-2</v>
      </c>
      <c r="K214" s="62" cm="1">
        <f t="array" ref="K214">IFERROR(
(IFERROR(INDEX(Calc_CPI_1[[CPI uplift factor]:[CPI uplift factor]],MATCH($C214,Calc_CPI_1[[Cost item]:[Cost item]],0),1),0)+
INDEX(Input_ForRateCalc[[F-CurrentVDO_InputDate]:[F-NextVDO_Input]],MATCH(Calc_WholesaleRES_1[[#This Row],[Cost item]:[Cost item]]&amp;" - "&amp;Calc_WholesaleRES_1[[#Headers],[United Energy]],Input_ForRateCalc[[Cost item]:[Cost item]],0),MATCH($D$5,Inputs!$H$8:$Q$8,0)))/1000,"-")</f>
        <v>9.8180000000000003E-2</v>
      </c>
    </row>
    <row r="215" spans="1:11" hidden="1" x14ac:dyDescent="0.25">
      <c r="C215" s="24" t="s">
        <v>310</v>
      </c>
      <c r="D215" s="24" t="s">
        <v>139</v>
      </c>
      <c r="E215" s="24" t="s">
        <v>291</v>
      </c>
      <c r="F215" s="24" t="s">
        <v>100</v>
      </c>
      <c r="G215" s="62" cm="1">
        <f t="array" ref="G215">IFERROR(
(IFERROR(INDEX(Calc_CPI_1[[CPI uplift factor]:[CPI uplift factor]],MATCH($C215,Calc_CPI_1[[Cost item]:[Cost item]],0),1),0)+
INDEX(Input_ForRateCalc[[F-CurrentVDO_InputDate]:[F-NextVDO_Input]],MATCH(Calc_WholesaleRES_1[[#This Row],[Cost item]:[Cost item]]&amp;" - "&amp;Calc_WholesaleRES_1[[#Headers],[Ausnet]],Input_ForRateCalc[[Cost item]:[Cost item]],0),MATCH($D$5,Inputs!$H$8:$Q$8,0)))/1000,"-")</f>
        <v>4.7999999999999996E-4</v>
      </c>
      <c r="H215" s="62" cm="1">
        <f t="array" ref="H215">IFERROR(
(IFERROR(INDEX(Calc_CPI_1[[CPI uplift factor]:[CPI uplift factor]],MATCH($C215,Calc_CPI_1[[Cost item]:[Cost item]],0),1),0)+
INDEX(Input_ForRateCalc[[F-CurrentVDO_InputDate]:[F-NextVDO_Input]],MATCH(Calc_WholesaleRES_1[[#This Row],[Cost item]:[Cost item]]&amp;" - "&amp;Calc_WholesaleRES_1[[#Headers],[Citipower]],Input_ForRateCalc[[Cost item]:[Cost item]],0),MATCH($D$5,Inputs!$H$8:$Q$8,0)))/1000,"-")</f>
        <v>4.6999999999999999E-4</v>
      </c>
      <c r="I215" s="62" cm="1">
        <f t="array" ref="I215">IFERROR(
(IFERROR(INDEX(Calc_CPI_1[[CPI uplift factor]:[CPI uplift factor]],MATCH($C215,Calc_CPI_1[[Cost item]:[Cost item]],0),1),0)+
INDEX(Input_ForRateCalc[[F-CurrentVDO_InputDate]:[F-NextVDO_Input]],MATCH(Calc_WholesaleRES_1[[#This Row],[Cost item]:[Cost item]]&amp;" - "&amp;Calc_WholesaleRES_1[[#Headers],[Jemena]],Input_ForRateCalc[[Cost item]:[Cost item]],0),MATCH($D$5,Inputs!$H$8:$Q$8,0)))/1000,"-")</f>
        <v>4.4999999999999999E-4</v>
      </c>
      <c r="J215" s="62" cm="1">
        <f t="array" ref="J215">IFERROR(
(IFERROR(INDEX(Calc_CPI_1[[CPI uplift factor]:[CPI uplift factor]],MATCH($C215,Calc_CPI_1[[Cost item]:[Cost item]],0),1),0)+
INDEX(Input_ForRateCalc[[F-CurrentVDO_InputDate]:[F-NextVDO_Input]],MATCH(Calc_WholesaleRES_1[[#This Row],[Cost item]:[Cost item]]&amp;" - "&amp;Calc_WholesaleRES_1[[#Headers],[Powercor]],Input_ForRateCalc[[Cost item]:[Cost item]],0),MATCH($D$5,Inputs!$H$8:$Q$8,0)))/1000,"-")</f>
        <v>4.1999999999999996E-4</v>
      </c>
      <c r="K215" s="62" cm="1">
        <f t="array" ref="K215">IFERROR(
(IFERROR(INDEX(Calc_CPI_1[[CPI uplift factor]:[CPI uplift factor]],MATCH($C215,Calc_CPI_1[[Cost item]:[Cost item]],0),1),0)+
INDEX(Input_ForRateCalc[[F-CurrentVDO_InputDate]:[F-NextVDO_Input]],MATCH(Calc_WholesaleRES_1[[#This Row],[Cost item]:[Cost item]]&amp;" - "&amp;Calc_WholesaleRES_1[[#Headers],[United Energy]],Input_ForRateCalc[[Cost item]:[Cost item]],0),MATCH($D$5,Inputs!$H$8:$Q$8,0)))/1000,"-")</f>
        <v>4.8999999999999998E-4</v>
      </c>
    </row>
    <row r="216" spans="1:11" hidden="1" x14ac:dyDescent="0.25">
      <c r="C216" s="45" t="s">
        <v>292</v>
      </c>
      <c r="D216" s="45" t="s">
        <v>139</v>
      </c>
      <c r="E216" s="45" t="s">
        <v>291</v>
      </c>
      <c r="F216" s="24" t="s">
        <v>100</v>
      </c>
      <c r="G216" s="73">
        <f>IFERROR(G214+G215,"-")</f>
        <v>9.4499999999999987E-2</v>
      </c>
      <c r="H216" s="73">
        <f t="shared" ref="H216:K216" si="44">IFERROR(H214+H215,"-")</f>
        <v>8.931E-2</v>
      </c>
      <c r="I216" s="73">
        <f t="shared" si="44"/>
        <v>9.8250000000000004E-2</v>
      </c>
      <c r="J216" s="73">
        <f t="shared" si="44"/>
        <v>9.2450000000000004E-2</v>
      </c>
      <c r="K216" s="73">
        <f t="shared" si="44"/>
        <v>9.8670000000000008E-2</v>
      </c>
    </row>
    <row r="217" spans="1:11" hidden="1" x14ac:dyDescent="0.25"/>
    <row r="218" spans="1:11" ht="15.75" hidden="1" x14ac:dyDescent="0.25">
      <c r="C218" s="30" t="s">
        <v>311</v>
      </c>
    </row>
    <row r="219" spans="1:11" ht="15.75" hidden="1" x14ac:dyDescent="0.25">
      <c r="C219" s="44" t="s">
        <v>54</v>
      </c>
      <c r="D219" s="44" t="s">
        <v>110</v>
      </c>
      <c r="E219" s="44" t="s">
        <v>111</v>
      </c>
      <c r="F219" s="44" t="s">
        <v>99</v>
      </c>
      <c r="G219" s="61" t="s">
        <v>277</v>
      </c>
      <c r="H219" s="61" t="s">
        <v>278</v>
      </c>
      <c r="I219" s="61" t="s">
        <v>279</v>
      </c>
      <c r="J219" s="61" t="s">
        <v>280</v>
      </c>
      <c r="K219" s="61" t="s">
        <v>281</v>
      </c>
    </row>
    <row r="220" spans="1:11" ht="15.75" hidden="1" collapsed="1" x14ac:dyDescent="0.25">
      <c r="A220" s="1" t="s">
        <v>30</v>
      </c>
      <c r="C220" s="24" t="s">
        <v>312</v>
      </c>
      <c r="D220" s="24" t="s">
        <v>139</v>
      </c>
      <c r="E220" s="24" t="s">
        <v>291</v>
      </c>
      <c r="F220" s="24" t="s">
        <v>101</v>
      </c>
      <c r="G220" s="62" cm="1">
        <f t="array" ref="G220">IFERROR(
(IFERROR(INDEX(Calc_CPI_1[[CPI uplift factor]:[CPI uplift factor]],MATCH($C220,Calc_CPI_1[[Cost item]:[Cost item]],0),1),0)+
INDEX(Input_ForRateCalc[[F-CurrentVDO_InputDate]:[F-NextVDO_Input]],MATCH(Calc_WholesaleSME_1[[#This Row],[Cost item]:[Cost item]]&amp;" - "&amp;Calc_WholesaleSME_1[[#Headers],[Ausnet]],Input_ForRateCalc[[Cost item]:[Cost item]],0),MATCH($D$5,Inputs!$H$8:$Q$8,0)))/1000,"-")</f>
        <v>8.2280000000000006E-2</v>
      </c>
      <c r="H220" s="62" cm="1">
        <f t="array" ref="H220">IFERROR(
(IFERROR(INDEX(Calc_CPI_1[[CPI uplift factor]:[CPI uplift factor]],MATCH($C220,Calc_CPI_1[[Cost item]:[Cost item]],0),1),0)+
INDEX(Input_ForRateCalc[[F-CurrentVDO_InputDate]:[F-NextVDO_Input]],MATCH(Calc_WholesaleSME_1[[#This Row],[Cost item]:[Cost item]]&amp;" - "&amp;Calc_WholesaleSME_1[[#Headers],[Citipower]],Input_ForRateCalc[[Cost item]:[Cost item]],0),MATCH($D$5,Inputs!$H$8:$Q$8,0)))/1000,"-")</f>
        <v>8.5080000000000003E-2</v>
      </c>
      <c r="I220" s="62" cm="1">
        <f t="array" ref="I220">IFERROR(
(IFERROR(INDEX(Calc_CPI_1[[CPI uplift factor]:[CPI uplift factor]],MATCH($C220,Calc_CPI_1[[Cost item]:[Cost item]],0),1),0)+
INDEX(Input_ForRateCalc[[F-CurrentVDO_InputDate]:[F-NextVDO_Input]],MATCH(Calc_WholesaleSME_1[[#This Row],[Cost item]:[Cost item]]&amp;" - "&amp;Calc_WholesaleSME_1[[#Headers],[Jemena]],Input_ForRateCalc[[Cost item]:[Cost item]],0),MATCH($D$5,Inputs!$H$8:$Q$8,0)))/1000,"-")</f>
        <v>8.4510000000000002E-2</v>
      </c>
      <c r="J220" s="62" cm="1">
        <f t="array" ref="J220">IFERROR(
(IFERROR(INDEX(Calc_CPI_1[[CPI uplift factor]:[CPI uplift factor]],MATCH($C220,Calc_CPI_1[[Cost item]:[Cost item]],0),1),0)+
INDEX(Input_ForRateCalc[[F-CurrentVDO_InputDate]:[F-NextVDO_Input]],MATCH(Calc_WholesaleSME_1[[#This Row],[Cost item]:[Cost item]]&amp;" - "&amp;Calc_WholesaleSME_1[[#Headers],[Powercor]],Input_ForRateCalc[[Cost item]:[Cost item]],0),MATCH($D$5,Inputs!$H$8:$Q$8,0)))/1000,"-")</f>
        <v>8.0110000000000001E-2</v>
      </c>
      <c r="K220" s="62" cm="1">
        <f t="array" ref="K220">IFERROR(
(IFERROR(INDEX(Calc_CPI_1[[CPI uplift factor]:[CPI uplift factor]],MATCH($C220,Calc_CPI_1[[Cost item]:[Cost item]],0),1),0)+
INDEX(Input_ForRateCalc[[F-CurrentVDO_InputDate]:[F-NextVDO_Input]],MATCH(Calc_WholesaleSME_1[[#This Row],[Cost item]:[Cost item]]&amp;" - "&amp;Calc_WholesaleSME_1[[#Headers],[United Energy]],Input_ForRateCalc[[Cost item]:[Cost item]],0),MATCH($D$5,Inputs!$H$8:$Q$8,0)))/1000,"-")</f>
        <v>8.6629999999999999E-2</v>
      </c>
    </row>
    <row r="221" spans="1:11" hidden="1" x14ac:dyDescent="0.25">
      <c r="C221" s="24" t="s">
        <v>313</v>
      </c>
      <c r="D221" s="24" t="s">
        <v>139</v>
      </c>
      <c r="E221" s="24" t="s">
        <v>291</v>
      </c>
      <c r="F221" s="24" t="s">
        <v>101</v>
      </c>
      <c r="G221" s="62" cm="1">
        <f t="array" ref="G221">IFERROR(
(IFERROR(INDEX(Calc_CPI_1[[CPI uplift factor]:[CPI uplift factor]],MATCH($C221,Calc_CPI_1[[Cost item]:[Cost item]],0),1),0)+
INDEX(Input_ForRateCalc[[F-CurrentVDO_InputDate]:[F-NextVDO_Input]],MATCH(Calc_WholesaleSME_1[[#This Row],[Cost item]:[Cost item]]&amp;" - "&amp;Calc_WholesaleSME_1[[#Headers],[Ausnet]],Input_ForRateCalc[[Cost item]:[Cost item]],0),MATCH($D$5,Inputs!$H$8:$Q$8,0)))/1000,"-")</f>
        <v>3.4000000000000002E-4</v>
      </c>
      <c r="H221" s="62" cm="1">
        <f t="array" ref="H221">IFERROR(
(IFERROR(INDEX(Calc_CPI_1[[CPI uplift factor]:[CPI uplift factor]],MATCH($C221,Calc_CPI_1[[Cost item]:[Cost item]],0),1),0)+
INDEX(Input_ForRateCalc[[F-CurrentVDO_InputDate]:[F-NextVDO_Input]],MATCH(Calc_WholesaleSME_1[[#This Row],[Cost item]:[Cost item]]&amp;" - "&amp;Calc_WholesaleSME_1[[#Headers],[Citipower]],Input_ForRateCalc[[Cost item]:[Cost item]],0),MATCH($D$5,Inputs!$H$8:$Q$8,0)))/1000,"-")</f>
        <v>4.0000000000000002E-4</v>
      </c>
      <c r="I221" s="62" cm="1">
        <f t="array" ref="I221">IFERROR(
(IFERROR(INDEX(Calc_CPI_1[[CPI uplift factor]:[CPI uplift factor]],MATCH($C221,Calc_CPI_1[[Cost item]:[Cost item]],0),1),0)+
INDEX(Input_ForRateCalc[[F-CurrentVDO_InputDate]:[F-NextVDO_Input]],MATCH(Calc_WholesaleSME_1[[#This Row],[Cost item]:[Cost item]]&amp;" - "&amp;Calc_WholesaleSME_1[[#Headers],[Jemena]],Input_ForRateCalc[[Cost item]:[Cost item]],0),MATCH($D$5,Inputs!$H$8:$Q$8,0)))/1000,"-")</f>
        <v>3.5999999999999997E-4</v>
      </c>
      <c r="J221" s="62" cm="1">
        <f t="array" ref="J221">IFERROR(
(IFERROR(INDEX(Calc_CPI_1[[CPI uplift factor]:[CPI uplift factor]],MATCH($C221,Calc_CPI_1[[Cost item]:[Cost item]],0),1),0)+
INDEX(Input_ForRateCalc[[F-CurrentVDO_InputDate]:[F-NextVDO_Input]],MATCH(Calc_WholesaleSME_1[[#This Row],[Cost item]:[Cost item]]&amp;" - "&amp;Calc_WholesaleSME_1[[#Headers],[Powercor]],Input_ForRateCalc[[Cost item]:[Cost item]],0),MATCH($D$5,Inputs!$H$8:$Q$8,0)))/1000,"-")</f>
        <v>3.1E-4</v>
      </c>
      <c r="K221" s="62" cm="1">
        <f t="array" ref="K221">IFERROR(
(IFERROR(INDEX(Calc_CPI_1[[CPI uplift factor]:[CPI uplift factor]],MATCH($C221,Calc_CPI_1[[Cost item]:[Cost item]],0),1),0)+
INDEX(Input_ForRateCalc[[F-CurrentVDO_InputDate]:[F-NextVDO_Input]],MATCH(Calc_WholesaleSME_1[[#This Row],[Cost item]:[Cost item]]&amp;" - "&amp;Calc_WholesaleSME_1[[#Headers],[United Energy]],Input_ForRateCalc[[Cost item]:[Cost item]],0),MATCH($D$5,Inputs!$H$8:$Q$8,0)))/1000,"-")</f>
        <v>4.0999999999999999E-4</v>
      </c>
    </row>
    <row r="222" spans="1:11" hidden="1" x14ac:dyDescent="0.25">
      <c r="C222" s="45" t="s">
        <v>292</v>
      </c>
      <c r="D222" s="45" t="s">
        <v>139</v>
      </c>
      <c r="E222" s="45" t="s">
        <v>291</v>
      </c>
      <c r="F222" s="24" t="s">
        <v>101</v>
      </c>
      <c r="G222" s="73">
        <f>IFERROR(G220+G221,"-")</f>
        <v>8.2619999999999999E-2</v>
      </c>
      <c r="H222" s="73">
        <f t="shared" ref="H222:K222" si="45">IFERROR(H220+H221,"-")</f>
        <v>8.548E-2</v>
      </c>
      <c r="I222" s="73">
        <f t="shared" si="45"/>
        <v>8.4870000000000001E-2</v>
      </c>
      <c r="J222" s="73">
        <f t="shared" si="45"/>
        <v>8.0420000000000005E-2</v>
      </c>
      <c r="K222" s="73">
        <f t="shared" si="45"/>
        <v>8.7039999999999992E-2</v>
      </c>
    </row>
    <row r="223" spans="1:11" hidden="1" x14ac:dyDescent="0.25"/>
    <row r="224" spans="1:11" ht="16.5" hidden="1" thickBot="1" x14ac:dyDescent="0.3">
      <c r="B224" s="9">
        <f ca="1">MAX(B$3:B223)+0.1</f>
        <v>12.699999999999998</v>
      </c>
      <c r="C224" s="29" t="s">
        <v>314</v>
      </c>
      <c r="D224" s="29"/>
      <c r="E224" s="29"/>
      <c r="F224" s="29"/>
      <c r="G224" s="29"/>
      <c r="H224" s="29"/>
      <c r="I224" s="29"/>
      <c r="J224" s="29"/>
      <c r="K224" s="29"/>
    </row>
    <row r="225" spans="3:14" hidden="1" x14ac:dyDescent="0.25"/>
    <row r="226" spans="3:14" ht="15.75" hidden="1" x14ac:dyDescent="0.25">
      <c r="C226" s="30" t="s">
        <v>315</v>
      </c>
    </row>
    <row r="227" spans="3:14" ht="15.75" hidden="1" x14ac:dyDescent="0.25">
      <c r="C227" s="44" t="s">
        <v>54</v>
      </c>
      <c r="D227" s="44" t="s">
        <v>110</v>
      </c>
      <c r="E227" s="44" t="s">
        <v>111</v>
      </c>
      <c r="F227" s="44" t="s">
        <v>99</v>
      </c>
      <c r="G227" s="61" t="s">
        <v>277</v>
      </c>
      <c r="H227" s="61" t="s">
        <v>278</v>
      </c>
      <c r="I227" s="61" t="s">
        <v>279</v>
      </c>
      <c r="J227" s="61" t="s">
        <v>280</v>
      </c>
      <c r="K227" s="61" t="s">
        <v>281</v>
      </c>
    </row>
    <row r="228" spans="3:14" hidden="1" x14ac:dyDescent="0.25">
      <c r="C228" s="24" t="s">
        <v>161</v>
      </c>
      <c r="D228" s="24" t="s">
        <v>139</v>
      </c>
      <c r="E228" s="24" t="s">
        <v>162</v>
      </c>
      <c r="F228" s="24" t="s">
        <v>119</v>
      </c>
      <c r="G228" s="62" cm="1">
        <f t="array" ref="G228">IFERROR(
(IFERROR(INDEX(Calc_CPI_1[[CPI uplift factor]:[CPI uplift factor]],MATCH($C228,Calc_CPI_1[[Cost item]:[Cost item]],0),1),0)+
INDEX(Input_ForRateCalc[[F-CurrentVDO_InputDate]:[F-NextVDO_Input]],MATCH(Calc_EnviroVEU_1[[#This Row],[Cost item]:[Cost item]],Input_ForRateCalc[[Cost item]:[Cost item]],0),MATCH($D$5,Inputs!$H$8:$Q$8,0))),"-")</f>
        <v>32.379354863483861</v>
      </c>
      <c r="H228" s="62" cm="1">
        <f t="array" ref="H228">IFERROR(
(IFERROR(INDEX(Calc_CPI_1[[CPI uplift factor]:[CPI uplift factor]],MATCH($C228,Calc_CPI_1[[Cost item]:[Cost item]],0),1),0)+
INDEX(Input_ForRateCalc[[F-CurrentVDO_InputDate]:[F-NextVDO_Input]],MATCH(Calc_EnviroVEU_1[[#This Row],[Cost item]:[Cost item]],Input_ForRateCalc[[Cost item]:[Cost item]],0),MATCH($D$5,Inputs!$H$8:$Q$8,0))),"-")</f>
        <v>32.379354863483861</v>
      </c>
      <c r="I228" s="62" cm="1">
        <f t="array" ref="I228">IFERROR(
(IFERROR(INDEX(Calc_CPI_1[[CPI uplift factor]:[CPI uplift factor]],MATCH($C228,Calc_CPI_1[[Cost item]:[Cost item]],0),1),0)+
INDEX(Input_ForRateCalc[[F-CurrentVDO_InputDate]:[F-NextVDO_Input]],MATCH(Calc_EnviroVEU_1[[#This Row],[Cost item]:[Cost item]],Input_ForRateCalc[[Cost item]:[Cost item]],0),MATCH($D$5,Inputs!$H$8:$Q$8,0))),"-")</f>
        <v>32.379354863483861</v>
      </c>
      <c r="J228" s="62" cm="1">
        <f t="array" ref="J228">IFERROR(
(IFERROR(INDEX(Calc_CPI_1[[CPI uplift factor]:[CPI uplift factor]],MATCH($C228,Calc_CPI_1[[Cost item]:[Cost item]],0),1),0)+
INDEX(Input_ForRateCalc[[F-CurrentVDO_InputDate]:[F-NextVDO_Input]],MATCH(Calc_EnviroVEU_1[[#This Row],[Cost item]:[Cost item]],Input_ForRateCalc[[Cost item]:[Cost item]],0),MATCH($D$5,Inputs!$H$8:$Q$8,0))),"-")</f>
        <v>32.379354863483861</v>
      </c>
      <c r="K228" s="62" cm="1">
        <f t="array" ref="K228">IFERROR(
(IFERROR(INDEX(Calc_CPI_1[[CPI uplift factor]:[CPI uplift factor]],MATCH($C228,Calc_CPI_1[[Cost item]:[Cost item]],0),1),0)+
INDEX(Input_ForRateCalc[[F-CurrentVDO_InputDate]:[F-NextVDO_Input]],MATCH(Calc_EnviroVEU_1[[#This Row],[Cost item]:[Cost item]],Input_ForRateCalc[[Cost item]:[Cost item]],0),MATCH($D$5,Inputs!$H$8:$Q$8,0))),"-")</f>
        <v>32.379354863483861</v>
      </c>
    </row>
    <row r="229" spans="3:14" hidden="1" x14ac:dyDescent="0.25">
      <c r="C229" s="24" t="s">
        <v>165</v>
      </c>
      <c r="D229" s="24" t="s">
        <v>139</v>
      </c>
      <c r="E229" s="24" t="s">
        <v>166</v>
      </c>
      <c r="F229" s="24" t="s">
        <v>119</v>
      </c>
      <c r="G229" s="57" cm="1">
        <f t="array" ref="G229">IFERROR(
(IFERROR(INDEX(Calc_CPI_1[[CPI uplift factor]:[CPI uplift factor]],MATCH($C229,Calc_CPI_1[[Cost item]:[Cost item]],0),1),0)+
INDEX(Input_ForRateCalc[[F-CurrentVDO_InputDate]:[F-NextVDO_Input]],MATCH(Calc_EnviroVEU_1[[#This Row],[Cost item]:[Cost item]],Input_ForRateCalc[[Cost item]:[Cost item]],0),MATCH($D$5,Inputs!$H$8:$Q$8,0))),"-")</f>
        <v>0.17255000000000001</v>
      </c>
      <c r="H229" s="57" cm="1">
        <f t="array" ref="H229">IFERROR(
(IFERROR(INDEX(Calc_CPI_1[[CPI uplift factor]:[CPI uplift factor]],MATCH($C229,Calc_CPI_1[[Cost item]:[Cost item]],0),1),0)+
INDEX(Input_ForRateCalc[[F-CurrentVDO_InputDate]:[F-NextVDO_Input]],MATCH(Calc_EnviroVEU_1[[#This Row],[Cost item]:[Cost item]],Input_ForRateCalc[[Cost item]:[Cost item]],0),MATCH($D$5,Inputs!$H$8:$Q$8,0))),"-")</f>
        <v>0.17255000000000001</v>
      </c>
      <c r="I229" s="57" cm="1">
        <f t="array" ref="I229">IFERROR(
(IFERROR(INDEX(Calc_CPI_1[[CPI uplift factor]:[CPI uplift factor]],MATCH($C229,Calc_CPI_1[[Cost item]:[Cost item]],0),1),0)+
INDEX(Input_ForRateCalc[[F-CurrentVDO_InputDate]:[F-NextVDO_Input]],MATCH(Calc_EnviroVEU_1[[#This Row],[Cost item]:[Cost item]],Input_ForRateCalc[[Cost item]:[Cost item]],0),MATCH($D$5,Inputs!$H$8:$Q$8,0))),"-")</f>
        <v>0.17255000000000001</v>
      </c>
      <c r="J229" s="57" cm="1">
        <f t="array" ref="J229">IFERROR(
(IFERROR(INDEX(Calc_CPI_1[[CPI uplift factor]:[CPI uplift factor]],MATCH($C229,Calc_CPI_1[[Cost item]:[Cost item]],0),1),0)+
INDEX(Input_ForRateCalc[[F-CurrentVDO_InputDate]:[F-NextVDO_Input]],MATCH(Calc_EnviroVEU_1[[#This Row],[Cost item]:[Cost item]],Input_ForRateCalc[[Cost item]:[Cost item]],0),MATCH($D$5,Inputs!$H$8:$Q$8,0))),"-")</f>
        <v>0.17255000000000001</v>
      </c>
      <c r="K229" s="57" cm="1">
        <f t="array" ref="K229">IFERROR(
(IFERROR(INDEX(Calc_CPI_1[[CPI uplift factor]:[CPI uplift factor]],MATCH($C229,Calc_CPI_1[[Cost item]:[Cost item]],0),1),0)+
INDEX(Input_ForRateCalc[[F-CurrentVDO_InputDate]:[F-NextVDO_Input]],MATCH(Calc_EnviroVEU_1[[#This Row],[Cost item]:[Cost item]],Input_ForRateCalc[[Cost item]:[Cost item]],0),MATCH($D$5,Inputs!$H$8:$Q$8,0))),"-")</f>
        <v>0.17255000000000001</v>
      </c>
    </row>
    <row r="230" spans="3:14" hidden="1" x14ac:dyDescent="0.25">
      <c r="C230" s="45" t="s">
        <v>316</v>
      </c>
      <c r="D230" s="45" t="s">
        <v>139</v>
      </c>
      <c r="E230" s="45" t="s">
        <v>291</v>
      </c>
      <c r="F230" s="24" t="s">
        <v>119</v>
      </c>
      <c r="G230" s="73">
        <f>IFERROR(
IFERROR(INDEX(Calc_CPI_1[[CPI uplift factor]:[CPI uplift factor]],MATCH($C230,Calc_CPI_1[[Cost item]:[Cost item]],0),1),0)+(G228*G229)/1000,"-")</f>
        <v>5.5870576816941407E-3</v>
      </c>
      <c r="H230" s="73">
        <f>IFERROR(
IFERROR(INDEX(Calc_CPI_1[[CPI uplift factor]:[CPI uplift factor]],MATCH($C230,Calc_CPI_1[[Cost item]:[Cost item]],0),1),0)+(H228*H229)/1000,"-")</f>
        <v>5.5870576816941407E-3</v>
      </c>
      <c r="I230" s="73">
        <f>IFERROR(
IFERROR(INDEX(Calc_CPI_1[[CPI uplift factor]:[CPI uplift factor]],MATCH($C230,Calc_CPI_1[[Cost item]:[Cost item]],0),1),0)+(I228*I229)/1000,"-")</f>
        <v>5.5870576816941407E-3</v>
      </c>
      <c r="J230" s="73">
        <f>IFERROR(
IFERROR(INDEX(Calc_CPI_1[[CPI uplift factor]:[CPI uplift factor]],MATCH($C230,Calc_CPI_1[[Cost item]:[Cost item]],0),1),0)+(J228*J229)/1000,"-")</f>
        <v>5.5870576816941407E-3</v>
      </c>
      <c r="K230" s="73">
        <f>IFERROR(
IFERROR(INDEX(Calc_CPI_1[[CPI uplift factor]:[CPI uplift factor]],MATCH($C230,Calc_CPI_1[[Cost item]:[Cost item]],0),1),0)+(K228*K229)/1000,"-")</f>
        <v>5.5870576816941407E-3</v>
      </c>
      <c r="M230" s="79"/>
      <c r="N230" s="79"/>
    </row>
    <row r="231" spans="3:14" hidden="1" x14ac:dyDescent="0.25">
      <c r="G231" s="79"/>
    </row>
    <row r="232" spans="3:14" ht="15.75" hidden="1" x14ac:dyDescent="0.25">
      <c r="C232" s="30" t="s">
        <v>317</v>
      </c>
      <c r="N232" s="79"/>
    </row>
    <row r="233" spans="3:14" ht="15.75" hidden="1" x14ac:dyDescent="0.25">
      <c r="C233" s="44" t="s">
        <v>54</v>
      </c>
      <c r="D233" s="44" t="s">
        <v>110</v>
      </c>
      <c r="E233" s="44" t="s">
        <v>111</v>
      </c>
      <c r="F233" s="44" t="s">
        <v>99</v>
      </c>
      <c r="G233" s="61" t="s">
        <v>277</v>
      </c>
      <c r="H233" s="61" t="s">
        <v>278</v>
      </c>
      <c r="I233" s="61" t="s">
        <v>279</v>
      </c>
      <c r="J233" s="61" t="s">
        <v>280</v>
      </c>
      <c r="K233" s="61" t="s">
        <v>281</v>
      </c>
    </row>
    <row r="234" spans="3:14" hidden="1" x14ac:dyDescent="0.25">
      <c r="C234" s="24" t="s">
        <v>163</v>
      </c>
      <c r="D234" s="24" t="s">
        <v>139</v>
      </c>
      <c r="E234" s="24" t="s">
        <v>162</v>
      </c>
      <c r="F234" s="24" t="s">
        <v>119</v>
      </c>
      <c r="G234" s="62" cm="1">
        <f t="array" ref="G234">IFERROR(
(IFERROR(INDEX(Calc_CPI_1[[CPI uplift factor]:[CPI uplift factor]],MATCH($C234,Calc_CPI_1[[Cost item]:[Cost item]],0),1),0)+
INDEX(Input_ForRateCalc[[F-CurrentVDO_InputDate]:[F-NextVDO_Input]],MATCH(Calc_EnviroLRET_1[[#This Row],[Cost item]:[Cost item]],Input_ForRateCalc[[Cost item]:[Cost item]],0),MATCH($D$5,Inputs!$H$8:$Q$8,0))),"-")</f>
        <v>35.75</v>
      </c>
      <c r="H234" s="62" cm="1">
        <f t="array" ref="H234">IFERROR(
(IFERROR(INDEX(Calc_CPI_1[[CPI uplift factor]:[CPI uplift factor]],MATCH($C234,Calc_CPI_1[[Cost item]:[Cost item]],0),1),0)+
INDEX(Input_ForRateCalc[[F-CurrentVDO_InputDate]:[F-NextVDO_Input]],MATCH(Calc_EnviroLRET_1[[#This Row],[Cost item]:[Cost item]],Input_ForRateCalc[[Cost item]:[Cost item]],0),MATCH($D$5,Inputs!$H$8:$Q$8,0))),"-")</f>
        <v>35.75</v>
      </c>
      <c r="I234" s="62" cm="1">
        <f t="array" ref="I234">IFERROR(
(IFERROR(INDEX(Calc_CPI_1[[CPI uplift factor]:[CPI uplift factor]],MATCH($C234,Calc_CPI_1[[Cost item]:[Cost item]],0),1),0)+
INDEX(Input_ForRateCalc[[F-CurrentVDO_InputDate]:[F-NextVDO_Input]],MATCH(Calc_EnviroLRET_1[[#This Row],[Cost item]:[Cost item]],Input_ForRateCalc[[Cost item]:[Cost item]],0),MATCH($D$5,Inputs!$H$8:$Q$8,0))),"-")</f>
        <v>35.75</v>
      </c>
      <c r="J234" s="62" cm="1">
        <f t="array" ref="J234">IFERROR(
(IFERROR(INDEX(Calc_CPI_1[[CPI uplift factor]:[CPI uplift factor]],MATCH($C234,Calc_CPI_1[[Cost item]:[Cost item]],0),1),0)+
INDEX(Input_ForRateCalc[[F-CurrentVDO_InputDate]:[F-NextVDO_Input]],MATCH(Calc_EnviroLRET_1[[#This Row],[Cost item]:[Cost item]],Input_ForRateCalc[[Cost item]:[Cost item]],0),MATCH($D$5,Inputs!$H$8:$Q$8,0))),"-")</f>
        <v>35.75</v>
      </c>
      <c r="K234" s="62" cm="1">
        <f t="array" ref="K234">IFERROR(
(IFERROR(INDEX(Calc_CPI_1[[CPI uplift factor]:[CPI uplift factor]],MATCH($C234,Calc_CPI_1[[Cost item]:[Cost item]],0),1),0)+
INDEX(Input_ForRateCalc[[F-CurrentVDO_InputDate]:[F-NextVDO_Input]],MATCH(Calc_EnviroLRET_1[[#This Row],[Cost item]:[Cost item]],Input_ForRateCalc[[Cost item]:[Cost item]],0),MATCH($D$5,Inputs!$H$8:$Q$8,0))),"-")</f>
        <v>35.75</v>
      </c>
    </row>
    <row r="235" spans="3:14" hidden="1" x14ac:dyDescent="0.25">
      <c r="C235" s="24" t="s">
        <v>167</v>
      </c>
      <c r="D235" s="24" t="s">
        <v>139</v>
      </c>
      <c r="E235" s="24" t="s">
        <v>166</v>
      </c>
      <c r="F235" s="24" t="s">
        <v>119</v>
      </c>
      <c r="G235" s="57" cm="1">
        <f t="array" ref="G235">IFERROR(
(IFERROR(INDEX(Calc_CPI_1[[CPI uplift factor]:[CPI uplift factor]],MATCH($C235,Calc_CPI_1[[Cost item]:[Cost item]],0),1),0)+
IF(OR($D$5="VDO 2021 - Final",$D$5="VDO 2021 - Variation draft",$D$5="VDO 2021 - Variation final"),
INDEX(Input_ForRateCalc[[F-CurrentVDO_InputDate]:[F-NextVDO_Input]],MATCH(Calc_EnviroLRET_1[[#This Row],[Cost item]:[Cost item]]&amp;" true up (2021 only)",Input_ForRateCalc[[Cost item]:[Cost item]],0),MATCH($D$5,Inputs!$H$8:$Q$8,0))+
INDEX(Input_ForRateCalc[[F-CurrentVDO_InputDate]:[F-NextVDO_Input]],MATCH(Calc_EnviroLRET_1[[#This Row],[Cost item]:[Cost item]],Input_ForRateCalc[[Cost item]:[Cost item]],0),MATCH($D$5,Inputs!$H$8:$Q$8,0)),
INDEX(Input_ForRateCalc[[F-CurrentVDO_InputDate]:[F-NextVDO_Input]],MATCH(Calc_EnviroLRET_1[[#This Row],[Cost item]:[Cost item]],Input_ForRateCalc[[Cost item]:[Cost item]],0),MATCH($D$5,Inputs!$H$8:$Q$8,0)))),"-")</f>
        <v>0.17764411838867972</v>
      </c>
      <c r="H235" s="57" cm="1">
        <f t="array" ref="H235">IFERROR(
(IFERROR(INDEX(Calc_CPI_1[[CPI uplift factor]:[CPI uplift factor]],MATCH($C235,Calc_CPI_1[[Cost item]:[Cost item]],0),1),0)+
IF(OR($D$5="VDO 2021 - Final",$D$5="VDO 2021 - Variation draft",$D$5="VDO 2021 - Variation final"),
INDEX(Input_ForRateCalc[[F-CurrentVDO_InputDate]:[F-NextVDO_Input]],MATCH(Calc_EnviroLRET_1[[#This Row],[Cost item]:[Cost item]]&amp;" true up (2021 only)",Input_ForRateCalc[[Cost item]:[Cost item]],0),MATCH($D$5,Inputs!$H$8:$Q$8,0))+
INDEX(Input_ForRateCalc[[F-CurrentVDO_InputDate]:[F-NextVDO_Input]],MATCH(Calc_EnviroLRET_1[[#This Row],[Cost item]:[Cost item]],Input_ForRateCalc[[Cost item]:[Cost item]],0),MATCH($D$5,Inputs!$H$8:$Q$8,0)),
INDEX(Input_ForRateCalc[[F-CurrentVDO_InputDate]:[F-NextVDO_Input]],MATCH(Calc_EnviroLRET_1[[#This Row],[Cost item]:[Cost item]],Input_ForRateCalc[[Cost item]:[Cost item]],0),MATCH($D$5,Inputs!$H$8:$Q$8,0)))),"-")</f>
        <v>0.17764411838867972</v>
      </c>
      <c r="I235" s="57" cm="1">
        <f t="array" ref="I235">IFERROR(
(IFERROR(INDEX(Calc_CPI_1[[CPI uplift factor]:[CPI uplift factor]],MATCH($C235,Calc_CPI_1[[Cost item]:[Cost item]],0),1),0)+
IF(OR($D$5="VDO 2021 - Final",$D$5="VDO 2021 - Variation draft",$D$5="VDO 2021 - Variation final"),
INDEX(Input_ForRateCalc[[F-CurrentVDO_InputDate]:[F-NextVDO_Input]],MATCH(Calc_EnviroLRET_1[[#This Row],[Cost item]:[Cost item]]&amp;" true up (2021 only)",Input_ForRateCalc[[Cost item]:[Cost item]],0),MATCH($D$5,Inputs!$H$8:$Q$8,0))+
INDEX(Input_ForRateCalc[[F-CurrentVDO_InputDate]:[F-NextVDO_Input]],MATCH(Calc_EnviroLRET_1[[#This Row],[Cost item]:[Cost item]],Input_ForRateCalc[[Cost item]:[Cost item]],0),MATCH($D$5,Inputs!$H$8:$Q$8,0)),
INDEX(Input_ForRateCalc[[F-CurrentVDO_InputDate]:[F-NextVDO_Input]],MATCH(Calc_EnviroLRET_1[[#This Row],[Cost item]:[Cost item]],Input_ForRateCalc[[Cost item]:[Cost item]],0),MATCH($D$5,Inputs!$H$8:$Q$8,0)))),"-")</f>
        <v>0.17764411838867972</v>
      </c>
      <c r="J235" s="57" cm="1">
        <f t="array" ref="J235">IFERROR(
(IFERROR(INDEX(Calc_CPI_1[[CPI uplift factor]:[CPI uplift factor]],MATCH($C235,Calc_CPI_1[[Cost item]:[Cost item]],0),1),0)+
IF(OR($D$5="VDO 2021 - Final",$D$5="VDO 2021 - Variation draft",$D$5="VDO 2021 - Variation final"),
INDEX(Input_ForRateCalc[[F-CurrentVDO_InputDate]:[F-NextVDO_Input]],MATCH(Calc_EnviroLRET_1[[#This Row],[Cost item]:[Cost item]]&amp;" true up (2021 only)",Input_ForRateCalc[[Cost item]:[Cost item]],0),MATCH($D$5,Inputs!$H$8:$Q$8,0))+
INDEX(Input_ForRateCalc[[F-CurrentVDO_InputDate]:[F-NextVDO_Input]],MATCH(Calc_EnviroLRET_1[[#This Row],[Cost item]:[Cost item]],Input_ForRateCalc[[Cost item]:[Cost item]],0),MATCH($D$5,Inputs!$H$8:$Q$8,0)),
INDEX(Input_ForRateCalc[[F-CurrentVDO_InputDate]:[F-NextVDO_Input]],MATCH(Calc_EnviroLRET_1[[#This Row],[Cost item]:[Cost item]],Input_ForRateCalc[[Cost item]:[Cost item]],0),MATCH($D$5,Inputs!$H$8:$Q$8,0)))),"-")</f>
        <v>0.17764411838867972</v>
      </c>
      <c r="K235" s="57" cm="1">
        <f t="array" ref="K235">IFERROR(
(IFERROR(INDEX(Calc_CPI_1[[CPI uplift factor]:[CPI uplift factor]],MATCH($C235,Calc_CPI_1[[Cost item]:[Cost item]],0),1),0)+
IF(OR($D$5="VDO 2021 - Final",$D$5="VDO 2021 - Variation draft",$D$5="VDO 2021 - Variation final"),
INDEX(Input_ForRateCalc[[F-CurrentVDO_InputDate]:[F-NextVDO_Input]],MATCH(Calc_EnviroLRET_1[[#This Row],[Cost item]:[Cost item]]&amp;" true up (2021 only)",Input_ForRateCalc[[Cost item]:[Cost item]],0),MATCH($D$5,Inputs!$H$8:$Q$8,0))+
INDEX(Input_ForRateCalc[[F-CurrentVDO_InputDate]:[F-NextVDO_Input]],MATCH(Calc_EnviroLRET_1[[#This Row],[Cost item]:[Cost item]],Input_ForRateCalc[[Cost item]:[Cost item]],0),MATCH($D$5,Inputs!$H$8:$Q$8,0)),
INDEX(Input_ForRateCalc[[F-CurrentVDO_InputDate]:[F-NextVDO_Input]],MATCH(Calc_EnviroLRET_1[[#This Row],[Cost item]:[Cost item]],Input_ForRateCalc[[Cost item]:[Cost item]],0),MATCH($D$5,Inputs!$H$8:$Q$8,0)))),"-")</f>
        <v>0.17764411838867972</v>
      </c>
    </row>
    <row r="236" spans="3:14" hidden="1" x14ac:dyDescent="0.25">
      <c r="C236" s="45" t="s">
        <v>318</v>
      </c>
      <c r="D236" s="45" t="s">
        <v>139</v>
      </c>
      <c r="E236" s="45" t="s">
        <v>291</v>
      </c>
      <c r="F236" s="24" t="s">
        <v>119</v>
      </c>
      <c r="G236" s="73">
        <f>IFERROR(
IFERROR(INDEX(Calc_CPI_1[[CPI uplift factor]:[CPI uplift factor]],MATCH($C236,Calc_CPI_1[[Cost item]:[Cost item]],0),1),0)+(G234*G235)/1000,"-")</f>
        <v>6.3507772323953002E-3</v>
      </c>
      <c r="H236" s="73">
        <f>IFERROR(
IFERROR(INDEX(Calc_CPI_1[[CPI uplift factor]:[CPI uplift factor]],MATCH($C236,Calc_CPI_1[[Cost item]:[Cost item]],0),1),0)+(H234*H235)/1000,"-")</f>
        <v>6.3507772323953002E-3</v>
      </c>
      <c r="I236" s="73">
        <f>IFERROR(
IFERROR(INDEX(Calc_CPI_1[[CPI uplift factor]:[CPI uplift factor]],MATCH($C236,Calc_CPI_1[[Cost item]:[Cost item]],0),1),0)+(I234*I235)/1000,"-")</f>
        <v>6.3507772323953002E-3</v>
      </c>
      <c r="J236" s="73">
        <f>IFERROR(
IFERROR(INDEX(Calc_CPI_1[[CPI uplift factor]:[CPI uplift factor]],MATCH($C236,Calc_CPI_1[[Cost item]:[Cost item]],0),1),0)+(J234*J235)/1000,"-")</f>
        <v>6.3507772323953002E-3</v>
      </c>
      <c r="K236" s="73">
        <f>IFERROR(
IFERROR(INDEX(Calc_CPI_1[[CPI uplift factor]:[CPI uplift factor]],MATCH($C236,Calc_CPI_1[[Cost item]:[Cost item]],0),1),0)+(K234*K235)/1000,"-")</f>
        <v>6.3507772323953002E-3</v>
      </c>
    </row>
    <row r="237" spans="3:14" hidden="1" x14ac:dyDescent="0.25"/>
    <row r="238" spans="3:14" ht="15.75" hidden="1" x14ac:dyDescent="0.25">
      <c r="C238" s="30" t="s">
        <v>319</v>
      </c>
    </row>
    <row r="239" spans="3:14" ht="15.75" hidden="1" x14ac:dyDescent="0.25">
      <c r="C239" s="44" t="s">
        <v>54</v>
      </c>
      <c r="D239" s="44" t="s">
        <v>110</v>
      </c>
      <c r="E239" s="44" t="s">
        <v>111</v>
      </c>
      <c r="F239" s="44" t="s">
        <v>99</v>
      </c>
      <c r="G239" s="61" t="s">
        <v>277</v>
      </c>
      <c r="H239" s="61" t="s">
        <v>278</v>
      </c>
      <c r="I239" s="61" t="s">
        <v>279</v>
      </c>
      <c r="J239" s="61" t="s">
        <v>280</v>
      </c>
      <c r="K239" s="61" t="s">
        <v>281</v>
      </c>
    </row>
    <row r="240" spans="3:14" hidden="1" x14ac:dyDescent="0.25">
      <c r="C240" s="24" t="s">
        <v>164</v>
      </c>
      <c r="D240" s="24" t="s">
        <v>139</v>
      </c>
      <c r="E240" s="24" t="s">
        <v>162</v>
      </c>
      <c r="F240" s="24" t="s">
        <v>119</v>
      </c>
      <c r="G240" s="62" cm="1">
        <f t="array" ref="G240">IFERROR(
(IFERROR(INDEX(Calc_CPI_1[[CPI uplift factor]:[CPI uplift factor]],MATCH($C240,Calc_CPI_1[[Cost item]:[Cost item]],0),1),0)+
INDEX(Input_ForRateCalc[[F-CurrentVDO_InputDate]:[F-NextVDO_Input]],MATCH(Calc_EnviroSRES_1[[#This Row],[Cost item]:[Cost item]],Input_ForRateCalc[[Cost item]:[Cost item]],0),MATCH($D$5,Inputs!$H$8:$Q$8,0))),"-")</f>
        <v>40</v>
      </c>
      <c r="H240" s="62" cm="1">
        <f t="array" ref="H240">IFERROR(
(IFERROR(INDEX(Calc_CPI_1[[CPI uplift factor]:[CPI uplift factor]],MATCH($C240,Calc_CPI_1[[Cost item]:[Cost item]],0),1),0)+
INDEX(Input_ForRateCalc[[F-CurrentVDO_InputDate]:[F-NextVDO_Input]],MATCH(Calc_EnviroSRES_1[[#This Row],[Cost item]:[Cost item]],Input_ForRateCalc[[Cost item]:[Cost item]],0),MATCH($D$5,Inputs!$H$8:$Q$8,0))),"-")</f>
        <v>40</v>
      </c>
      <c r="I240" s="62" cm="1">
        <f t="array" ref="I240">IFERROR(
(IFERROR(INDEX(Calc_CPI_1[[CPI uplift factor]:[CPI uplift factor]],MATCH($C240,Calc_CPI_1[[Cost item]:[Cost item]],0),1),0)+
INDEX(Input_ForRateCalc[[F-CurrentVDO_InputDate]:[F-NextVDO_Input]],MATCH(Calc_EnviroSRES_1[[#This Row],[Cost item]:[Cost item]],Input_ForRateCalc[[Cost item]:[Cost item]],0),MATCH($D$5,Inputs!$H$8:$Q$8,0))),"-")</f>
        <v>40</v>
      </c>
      <c r="J240" s="62" cm="1">
        <f t="array" ref="J240">IFERROR(
(IFERROR(INDEX(Calc_CPI_1[[CPI uplift factor]:[CPI uplift factor]],MATCH($C240,Calc_CPI_1[[Cost item]:[Cost item]],0),1),0)+
INDEX(Input_ForRateCalc[[F-CurrentVDO_InputDate]:[F-NextVDO_Input]],MATCH(Calc_EnviroSRES_1[[#This Row],[Cost item]:[Cost item]],Input_ForRateCalc[[Cost item]:[Cost item]],0),MATCH($D$5,Inputs!$H$8:$Q$8,0))),"-")</f>
        <v>40</v>
      </c>
      <c r="K240" s="62" cm="1">
        <f t="array" ref="K240">IFERROR(
(IFERROR(INDEX(Calc_CPI_1[[CPI uplift factor]:[CPI uplift factor]],MATCH($C240,Calc_CPI_1[[Cost item]:[Cost item]],0),1),0)+
INDEX(Input_ForRateCalc[[F-CurrentVDO_InputDate]:[F-NextVDO_Input]],MATCH(Calc_EnviroSRES_1[[#This Row],[Cost item]:[Cost item]],Input_ForRateCalc[[Cost item]:[Cost item]],0),MATCH($D$5,Inputs!$H$8:$Q$8,0))),"-")</f>
        <v>40</v>
      </c>
    </row>
    <row r="241" spans="1:11" hidden="1" x14ac:dyDescent="0.25">
      <c r="C241" s="24" t="s">
        <v>168</v>
      </c>
      <c r="D241" s="24" t="s">
        <v>139</v>
      </c>
      <c r="E241" s="24" t="s">
        <v>166</v>
      </c>
      <c r="F241" s="24" t="s">
        <v>119</v>
      </c>
      <c r="G241" s="57" cm="1">
        <f t="array" ref="G241">IFERROR(
(IFERROR(INDEX(Calc_CPI_1[[CPI uplift factor]:[CPI uplift factor]],MATCH($C241,Calc_CPI_1[[Cost item]:[Cost item]],0),1),0)+
IF(OR($D$5="VDO 2021 - Final",$D$5="VDO 2021 - Variation draft",$D$5="VDO 2021 - Variation final"),
INDEX(Input_ForRateCalc[[F-CurrentVDO_InputDate]:[F-NextVDO_Input]],MATCH(Calc_EnviroSRES_1[[#This Row],[Cost item]:[Cost item]]&amp;" true up (2021 only)",Input_ForRateCalc[[Cost item]:[Cost item]],0),MATCH($D$5,Inputs!$H$8:$Q$8,0))+
INDEX(Input_ForRateCalc[[F-CurrentVDO_InputDate]:[F-NextVDO_Input]],MATCH(Calc_EnviroSRES_1[[#This Row],[Cost item]:[Cost item]],Input_ForRateCalc[[Cost item]:[Cost item]],0),MATCH($D$5,Inputs!$H$8:$Q$8,0)),
INDEX(Input_ForRateCalc[[F-CurrentVDO_InputDate]:[F-NextVDO_Input]],MATCH(Calc_EnviroSRES_1[[#This Row],[Cost item]:[Cost item]],Input_ForRateCalc[[Cost item]:[Cost item]],0),MATCH($D$5,Inputs!$H$8:$Q$8,0)))),"-")</f>
        <v>0.28149999999999997</v>
      </c>
      <c r="H241" s="57" cm="1">
        <f t="array" ref="H241">IFERROR(
(IFERROR(INDEX(Calc_CPI_1[[CPI uplift factor]:[CPI uplift factor]],MATCH($C241,Calc_CPI_1[[Cost item]:[Cost item]],0),1),0)+
IF(OR($D$5="VDO 2021 - Final",$D$5="VDO 2021 - Variation draft",$D$5="VDO 2021 - Variation final"),
INDEX(Input_ForRateCalc[[F-CurrentVDO_InputDate]:[F-NextVDO_Input]],MATCH(Calc_EnviroSRES_1[[#This Row],[Cost item]:[Cost item]]&amp;" true up (2021 only)",Input_ForRateCalc[[Cost item]:[Cost item]],0),MATCH($D$5,Inputs!$H$8:$Q$8,0))+
INDEX(Input_ForRateCalc[[F-CurrentVDO_InputDate]:[F-NextVDO_Input]],MATCH(Calc_EnviroSRES_1[[#This Row],[Cost item]:[Cost item]],Input_ForRateCalc[[Cost item]:[Cost item]],0),MATCH($D$5,Inputs!$H$8:$Q$8,0)),
INDEX(Input_ForRateCalc[[F-CurrentVDO_InputDate]:[F-NextVDO_Input]],MATCH(Calc_EnviroSRES_1[[#This Row],[Cost item]:[Cost item]],Input_ForRateCalc[[Cost item]:[Cost item]],0),MATCH($D$5,Inputs!$H$8:$Q$8,0)))),"-")</f>
        <v>0.28149999999999997</v>
      </c>
      <c r="I241" s="57" cm="1">
        <f t="array" ref="I241">IFERROR(
(IFERROR(INDEX(Calc_CPI_1[[CPI uplift factor]:[CPI uplift factor]],MATCH($C241,Calc_CPI_1[[Cost item]:[Cost item]],0),1),0)+
IF(OR($D$5="VDO 2021 - Final",$D$5="VDO 2021 - Variation draft",$D$5="VDO 2021 - Variation final"),
INDEX(Input_ForRateCalc[[F-CurrentVDO_InputDate]:[F-NextVDO_Input]],MATCH(Calc_EnviroSRES_1[[#This Row],[Cost item]:[Cost item]]&amp;" true up (2021 only)",Input_ForRateCalc[[Cost item]:[Cost item]],0),MATCH($D$5,Inputs!$H$8:$Q$8,0))+
INDEX(Input_ForRateCalc[[F-CurrentVDO_InputDate]:[F-NextVDO_Input]],MATCH(Calc_EnviroSRES_1[[#This Row],[Cost item]:[Cost item]],Input_ForRateCalc[[Cost item]:[Cost item]],0),MATCH($D$5,Inputs!$H$8:$Q$8,0)),
INDEX(Input_ForRateCalc[[F-CurrentVDO_InputDate]:[F-NextVDO_Input]],MATCH(Calc_EnviroSRES_1[[#This Row],[Cost item]:[Cost item]],Input_ForRateCalc[[Cost item]:[Cost item]],0),MATCH($D$5,Inputs!$H$8:$Q$8,0)))),"-")</f>
        <v>0.28149999999999997</v>
      </c>
      <c r="J241" s="57" cm="1">
        <f t="array" ref="J241">IFERROR(
(IFERROR(INDEX(Calc_CPI_1[[CPI uplift factor]:[CPI uplift factor]],MATCH($C241,Calc_CPI_1[[Cost item]:[Cost item]],0),1),0)+
IF(OR($D$5="VDO 2021 - Final",$D$5="VDO 2021 - Variation draft",$D$5="VDO 2021 - Variation final"),
INDEX(Input_ForRateCalc[[F-CurrentVDO_InputDate]:[F-NextVDO_Input]],MATCH(Calc_EnviroSRES_1[[#This Row],[Cost item]:[Cost item]]&amp;" true up (2021 only)",Input_ForRateCalc[[Cost item]:[Cost item]],0),MATCH($D$5,Inputs!$H$8:$Q$8,0))+
INDEX(Input_ForRateCalc[[F-CurrentVDO_InputDate]:[F-NextVDO_Input]],MATCH(Calc_EnviroSRES_1[[#This Row],[Cost item]:[Cost item]],Input_ForRateCalc[[Cost item]:[Cost item]],0),MATCH($D$5,Inputs!$H$8:$Q$8,0)),
INDEX(Input_ForRateCalc[[F-CurrentVDO_InputDate]:[F-NextVDO_Input]],MATCH(Calc_EnviroSRES_1[[#This Row],[Cost item]:[Cost item]],Input_ForRateCalc[[Cost item]:[Cost item]],0),MATCH($D$5,Inputs!$H$8:$Q$8,0)))),"-")</f>
        <v>0.28149999999999997</v>
      </c>
      <c r="K241" s="57" cm="1">
        <f t="array" ref="K241">IFERROR(
(IFERROR(INDEX(Calc_CPI_1[[CPI uplift factor]:[CPI uplift factor]],MATCH($C241,Calc_CPI_1[[Cost item]:[Cost item]],0),1),0)+
IF(OR($D$5="VDO 2021 - Final",$D$5="VDO 2021 - Variation draft",$D$5="VDO 2021 - Variation final"),
INDEX(Input_ForRateCalc[[F-CurrentVDO_InputDate]:[F-NextVDO_Input]],MATCH(Calc_EnviroSRES_1[[#This Row],[Cost item]:[Cost item]]&amp;" true up (2021 only)",Input_ForRateCalc[[Cost item]:[Cost item]],0),MATCH($D$5,Inputs!$H$8:$Q$8,0))+
INDEX(Input_ForRateCalc[[F-CurrentVDO_InputDate]:[F-NextVDO_Input]],MATCH(Calc_EnviroSRES_1[[#This Row],[Cost item]:[Cost item]],Input_ForRateCalc[[Cost item]:[Cost item]],0),MATCH($D$5,Inputs!$H$8:$Q$8,0)),
INDEX(Input_ForRateCalc[[F-CurrentVDO_InputDate]:[F-NextVDO_Input]],MATCH(Calc_EnviroSRES_1[[#This Row],[Cost item]:[Cost item]],Input_ForRateCalc[[Cost item]:[Cost item]],0),MATCH($D$5,Inputs!$H$8:$Q$8,0)))),"-")</f>
        <v>0.28149999999999997</v>
      </c>
    </row>
    <row r="242" spans="1:11" hidden="1" x14ac:dyDescent="0.25">
      <c r="C242" s="45" t="s">
        <v>320</v>
      </c>
      <c r="D242" s="45" t="s">
        <v>139</v>
      </c>
      <c r="E242" s="45" t="s">
        <v>291</v>
      </c>
      <c r="F242" s="24" t="s">
        <v>119</v>
      </c>
      <c r="G242" s="73">
        <f>IFERROR(
IFERROR(INDEX(Calc_CPI_1[[CPI uplift factor]:[CPI uplift factor]],MATCH($C242,Calc_CPI_1[[Cost item]:[Cost item]],0),1),0)+(G240*G241)/1000,"-")</f>
        <v>1.1259999999999997E-2</v>
      </c>
      <c r="H242" s="73">
        <f>IFERROR(
IFERROR(INDEX(Calc_CPI_1[[CPI uplift factor]:[CPI uplift factor]],MATCH($C242,Calc_CPI_1[[Cost item]:[Cost item]],0),1),0)+(H240*H241)/1000,"-")</f>
        <v>1.1259999999999997E-2</v>
      </c>
      <c r="I242" s="73">
        <f>IFERROR(
IFERROR(INDEX(Calc_CPI_1[[CPI uplift factor]:[CPI uplift factor]],MATCH($C242,Calc_CPI_1[[Cost item]:[Cost item]],0),1),0)+(I240*I241)/1000,"-")</f>
        <v>1.1259999999999997E-2</v>
      </c>
      <c r="J242" s="73">
        <f>IFERROR(
IFERROR(INDEX(Calc_CPI_1[[CPI uplift factor]:[CPI uplift factor]],MATCH($C242,Calc_CPI_1[[Cost item]:[Cost item]],0),1),0)+(J240*J241)/1000,"-")</f>
        <v>1.1259999999999997E-2</v>
      </c>
      <c r="K242" s="73">
        <f>IFERROR(
IFERROR(INDEX(Calc_CPI_1[[CPI uplift factor]:[CPI uplift factor]],MATCH($C242,Calc_CPI_1[[Cost item]:[Cost item]],0),1),0)+(K240*K241)/1000,"-")</f>
        <v>1.1259999999999997E-2</v>
      </c>
    </row>
    <row r="243" spans="1:11" hidden="1" x14ac:dyDescent="0.25"/>
    <row r="244" spans="1:11" ht="15.75" hidden="1" collapsed="1" x14ac:dyDescent="0.25">
      <c r="A244" s="1" t="s">
        <v>30</v>
      </c>
      <c r="C244" s="30" t="s">
        <v>321</v>
      </c>
    </row>
    <row r="245" spans="1:11" ht="15.75" hidden="1" x14ac:dyDescent="0.25">
      <c r="C245" s="44" t="s">
        <v>54</v>
      </c>
      <c r="D245" s="44" t="s">
        <v>110</v>
      </c>
      <c r="E245" s="44" t="s">
        <v>111</v>
      </c>
      <c r="F245" s="44" t="s">
        <v>99</v>
      </c>
      <c r="G245" s="61" t="s">
        <v>277</v>
      </c>
      <c r="H245" s="61" t="s">
        <v>278</v>
      </c>
      <c r="I245" s="61" t="s">
        <v>279</v>
      </c>
      <c r="J245" s="61" t="s">
        <v>280</v>
      </c>
      <c r="K245" s="61" t="s">
        <v>281</v>
      </c>
    </row>
    <row r="246" spans="1:11" hidden="1" x14ac:dyDescent="0.25">
      <c r="C246" s="45" t="s">
        <v>125</v>
      </c>
      <c r="D246" s="45" t="s">
        <v>117</v>
      </c>
      <c r="E246" s="24" t="s">
        <v>118</v>
      </c>
      <c r="F246" s="24" t="s">
        <v>119</v>
      </c>
      <c r="G246" s="62" cm="1">
        <f t="array" ref="G246">IFERROR(
(IFERROR(INDEX(Calc_CPI_1[[CPI uplift factor]:[CPI uplift factor]],MATCH($C246,Calc_CPI_1[[Cost item]:[Cost item]],0),1),0)+
INDEX(Input_ForRateCalc[[F-CurrentVDO_InputDate]:[F-NextVDO_Input]],MATCH(Calc_FiT_1[[#This Row],[Cost item]:[Cost item]],Input_ForRateCalc[[Cost item]:[Cost item]],0),MATCH($D$5,Inputs!$H$8:$Q$8,0))),"-")</f>
        <v>10.849248189087444</v>
      </c>
      <c r="H246" s="62" cm="1">
        <f t="array" ref="H246">IFERROR(
(IFERROR(INDEX(Calc_CPI_1[[CPI uplift factor]:[CPI uplift factor]],MATCH($C246,Calc_CPI_1[[Cost item]:[Cost item]],0),1),0)+
INDEX(Input_ForRateCalc[[F-CurrentVDO_InputDate]:[F-NextVDO_Input]],MATCH(Calc_FiT_1[[#This Row],[Cost item]:[Cost item]],Input_ForRateCalc[[Cost item]:[Cost item]],0),MATCH($D$5,Inputs!$H$8:$Q$8,0))),"-")</f>
        <v>10.849248189087444</v>
      </c>
      <c r="I246" s="62" cm="1">
        <f t="array" ref="I246">IFERROR(
(IFERROR(INDEX(Calc_CPI_1[[CPI uplift factor]:[CPI uplift factor]],MATCH($C246,Calc_CPI_1[[Cost item]:[Cost item]],0),1),0)+
INDEX(Input_ForRateCalc[[F-CurrentVDO_InputDate]:[F-NextVDO_Input]],MATCH(Calc_FiT_1[[#This Row],[Cost item]:[Cost item]],Input_ForRateCalc[[Cost item]:[Cost item]],0),MATCH($D$5,Inputs!$H$8:$Q$8,0))),"-")</f>
        <v>10.849248189087444</v>
      </c>
      <c r="J246" s="62" cm="1">
        <f t="array" ref="J246">IFERROR(
(IFERROR(INDEX(Calc_CPI_1[[CPI uplift factor]:[CPI uplift factor]],MATCH($C246,Calc_CPI_1[[Cost item]:[Cost item]],0),1),0)+
INDEX(Input_ForRateCalc[[F-CurrentVDO_InputDate]:[F-NextVDO_Input]],MATCH(Calc_FiT_1[[#This Row],[Cost item]:[Cost item]],Input_ForRateCalc[[Cost item]:[Cost item]],0),MATCH($D$5,Inputs!$H$8:$Q$8,0))),"-")</f>
        <v>10.849248189087444</v>
      </c>
      <c r="K246" s="62" cm="1">
        <f t="array" ref="K246">IFERROR(
(IFERROR(INDEX(Calc_CPI_1[[CPI uplift factor]:[CPI uplift factor]],MATCH($C246,Calc_CPI_1[[Cost item]:[Cost item]],0),1),0)+
INDEX(Input_ForRateCalc[[F-CurrentVDO_InputDate]:[F-NextVDO_Input]],MATCH(Calc_FiT_1[[#This Row],[Cost item]:[Cost item]],Input_ForRateCalc[[Cost item]:[Cost item]],0),MATCH($D$5,Inputs!$H$8:$Q$8,0))),"-")</f>
        <v>10.849248189087444</v>
      </c>
    </row>
    <row r="247" spans="1:11" hidden="1" x14ac:dyDescent="0.25"/>
    <row r="248" spans="1:11" hidden="1" x14ac:dyDescent="0.25"/>
    <row r="249" spans="1:11" ht="15.75" hidden="1" x14ac:dyDescent="0.25">
      <c r="A249" s="1" t="s">
        <v>30</v>
      </c>
    </row>
    <row r="251" spans="1:11" ht="15.75" x14ac:dyDescent="0.25">
      <c r="B251"/>
      <c r="C251" s="55" t="s">
        <v>109</v>
      </c>
      <c r="D251" s="98" t="s">
        <v>268</v>
      </c>
    </row>
    <row r="252" spans="1:11" x14ac:dyDescent="0.25">
      <c r="B252"/>
    </row>
    <row r="253" spans="1:11" ht="16.5" thickBot="1" x14ac:dyDescent="0.3">
      <c r="B253" s="9">
        <f ca="1">MAX(B$3:B252)+0.1</f>
        <v>12.799999999999997</v>
      </c>
      <c r="C253" s="29" t="s">
        <v>275</v>
      </c>
      <c r="D253" s="29"/>
      <c r="E253" s="29"/>
      <c r="F253" s="29"/>
      <c r="G253" s="29"/>
      <c r="H253" s="29"/>
      <c r="I253" s="29"/>
      <c r="J253" s="29"/>
      <c r="K253" s="29"/>
    </row>
    <row r="254" spans="1:11" x14ac:dyDescent="0.25">
      <c r="B254"/>
      <c r="I254" s="88"/>
    </row>
    <row r="255" spans="1:11" ht="15.75" x14ac:dyDescent="0.25">
      <c r="B255"/>
      <c r="C255" s="44" t="s">
        <v>276</v>
      </c>
      <c r="D255" s="44" t="s">
        <v>110</v>
      </c>
      <c r="E255" s="44" t="s">
        <v>111</v>
      </c>
      <c r="F255" s="44" t="s">
        <v>99</v>
      </c>
      <c r="G255" s="61" t="s">
        <v>277</v>
      </c>
      <c r="H255" s="61" t="s">
        <v>278</v>
      </c>
      <c r="I255" s="61" t="s">
        <v>279</v>
      </c>
      <c r="J255" s="61" t="s">
        <v>280</v>
      </c>
      <c r="K255" s="61" t="s">
        <v>281</v>
      </c>
    </row>
    <row r="256" spans="1:11" x14ac:dyDescent="0.25">
      <c r="B256"/>
      <c r="C256" s="24" t="s">
        <v>115</v>
      </c>
      <c r="D256" s="24" t="s">
        <v>117</v>
      </c>
      <c r="E256" s="24" t="s">
        <v>118</v>
      </c>
      <c r="F256" s="24" t="s">
        <v>119</v>
      </c>
      <c r="G256" s="74">
        <f>SUMIFS(Calc_Retail_2[Ausnet],Calc_Retail_2[[Fixed/Variable]:[Fixed/Variable]],$D256,Calc_Retail_2[[Customer type]:[Customer type]],$F256)</f>
        <v>181.37562065040649</v>
      </c>
      <c r="H256" s="74">
        <f>SUMIFS(Calc_Retail_2[Citipower],Calc_Retail_2[[Fixed/Variable]:[Fixed/Variable]],$D256,Calc_Retail_2[[Customer type]:[Customer type]],$F256)</f>
        <v>181.37562065040649</v>
      </c>
      <c r="I256" s="74">
        <f>SUMIFS(Calc_Retail_2[Jemena],Calc_Retail_2[[Fixed/Variable]:[Fixed/Variable]],$D256,Calc_Retail_2[[Customer type]:[Customer type]],$F256)</f>
        <v>181.37562065040649</v>
      </c>
      <c r="J256" s="74">
        <f>SUMIFS(Calc_Retail_2[Powercor],Calc_Retail_2[[Fixed/Variable]:[Fixed/Variable]],$D256,Calc_Retail_2[[Customer type]:[Customer type]],$F256)</f>
        <v>181.37562065040649</v>
      </c>
      <c r="K256" s="74">
        <f>SUMIFS(Calc_Retail_2[United Energy],Calc_Retail_2[[Fixed/Variable]:[Fixed/Variable]],$D256,Calc_Retail_2[[Customer type]:[Customer type]],$F256)</f>
        <v>181.37562065040649</v>
      </c>
    </row>
    <row r="257" spans="2:16" x14ac:dyDescent="0.25">
      <c r="B257"/>
      <c r="C257" s="24" t="s">
        <v>282</v>
      </c>
      <c r="D257" s="24" t="s">
        <v>117</v>
      </c>
      <c r="E257" s="24" t="s">
        <v>118</v>
      </c>
      <c r="F257" s="24" t="s">
        <v>119</v>
      </c>
      <c r="G257" s="78">
        <f>SUMIFS(Calc_OtherCosts_2[Ausnet],Calc_OtherCosts_2[[Fixed/Variable]:[Fixed/Variable]],$D257,Calc_OtherCosts_2[[Customer type]:[Customer type]],$F257)</f>
        <v>4.1198525061118714</v>
      </c>
      <c r="H257" s="74">
        <f>SUMIFS(Calc_OtherCosts_2[Citipower],Calc_OtherCosts_2[[Fixed/Variable]:[Fixed/Variable]],$D257,Calc_OtherCosts_2[[Customer type]:[Customer type]],$F257)</f>
        <v>4.1198525061118714</v>
      </c>
      <c r="I257" s="74">
        <f>SUMIFS(Calc_OtherCosts_2[Jemena],Calc_OtherCosts_2[[Fixed/Variable]:[Fixed/Variable]],$D257,Calc_OtherCosts_2[[Customer type]:[Customer type]],$F257)</f>
        <v>4.1198525061118714</v>
      </c>
      <c r="J257" s="74">
        <f>SUMIFS(Calc_OtherCosts_2[Powercor],Calc_OtherCosts_2[[Fixed/Variable]:[Fixed/Variable]],$D257,Calc_OtherCosts_2[[Customer type]:[Customer type]],$F257)</f>
        <v>4.1198525061118714</v>
      </c>
      <c r="K257" s="74">
        <f>SUMIFS(Calc_OtherCosts_2[United Energy],Calc_OtherCosts_2[[Fixed/Variable]:[Fixed/Variable]],$D257,Calc_OtherCosts_2[[Customer type]:[Customer type]],$F257)</f>
        <v>4.1198525061118714</v>
      </c>
    </row>
    <row r="258" spans="2:16" x14ac:dyDescent="0.25">
      <c r="B258"/>
      <c r="C258" s="24" t="s">
        <v>283</v>
      </c>
      <c r="D258" s="24" t="s">
        <v>117</v>
      </c>
      <c r="E258" s="24" t="s">
        <v>118</v>
      </c>
      <c r="F258" s="24" t="s">
        <v>119</v>
      </c>
      <c r="G258" s="74">
        <f>SUMIFS(Calc_FiT_2[Ausnet],Calc_FiT_2[[Fixed/Variable]:[Fixed/Variable]],$D258,Calc_FiT_2[[Customer type]:[Customer type]],$F258)</f>
        <v>13.337821545021233</v>
      </c>
      <c r="H258" s="74">
        <f>SUMIFS(Calc_FiT_2[Citipower],Calc_FiT_2[[Fixed/Variable]:[Fixed/Variable]],$D258,Calc_FiT_2[[Customer type]:[Customer type]],$F258)</f>
        <v>13.337821545021233</v>
      </c>
      <c r="I258" s="74">
        <f>SUMIFS(Calc_FiT_2[Jemena],Calc_FiT_2[[Fixed/Variable]:[Fixed/Variable]],$D258,Calc_FiT_2[[Customer type]:[Customer type]],$F258)</f>
        <v>13.337821545021233</v>
      </c>
      <c r="J258" s="74">
        <f>SUMIFS(Calc_FiT_2[Powercor],Calc_FiT_2[[Fixed/Variable]:[Fixed/Variable]],$D258,Calc_FiT_2[[Customer type]:[Customer type]],$F258)</f>
        <v>13.337821545021233</v>
      </c>
      <c r="K258" s="74">
        <f>SUMIFS(Calc_FiT_2[United Energy],Calc_FiT_2[[Fixed/Variable]:[Fixed/Variable]],$D258,Calc_FiT_2[[Customer type]:[Customer type]],$F258)</f>
        <v>13.337821545021233</v>
      </c>
      <c r="P258" s="284"/>
    </row>
    <row r="259" spans="2:16" x14ac:dyDescent="0.25">
      <c r="B259"/>
      <c r="C259" s="24" t="s">
        <v>284</v>
      </c>
      <c r="D259" s="24" t="s">
        <v>117</v>
      </c>
      <c r="E259" s="24" t="s">
        <v>118</v>
      </c>
      <c r="F259" s="24" t="s">
        <v>119</v>
      </c>
      <c r="G259" s="74">
        <f>SUMIFS(Calc_NetworkF_2[Ausnet],Calc_NetworkF_2[[Fixed/Variable]:[Fixed/Variable]],$D259,Calc_NetworkF_2[[Customer type]:[Customer type]],$F259)</f>
        <v>63.7</v>
      </c>
      <c r="H259" s="74">
        <f>SUMIFS(Calc_NetworkF_2[Citipower],Calc_NetworkF_2[[Fixed/Variable]:[Fixed/Variable]],$D259,Calc_NetworkF_2[[Customer type]:[Customer type]],$F259)</f>
        <v>59.4</v>
      </c>
      <c r="I259" s="74">
        <f>SUMIFS(Calc_NetworkF_2[Jemena],Calc_NetworkF_2[[Fixed/Variable]:[Fixed/Variable]],$D259,Calc_NetworkF_2[[Customer type]:[Customer type]],$F259)</f>
        <v>54.19</v>
      </c>
      <c r="J259" s="74">
        <f>SUMIFS(Calc_NetworkF_2[Powercor],Calc_NetworkF_2[[Fixed/Variable]:[Fixed/Variable]],$D259,Calc_NetworkF_2[[Customer type]:[Customer type]],$F259)</f>
        <v>58</v>
      </c>
      <c r="K259" s="74">
        <f>SUMIFS(Calc_NetworkF_2[United Energy],Calc_NetworkF_2[[Fixed/Variable]:[Fixed/Variable]],$D259,Calc_NetworkF_2[[Customer type]:[Customer type]],$F259)</f>
        <v>42.92</v>
      </c>
    </row>
    <row r="260" spans="2:16" x14ac:dyDescent="0.25">
      <c r="B260"/>
    </row>
    <row r="261" spans="2:16" ht="15.75" x14ac:dyDescent="0.25">
      <c r="B261"/>
      <c r="C261" s="30" t="s">
        <v>285</v>
      </c>
    </row>
    <row r="262" spans="2:16" ht="15.75" outlineLevel="1" x14ac:dyDescent="0.25">
      <c r="B262"/>
      <c r="C262" s="82" t="s">
        <v>509</v>
      </c>
    </row>
    <row r="263" spans="2:16" outlineLevel="1" x14ac:dyDescent="0.25">
      <c r="B263"/>
      <c r="C263" s="24" t="s">
        <v>295</v>
      </c>
      <c r="D263" s="24" t="s">
        <v>11</v>
      </c>
      <c r="E263" s="24" t="s">
        <v>118</v>
      </c>
      <c r="F263" s="24" t="s">
        <v>100</v>
      </c>
      <c r="G263" s="62">
        <f>SUMIFS(Calc_NetworkF_2[Ausnet],Calc_NetworkF_2[[Cost item]:[Cost item]],$C262,Calc_NetworkF_2[[Customer type]:[Customer type]],$F263)</f>
        <v>111.11</v>
      </c>
      <c r="H263" s="62">
        <f>SUMIFS(Calc_NetworkF_2[Citipower],Calc_NetworkF_2[[Cost item]:[Cost item]],$C262,Calc_NetworkF_2[[Customer type]:[Customer type]],$F263)</f>
        <v>90.009</v>
      </c>
      <c r="I263" s="62">
        <f>SUMIFS(Calc_NetworkF_2[Jemena],Calc_NetworkF_2[[Cost item]:[Cost item]],$C262,Calc_NetworkF_2[[Customer type]:[Customer type]],$F263)</f>
        <v>82.195999999999998</v>
      </c>
      <c r="J263" s="62">
        <f>SUMIFS(Calc_NetworkF_2[Powercor],Calc_NetworkF_2[[Cost item]:[Cost item]],$C262,Calc_NetworkF_2[[Customer type]:[Customer type]],$F263)</f>
        <v>139.97749999999999</v>
      </c>
      <c r="K263" s="62">
        <f>SUMIFS(Calc_NetworkF_2[United Energy],Calc_NetworkF_2[[Cost item]:[Cost item]],$C262,Calc_NetworkF_2[[Customer type]:[Customer type]],$F263)</f>
        <v>80.007999999999996</v>
      </c>
    </row>
    <row r="264" spans="2:16" outlineLevel="1" x14ac:dyDescent="0.25">
      <c r="B264"/>
      <c r="C264" s="24" t="s">
        <v>276</v>
      </c>
      <c r="D264" s="24" t="s">
        <v>11</v>
      </c>
      <c r="E264" s="24" t="s">
        <v>118</v>
      </c>
      <c r="F264" s="24" t="s">
        <v>100</v>
      </c>
      <c r="G264" s="74">
        <f>IF(G263=0,"-",SUMIFS(Calc_Fixed_2[Ausnet],Calc_Fixed_2[Customer type],"All")+SUMIFS(Calc_Fixed_2[Ausnet],Calc_Fixed_2[Customer type],$F264))</f>
        <v>262.5332947015396</v>
      </c>
      <c r="H264" s="74">
        <f>IF(H263=0,"-",SUMIFS(Calc_Fixed_2[Citipower],Calc_Fixed_2[[Customer type]:[Customer type]],"All")+SUMIFS(Calc_Fixed_2[Citipower],Calc_Fixed_2[[Customer type]:[Customer type]],$F265))</f>
        <v>258.23329470153959</v>
      </c>
      <c r="I264" s="74">
        <f>IF(I263=0,"-",SUMIFS(Calc_Fixed_2[Jemena],Calc_Fixed_2[[Customer type]:[Customer type]],"All")+SUMIFS(Calc_Fixed_2[Jemena],Calc_Fixed_2[[Customer type]:[Customer type]],$F265))</f>
        <v>253.02329470153958</v>
      </c>
      <c r="J264" s="74">
        <f>IF(J263=0,"-",SUMIFS(Calc_Fixed_2[Powercor],Calc_Fixed_2[[Customer type]:[Customer type]],"All")+SUMIFS(Calc_Fixed_2[Powercor],Calc_Fixed_2[[Customer type]:[Customer type]],$F265))</f>
        <v>256.83329470153956</v>
      </c>
      <c r="K264" s="74">
        <f>IF(K263=0,"-",SUMIFS(Calc_Fixed_2[United Energy],Calc_Fixed_2[[Customer type]:[Customer type]],"All")+SUMIFS(Calc_Fixed_2[United Energy],Calc_Fixed_2[[Customer type]:[Customer type]],$F265))</f>
        <v>241.75329470153957</v>
      </c>
    </row>
    <row r="265" spans="2:16" outlineLevel="1" x14ac:dyDescent="0.25">
      <c r="B265"/>
      <c r="C265" s="24" t="s">
        <v>212</v>
      </c>
      <c r="D265" s="24" t="s">
        <v>11</v>
      </c>
      <c r="E265" s="24" t="s">
        <v>118</v>
      </c>
      <c r="F265" s="24" t="s">
        <v>100</v>
      </c>
      <c r="G265" s="74" cm="1">
        <f t="array" ref="G265">IF(G263=0,"-",(G263+G264)*Calc_ROM_2[Ausnet])</f>
        <v>22.568054999972993</v>
      </c>
      <c r="H265" s="74" cm="1">
        <f t="array" ref="H265">IF(H263=0,"-",(H263+H264)*Calc_ROM_2[Citipower])</f>
        <v>21.033834599972995</v>
      </c>
      <c r="I265" s="74" cm="1">
        <f t="array" ref="I265">IF(I263=0,"-",(I263+I264)*Calc_ROM_2[Jemena])</f>
        <v>20.247245399972993</v>
      </c>
      <c r="J265" s="74" cm="1">
        <f t="array" ref="J265">IF(J263=0,"-",(J263+J264)*Calc_ROM_2[Powercor])</f>
        <v>23.96737199997299</v>
      </c>
      <c r="K265" s="74" cm="1">
        <f t="array" ref="K265">IF(K263=0,"-",(K263+K264)*Calc_ROM_2[United Energy])</f>
        <v>19.43438219997299</v>
      </c>
    </row>
    <row r="266" spans="2:16" outlineLevel="1" x14ac:dyDescent="0.25">
      <c r="B266"/>
      <c r="C266" s="24" t="s">
        <v>286</v>
      </c>
      <c r="D266" s="24" t="s">
        <v>11</v>
      </c>
      <c r="E266" s="24" t="s">
        <v>118</v>
      </c>
      <c r="F266" s="24" t="s">
        <v>100</v>
      </c>
      <c r="G266" s="74">
        <f>IF(G263=0,"-",(G263+G264+G265)*GST)</f>
        <v>39.621134970151267</v>
      </c>
      <c r="H266" s="74">
        <f>IF(H263=0,"-",(H263+H264+H265)*GST)</f>
        <v>36.927612930151263</v>
      </c>
      <c r="I266" s="74">
        <f>IF(I263=0,"-",(I263+I264+I265)*GST)</f>
        <v>35.546654010151258</v>
      </c>
      <c r="J266" s="74">
        <f>IF(J263=0,"-",(J263+J264+J265)*GST)</f>
        <v>42.077816670151257</v>
      </c>
      <c r="K266" s="74">
        <f>IF(K263=0,"-",(K263+K264+K265)*GST)</f>
        <v>34.119567690151257</v>
      </c>
    </row>
    <row r="267" spans="2:16" outlineLevel="1" x14ac:dyDescent="0.25">
      <c r="B267"/>
      <c r="C267" s="24" t="s">
        <v>287</v>
      </c>
      <c r="D267" s="24" t="s">
        <v>11</v>
      </c>
      <c r="E267" s="24" t="s">
        <v>118</v>
      </c>
      <c r="F267" s="24" t="s">
        <v>100</v>
      </c>
      <c r="G267" s="74">
        <f>IF(G263=0,"-",G263+G264+G265+G266)</f>
        <v>435.83248467166391</v>
      </c>
      <c r="H267" s="74">
        <f t="shared" ref="H267" si="46">IF(H263=0,"-",H263+H264+H265+H266)</f>
        <v>406.20374223166385</v>
      </c>
      <c r="I267" s="74">
        <f t="shared" ref="I267" si="47">IF(I263=0,"-",I263+I264+I265+I266)</f>
        <v>391.01319411166384</v>
      </c>
      <c r="J267" s="74">
        <f t="shared" ref="J267" si="48">IF(J263=0,"-",J263+J264+J265+J266)</f>
        <v>462.8559833716638</v>
      </c>
      <c r="K267" s="74">
        <f t="shared" ref="K267" si="49">IF(K263=0,"-",K263+K264+K265+K266)</f>
        <v>375.31524459166383</v>
      </c>
    </row>
    <row r="268" spans="2:16" outlineLevel="1" x14ac:dyDescent="0.25">
      <c r="B268"/>
      <c r="C268" s="24" t="str">
        <f>C262</f>
        <v>Anytime - supply</v>
      </c>
      <c r="D268" s="24" t="s">
        <v>11</v>
      </c>
      <c r="E268" s="24" t="s">
        <v>118</v>
      </c>
      <c r="F268" s="24" t="s">
        <v>100</v>
      </c>
      <c r="G268" s="75">
        <f>IF(G263=0,"-",G267/DiY)</f>
        <v>1.1940616018401751</v>
      </c>
      <c r="H268" s="75">
        <f>IF(H263=0,"-",H267/DiY)</f>
        <v>1.1128869650182571</v>
      </c>
      <c r="I268" s="75">
        <f>IF(I263=0,"-",I267/DiY)</f>
        <v>1.0712690249634627</v>
      </c>
      <c r="J268" s="75">
        <f>IF(J263=0,"-",J267/DiY)</f>
        <v>1.2680985845799009</v>
      </c>
      <c r="K268" s="75">
        <f>IF(K263=0,"-",K267/DiY)</f>
        <v>1.0282609440867503</v>
      </c>
    </row>
    <row r="269" spans="2:16" outlineLevel="1" x14ac:dyDescent="0.25">
      <c r="B269"/>
      <c r="G269" s="111" cm="1">
        <f t="array" ref="G269">IF(G263=0,"-",
IF($D$251='Lookup refs'!$D$25,
IF(G268=INDEX(RateCheck_VDO2021F[[Ausnet]:[United Energy]],MATCH(Calc_Rates!$C268&amp;"_"&amp;Calc_Rates!$F268,RateCheck_VDO2021F[Rate],0),MATCH(Calc_Rates!G$9,RateCheck_VDO2021F[[#Headers],[Ausnet]:[United Energy]],0)),0,1),
IF(ROUND(G268,8)=ROUND((((
SUMIFS(Calc_NetworkF_2[Ausnet],Calc_NetworkF_2[Cost item],$C262,Calc_NetworkF_2[Customer type],$F263)+
SUMIFS(Calc_Fixed_2[Ausnet],Calc_Fixed_2[Customer type],Calc_Rates!$F268)+
SUMIFS(Calc_Fixed_2[Ausnet],Calc_Fixed_2[Customer type],"All"))*(1+Calc_ROM_2[Ausnet]))*(1+GST))/DiY,8),0,1)))</f>
        <v>0</v>
      </c>
      <c r="H269" s="111" cm="1">
        <f t="array" ref="H269">IF(H263=0,"-",
IF($D$251='Lookup refs'!$D$25,
IF(H268=INDEX(RateCheck_VDO2021F[[Ausnet]:[United Energy]],MATCH(Calc_Rates!$C268&amp;"_"&amp;Calc_Rates!$F268,RateCheck_VDO2021F[Rate],0),MATCH(Calc_Rates!H$9,RateCheck_VDO2021F[[#Headers],[Ausnet]:[United Energy]],0)),0,1),
IF(ROUND(H268,8)=ROUND((((
SUMIFS(Calc_NetworkF_2[Citipower],Calc_NetworkF_2[Cost item],$C262,Calc_NetworkF_2[Customer type],$F263)+
SUMIFS(Calc_Fixed_2[Citipower],Calc_Fixed_2[Customer type],Calc_Rates!$F268)+
SUMIFS(Calc_Fixed_2[Citipower],Calc_Fixed_2[Customer type],"All"))*(1+Calc_ROM_2[Citipower]))*(1+GST))/DiY,8),0,1)))</f>
        <v>0</v>
      </c>
      <c r="I269" s="111" cm="1">
        <f t="array" ref="I269">IF(I263=0,"-",
IF($D$251='Lookup refs'!$D$25,
IF(I268=INDEX(RateCheck_VDO2021F[[Ausnet]:[United Energy]],MATCH(Calc_Rates!$C268&amp;"_"&amp;Calc_Rates!$F268,RateCheck_VDO2021F[Rate],0),MATCH(Calc_Rates!I$9,RateCheck_VDO2021F[[#Headers],[Ausnet]:[United Energy]],0)),0,1),
IF(ROUND(I268,8)=ROUND((((
SUMIFS(Calc_NetworkF_2[Jemena],Calc_NetworkF_2[Cost item],$C262,Calc_NetworkF_2[Customer type],$F263)+
SUMIFS(Calc_Fixed_2[Jemena],Calc_Fixed_2[Customer type],Calc_Rates!$F268)+
SUMIFS(Calc_Fixed_2[Jemena],Calc_Fixed_2[Customer type],"All"))*(1+Calc_ROM_2[Jemena]))*(1+GST))/DiY,8),0,1)))</f>
        <v>0</v>
      </c>
      <c r="J269" s="111" cm="1">
        <f t="array" ref="J269">IF(J263=0,"-",
IF($D$251='Lookup refs'!$D$25,
IF(J268=INDEX(RateCheck_VDO2021F[[Ausnet]:[United Energy]],MATCH(Calc_Rates!$C268&amp;"_"&amp;Calc_Rates!$F268,RateCheck_VDO2021F[[Rate]:[Rate]],0),MATCH(Calc_Rates!J$9,RateCheck_VDO2021F[[#Headers],[Ausnet]:[United Energy]],0)),0,1),
IF(ROUND(J268,8)=ROUND((((
SUMIFS(Calc_NetworkF_2[Powercor],Calc_NetworkF_2[[Cost item]:[Cost item]],$C262,Calc_NetworkF_2[[Customer type]:[Customer type]],$F263)+
SUMIFS(Calc_Fixed_2[Powercor],Calc_Fixed_2[[Customer type]:[Customer type]],Calc_Rates!$F268)+
SUMIFS(Calc_Fixed_2[Powercor],Calc_Fixed_2[[Customer type]:[Customer type]],"All"))*(1+Calc_ROM_2[Powercor]))*(1+GST))/DiY,8),0,1)))</f>
        <v>0</v>
      </c>
      <c r="K269" s="111" cm="1">
        <f t="array" ref="K269">IF(K263=0,"-",
IF($D$251='Lookup refs'!$D$25,
IF(K268=INDEX(RateCheck_VDO2021F[[Ausnet]:[United Energy]],MATCH(Calc_Rates!$C268&amp;"_"&amp;Calc_Rates!$F268,RateCheck_VDO2021F[[Rate]:[Rate]],0),MATCH(Calc_Rates!K$9,RateCheck_VDO2021F[[#Headers],[Ausnet]:[United Energy]],0)),0,1),
IF(ROUND(K268,8)=ROUND((((
SUMIFS(Calc_NetworkF_2[United Energy],Calc_NetworkF_2[[Cost item]:[Cost item]],$C262,Calc_NetworkF_2[[Customer type]:[Customer type]],$F263)+
SUMIFS(Calc_Fixed_2[United Energy],Calc_Fixed_2[[Customer type]:[Customer type]],Calc_Rates!$F268)+
SUMIFS(Calc_Fixed_2[United Energy],Calc_Fixed_2[[Customer type]:[Customer type]],"All"))*(1+Calc_ROM_2[United Energy]))*(1+GST))/DiY,8),0,1)))</f>
        <v>0</v>
      </c>
    </row>
    <row r="270" spans="2:16" ht="15.75" outlineLevel="1" x14ac:dyDescent="0.25">
      <c r="B270"/>
      <c r="C270" s="82" t="s">
        <v>510</v>
      </c>
    </row>
    <row r="271" spans="2:16" outlineLevel="1" x14ac:dyDescent="0.25">
      <c r="B271"/>
      <c r="C271" s="24" t="s">
        <v>295</v>
      </c>
      <c r="D271" s="24" t="s">
        <v>11</v>
      </c>
      <c r="E271" s="24" t="s">
        <v>118</v>
      </c>
      <c r="F271" s="24" t="s">
        <v>100</v>
      </c>
      <c r="G271" s="62">
        <f>SUMIFS(Calc_NetworkF_2[Ausnet],Calc_NetworkF_2[[Cost item]:[Cost item]],$C270,Calc_NetworkF_2[[Customer type]:[Customer type]],$F271)</f>
        <v>111.11</v>
      </c>
      <c r="H271" s="62">
        <f>SUMIFS(Calc_NetworkF_2[Citipower],Calc_NetworkF_2[[Cost item]:[Cost item]],$C270,Calc_NetworkF_2[[Customer type]:[Customer type]],$F271)</f>
        <v>90.009</v>
      </c>
      <c r="I271" s="62">
        <f>SUMIFS(Calc_NetworkF_2[Jemena],Calc_NetworkF_2[[Cost item]:[Cost item]],$C270,Calc_NetworkF_2[[Customer type]:[Customer type]],$F271)</f>
        <v>82.195999999999998</v>
      </c>
      <c r="J271" s="62">
        <f>SUMIFS(Calc_NetworkF_2[Powercor],Calc_NetworkF_2[[Cost item]:[Cost item]],$C270,Calc_NetworkF_2[[Customer type]:[Customer type]],$F271)</f>
        <v>139.97749999999999</v>
      </c>
      <c r="K271" s="62">
        <f>SUMIFS(Calc_NetworkF_2[United Energy],Calc_NetworkF_2[[Cost item]:[Cost item]],$C270,Calc_NetworkF_2[[Customer type]:[Customer type]],$F271)</f>
        <v>80.007999999999996</v>
      </c>
    </row>
    <row r="272" spans="2:16" outlineLevel="1" x14ac:dyDescent="0.25">
      <c r="B272"/>
      <c r="C272" s="24" t="s">
        <v>276</v>
      </c>
      <c r="D272" s="24" t="s">
        <v>11</v>
      </c>
      <c r="E272" s="24" t="s">
        <v>118</v>
      </c>
      <c r="F272" s="24" t="s">
        <v>100</v>
      </c>
      <c r="G272" s="74">
        <f>IF(G271=0,"-",SUMIFS(Calc_Fixed_2[Ausnet],Calc_Fixed_2[[Customer type]:[Customer type]],"All")+SUMIFS(Calc_Fixed_2[Ausnet],Calc_Fixed_2[[Customer type]:[Customer type]],$F272))</f>
        <v>262.5332947015396</v>
      </c>
      <c r="H272" s="74">
        <f>IF(H271=0,"-",SUMIFS(Calc_Fixed_2[Citipower],Calc_Fixed_2[[Customer type]:[Customer type]],"All")+SUMIFS(Calc_Fixed_2[Citipower],Calc_Fixed_2[[Customer type]:[Customer type]],$F273))</f>
        <v>258.23329470153959</v>
      </c>
      <c r="I272" s="74">
        <f>IF(I271=0,"-",SUMIFS(Calc_Fixed_2[Jemena],Calc_Fixed_2[[Customer type]:[Customer type]],"All")+SUMIFS(Calc_Fixed_2[Jemena],Calc_Fixed_2[[Customer type]:[Customer type]],$F273))</f>
        <v>253.02329470153958</v>
      </c>
      <c r="J272" s="74">
        <f>IF(J271=0,"-",SUMIFS(Calc_Fixed_2[Powercor],Calc_Fixed_2[[Customer type]:[Customer type]],"All")+SUMIFS(Calc_Fixed_2[Powercor],Calc_Fixed_2[[Customer type]:[Customer type]],$F273))</f>
        <v>256.83329470153956</v>
      </c>
      <c r="K272" s="74">
        <f>IF(K271=0,"-",SUMIFS(Calc_Fixed_2[United Energy],Calc_Fixed_2[[Customer type]:[Customer type]],"All")+SUMIFS(Calc_Fixed_2[United Energy],Calc_Fixed_2[[Customer type]:[Customer type]],$F273))</f>
        <v>241.75329470153957</v>
      </c>
    </row>
    <row r="273" spans="2:11" outlineLevel="1" x14ac:dyDescent="0.25">
      <c r="B273"/>
      <c r="C273" s="24" t="s">
        <v>212</v>
      </c>
      <c r="D273" s="24" t="s">
        <v>11</v>
      </c>
      <c r="E273" s="24" t="s">
        <v>118</v>
      </c>
      <c r="F273" s="24" t="s">
        <v>100</v>
      </c>
      <c r="G273" s="74" cm="1">
        <f t="array" ref="G273">IF(G271=0,"-",(G271+G272)*Calc_ROM_2[Ausnet])</f>
        <v>22.568054999972993</v>
      </c>
      <c r="H273" s="74" cm="1">
        <f t="array" ref="H273">IF(H271=0,"-",(H271+H272)*Calc_ROM_2[Citipower])</f>
        <v>21.033834599972995</v>
      </c>
      <c r="I273" s="74" cm="1">
        <f t="array" ref="I273">IF(I271=0,"-",(I271+I272)*Calc_ROM_2[Jemena])</f>
        <v>20.247245399972993</v>
      </c>
      <c r="J273" s="74" cm="1">
        <f t="array" ref="J273">IF(J271=0,"-",(J271+J272)*Calc_ROM_2[Powercor])</f>
        <v>23.96737199997299</v>
      </c>
      <c r="K273" s="74" cm="1">
        <f t="array" ref="K273">IF(K271=0,"-",(K271+K272)*Calc_ROM_2[United Energy])</f>
        <v>19.43438219997299</v>
      </c>
    </row>
    <row r="274" spans="2:11" outlineLevel="1" x14ac:dyDescent="0.25">
      <c r="B274"/>
      <c r="C274" s="24" t="s">
        <v>286</v>
      </c>
      <c r="D274" s="24" t="s">
        <v>11</v>
      </c>
      <c r="E274" s="24" t="s">
        <v>118</v>
      </c>
      <c r="F274" s="24" t="s">
        <v>100</v>
      </c>
      <c r="G274" s="74">
        <f>IF(G271=0,"-",(G271+G272+G273)*GST)</f>
        <v>39.621134970151267</v>
      </c>
      <c r="H274" s="74">
        <f>IF(H271=0,"-",(H271+H272+H273)*GST)</f>
        <v>36.927612930151263</v>
      </c>
      <c r="I274" s="74">
        <f>IF(I271=0,"-",(I271+I272+I273)*GST)</f>
        <v>35.546654010151258</v>
      </c>
      <c r="J274" s="74">
        <f>IF(J271=0,"-",(J271+J272+J273)*GST)</f>
        <v>42.077816670151257</v>
      </c>
      <c r="K274" s="74">
        <f>IF(K271=0,"-",(K271+K272+K273)*GST)</f>
        <v>34.119567690151257</v>
      </c>
    </row>
    <row r="275" spans="2:11" outlineLevel="1" x14ac:dyDescent="0.25">
      <c r="B275"/>
      <c r="C275" s="24" t="s">
        <v>287</v>
      </c>
      <c r="D275" s="24" t="s">
        <v>11</v>
      </c>
      <c r="E275" s="24" t="s">
        <v>118</v>
      </c>
      <c r="F275" s="24" t="s">
        <v>100</v>
      </c>
      <c r="G275" s="74">
        <f>IF(G271=0,"-",G271+G272+G273+G274)</f>
        <v>435.83248467166391</v>
      </c>
      <c r="H275" s="74">
        <f t="shared" ref="H275" si="50">IF(H271=0,"-",H271+H272+H273+H274)</f>
        <v>406.20374223166385</v>
      </c>
      <c r="I275" s="74">
        <f t="shared" ref="I275" si="51">IF(I271=0,"-",I271+I272+I273+I274)</f>
        <v>391.01319411166384</v>
      </c>
      <c r="J275" s="74">
        <f t="shared" ref="J275" si="52">IF(J271=0,"-",J271+J272+J273+J274)</f>
        <v>462.8559833716638</v>
      </c>
      <c r="K275" s="74">
        <f t="shared" ref="K275" si="53">IF(K271=0,"-",K271+K272+K273+K274)</f>
        <v>375.31524459166383</v>
      </c>
    </row>
    <row r="276" spans="2:11" outlineLevel="1" x14ac:dyDescent="0.25">
      <c r="B276"/>
      <c r="C276" s="24" t="str">
        <f>C270</f>
        <v>TOU - supply</v>
      </c>
      <c r="D276" s="24" t="s">
        <v>11</v>
      </c>
      <c r="E276" s="24" t="s">
        <v>118</v>
      </c>
      <c r="F276" s="24" t="s">
        <v>100</v>
      </c>
      <c r="G276" s="75">
        <f>IF(G271=0,"-",G275/DiY)</f>
        <v>1.1940616018401751</v>
      </c>
      <c r="H276" s="75">
        <f>IF(H271=0,"-",H275/DiY)</f>
        <v>1.1128869650182571</v>
      </c>
      <c r="I276" s="75">
        <f>IF(I271=0,"-",I275/DiY)</f>
        <v>1.0712690249634627</v>
      </c>
      <c r="J276" s="75">
        <f>IF(J271=0,"-",J275/DiY)</f>
        <v>1.2680985845799009</v>
      </c>
      <c r="K276" s="75">
        <f>IF(K271=0,"-",K275/DiY)</f>
        <v>1.0282609440867503</v>
      </c>
    </row>
    <row r="277" spans="2:11" outlineLevel="1" x14ac:dyDescent="0.25">
      <c r="B277"/>
      <c r="G277" s="111" cm="1">
        <f t="array" ref="G277">IF(G271=0,"-",
IF($D$251='Lookup refs'!$D$25,
IF(G276=INDEX(RateCheck_VDO2021F[[Ausnet]:[United Energy]],MATCH(Calc_Rates!$C276&amp;"_"&amp;Calc_Rates!$F276,RateCheck_VDO2021F[Rate],0),MATCH(Calc_Rates!G$9,RateCheck_VDO2021F[[#Headers],[Ausnet]:[United Energy]],0)),0,1),
IF(ROUND(G276,8)=ROUND((((
SUMIFS(Calc_NetworkF_2[Ausnet],Calc_NetworkF_2[Cost item],$C270,Calc_NetworkF_2[Customer type],$F271)+
SUMIFS(Calc_Fixed_2[Ausnet],Calc_Fixed_2[Customer type],Calc_Rates!$F276)+
SUMIFS(Calc_Fixed_2[Ausnet],Calc_Fixed_2[Customer type],"All"))*(1+Calc_ROM_2[Ausnet]))*(1+GST))/DiY,8),0,1)))</f>
        <v>0</v>
      </c>
      <c r="H277" s="111" cm="1">
        <f t="array" ref="H277">IF(H271=0,"-",
IF($D$251='Lookup refs'!$D$25,
IF(H276=INDEX(RateCheck_VDO2021F[[Ausnet]:[United Energy]],MATCH(Calc_Rates!$C276&amp;"_"&amp;Calc_Rates!$F276,RateCheck_VDO2021F[Rate],0),MATCH(Calc_Rates!H$9,RateCheck_VDO2021F[[#Headers],[Ausnet]:[United Energy]],0)),0,1),
IF(ROUND(H276,8)=ROUND((((
SUMIFS(Calc_NetworkF_2[Citipower],Calc_NetworkF_2[Cost item],$C270,Calc_NetworkF_2[Customer type],$F271)+
SUMIFS(Calc_Fixed_2[Citipower],Calc_Fixed_2[Customer type],Calc_Rates!$F276)+
SUMIFS(Calc_Fixed_2[Citipower],Calc_Fixed_2[Customer type],"All"))*(1+Calc_ROM_2[Citipower]))*(1+GST))/DiY,8),0,1)))</f>
        <v>0</v>
      </c>
      <c r="I277" s="111" cm="1">
        <f t="array" ref="I277">IF(I271=0,"-",
IF($D$251='Lookup refs'!$D$25,
IF(I276=INDEX(RateCheck_VDO2021F[[Ausnet]:[United Energy]],MATCH(Calc_Rates!$C276&amp;"_"&amp;Calc_Rates!$F276,RateCheck_VDO2021F[[Rate]:[Rate]],0),MATCH(Calc_Rates!I$9,RateCheck_VDO2021F[[#Headers],[Ausnet]:[United Energy]],0)),0,1),
IF(ROUND(I276,8)=ROUND((((
SUMIFS(Calc_NetworkF_2[Jemena],Calc_NetworkF_2[[Cost item]:[Cost item]],$C270,Calc_NetworkF_2[[Customer type]:[Customer type]],$F271)+
SUMIFS(Calc_Fixed_2[Jemena],Calc_Fixed_2[[Customer type]:[Customer type]],Calc_Rates!$F276)+
SUMIFS(Calc_Fixed_2[Jemena],Calc_Fixed_2[[Customer type]:[Customer type]],"All"))*(1+Calc_ROM_2[Jemena]))*(1+GST))/DiY,8),0,1)))</f>
        <v>0</v>
      </c>
      <c r="J277" s="111" cm="1">
        <f t="array" ref="J277">IF(J271=0,"-",
IF($D$251='Lookup refs'!$D$25,
IF(J276=INDEX(RateCheck_VDO2021F[[Ausnet]:[United Energy]],MATCH(Calc_Rates!$C276&amp;"_"&amp;Calc_Rates!$F276,RateCheck_VDO2021F[[Rate]:[Rate]],0),MATCH(Calc_Rates!J$9,RateCheck_VDO2021F[[#Headers],[Ausnet]:[United Energy]],0)),0,1),
IF(ROUND(J276,8)=ROUND((((
SUMIFS(Calc_NetworkF_2[Powercor],Calc_NetworkF_2[[Cost item]:[Cost item]],$C270,Calc_NetworkF_2[[Customer type]:[Customer type]],$F271)+
SUMIFS(Calc_Fixed_2[Powercor],Calc_Fixed_2[[Customer type]:[Customer type]],Calc_Rates!$F276)+
SUMIFS(Calc_Fixed_2[Powercor],Calc_Fixed_2[[Customer type]:[Customer type]],"All"))*(1+Calc_ROM_2[Powercor]))*(1+GST))/DiY,8),0,1)))</f>
        <v>0</v>
      </c>
      <c r="K277" s="111" cm="1">
        <f t="array" ref="K277">IF(K271=0,"-",
IF($D$251='Lookup refs'!$D$25,
IF(K276=INDEX(RateCheck_VDO2021F[[Ausnet]:[United Energy]],MATCH(Calc_Rates!$C276&amp;"_"&amp;Calc_Rates!$F276,RateCheck_VDO2021F[[Rate]:[Rate]],0),MATCH(Calc_Rates!K$9,RateCheck_VDO2021F[[#Headers],[Ausnet]:[United Energy]],0)),0,1),
IF(ROUND(K276,8)=ROUND((((
SUMIFS(Calc_NetworkF_2[United Energy],Calc_NetworkF_2[[Cost item]:[Cost item]],$C270,Calc_NetworkF_2[[Customer type]:[Customer type]],$F271)+
SUMIFS(Calc_Fixed_2[United Energy],Calc_Fixed_2[[Customer type]:[Customer type]],Calc_Rates!$F276)+
SUMIFS(Calc_Fixed_2[United Energy],Calc_Fixed_2[[Customer type]:[Customer type]],"All"))*(1+Calc_ROM_2[United Energy]))*(1+GST))/DiY,8),0,1)))</f>
        <v>0</v>
      </c>
    </row>
    <row r="278" spans="2:11" ht="15.75" x14ac:dyDescent="0.25">
      <c r="B278"/>
      <c r="C278" s="30" t="s">
        <v>288</v>
      </c>
    </row>
    <row r="279" spans="2:11" ht="15.75" outlineLevel="1" x14ac:dyDescent="0.25">
      <c r="B279"/>
      <c r="C279" s="82" t="s">
        <v>509</v>
      </c>
    </row>
    <row r="280" spans="2:11" outlineLevel="1" x14ac:dyDescent="0.25">
      <c r="B280"/>
      <c r="C280" s="24" t="s">
        <v>295</v>
      </c>
      <c r="D280" s="24" t="s">
        <v>11</v>
      </c>
      <c r="E280" s="24" t="s">
        <v>118</v>
      </c>
      <c r="F280" s="24" t="s">
        <v>101</v>
      </c>
      <c r="G280" s="62">
        <f>SUMIFS(Calc_NetworkF_2[Ausnet],Calc_NetworkF_2[[Cost item]:[Cost item]],$C279,Calc_NetworkF_2[[Customer type]:[Customer type]],$F280)</f>
        <v>111.11</v>
      </c>
      <c r="H280" s="62">
        <f>SUMIFS(Calc_NetworkF_2[Citipower],Calc_NetworkF_2[[Cost item]:[Cost item]],$C279,Calc_NetworkF_2[[Customer type]:[Customer type]],$F280)</f>
        <v>160.01599999999999</v>
      </c>
      <c r="I280" s="62">
        <f>SUMIFS(Calc_NetworkF_2[Jemena],Calc_NetworkF_2[[Cost item]:[Cost item]],$C279,Calc_NetworkF_2[[Customer type]:[Customer type]],$F280)</f>
        <v>134.46600000000001</v>
      </c>
      <c r="J280" s="62">
        <f>SUMIFS(Calc_NetworkF_2[Powercor],Calc_NetworkF_2[[Cost item]:[Cost item]],$C279,Calc_NetworkF_2[[Customer type]:[Customer type]],$F280)</f>
        <v>179.98150000000001</v>
      </c>
      <c r="K280" s="62">
        <f>SUMIFS(Calc_NetworkF_2[United Energy],Calc_NetworkF_2[[Cost item]:[Cost item]],$C279,Calc_NetworkF_2[[Customer type]:[Customer type]],$F280)</f>
        <v>120.01199999999999</v>
      </c>
    </row>
    <row r="281" spans="2:11" outlineLevel="1" x14ac:dyDescent="0.25">
      <c r="B281"/>
      <c r="C281" s="24" t="s">
        <v>276</v>
      </c>
      <c r="D281" s="24" t="s">
        <v>11</v>
      </c>
      <c r="E281" s="24" t="s">
        <v>118</v>
      </c>
      <c r="F281" s="24" t="s">
        <v>101</v>
      </c>
      <c r="G281" s="74">
        <f>IF(G280=0,"-",SUMIFS(Calc_Fixed_2[Ausnet],Calc_Fixed_2[[Customer type]:[Customer type]],"All")+SUMIFS(Calc_Fixed_2[Ausnet],Calc_Fixed_2[[Customer type]:[Customer type]],$F281))</f>
        <v>262.5332947015396</v>
      </c>
      <c r="H281" s="74">
        <f>IF(H280=0,"-",SUMIFS(Calc_Fixed_2[Citipower],Calc_Fixed_2[[Customer type]:[Customer type]],"All")+SUMIFS(Calc_Fixed_2[Citipower],Calc_Fixed_2[[Customer type]:[Customer type]],$F282))</f>
        <v>258.23329470153959</v>
      </c>
      <c r="I281" s="74">
        <f>IF(I280=0,"-",SUMIFS(Calc_Fixed_2[Jemena],Calc_Fixed_2[[Customer type]:[Customer type]],"All")+SUMIFS(Calc_Fixed_2[Jemena],Calc_Fixed_2[[Customer type]:[Customer type]],$F282))</f>
        <v>253.02329470153958</v>
      </c>
      <c r="J281" s="74">
        <f>IF(J280=0,"-",SUMIFS(Calc_Fixed_2[Powercor],Calc_Fixed_2[[Customer type]:[Customer type]],"All")+SUMIFS(Calc_Fixed_2[Powercor],Calc_Fixed_2[[Customer type]:[Customer type]],$F282))</f>
        <v>256.83329470153956</v>
      </c>
      <c r="K281" s="74">
        <f>IF(K280=0,"-",SUMIFS(Calc_Fixed_2[United Energy],Calc_Fixed_2[[Customer type]:[Customer type]],"All")+SUMIFS(Calc_Fixed_2[United Energy],Calc_Fixed_2[[Customer type]:[Customer type]],$F282))</f>
        <v>241.75329470153957</v>
      </c>
    </row>
    <row r="282" spans="2:11" outlineLevel="1" x14ac:dyDescent="0.25">
      <c r="B282"/>
      <c r="C282" s="24" t="s">
        <v>212</v>
      </c>
      <c r="D282" s="24" t="s">
        <v>11</v>
      </c>
      <c r="E282" s="24" t="s">
        <v>118</v>
      </c>
      <c r="F282" s="24" t="s">
        <v>101</v>
      </c>
      <c r="G282" s="74" cm="1">
        <f t="array" ref="G282">IF(G280=0,"-",(G280+G281)*Calc_ROM_2[Ausnet])</f>
        <v>22.568054999972993</v>
      </c>
      <c r="H282" s="74" cm="1">
        <f t="array" ref="H282">IF(H280=0,"-",(H280+H281)*Calc_ROM_2[Citipower])</f>
        <v>25.262257399972995</v>
      </c>
      <c r="I282" s="74" cm="1">
        <f t="array" ref="I282">IF(I280=0,"-",(I280+I281)*Calc_ROM_2[Jemena])</f>
        <v>23.404353399972994</v>
      </c>
      <c r="J282" s="74" cm="1">
        <f t="array" ref="J282">IF(J280=0,"-",(J280+J281)*Calc_ROM_2[Powercor])</f>
        <v>26.383613599972989</v>
      </c>
      <c r="K282" s="74" cm="1">
        <f t="array" ref="K282">IF(K280=0,"-",(K280+K281)*Calc_ROM_2[United Energy])</f>
        <v>21.85062379997299</v>
      </c>
    </row>
    <row r="283" spans="2:11" outlineLevel="1" x14ac:dyDescent="0.25">
      <c r="B283"/>
      <c r="C283" s="24" t="s">
        <v>286</v>
      </c>
      <c r="D283" s="24" t="s">
        <v>11</v>
      </c>
      <c r="E283" s="24" t="s">
        <v>118</v>
      </c>
      <c r="F283" s="24" t="s">
        <v>101</v>
      </c>
      <c r="G283" s="74">
        <f>IF(G280=0,"-",(G280+G281+G282)*GST)</f>
        <v>39.621134970151267</v>
      </c>
      <c r="H283" s="74">
        <f>IF(H280=0,"-",(H280+H281+H282)*GST)</f>
        <v>44.351155210151262</v>
      </c>
      <c r="I283" s="74">
        <f>IF(I280=0,"-",(I280+I281+I282)*GST)</f>
        <v>41.089364810151267</v>
      </c>
      <c r="J283" s="74">
        <f>IF(J280=0,"-",(J280+J281+J282)*GST)</f>
        <v>46.319840830151257</v>
      </c>
      <c r="K283" s="74">
        <f>IF(K280=0,"-",(K280+K281+K282)*GST)</f>
        <v>38.361591850151257</v>
      </c>
    </row>
    <row r="284" spans="2:11" outlineLevel="1" x14ac:dyDescent="0.25">
      <c r="B284"/>
      <c r="C284" s="24" t="s">
        <v>287</v>
      </c>
      <c r="D284" s="24" t="s">
        <v>11</v>
      </c>
      <c r="E284" s="24" t="s">
        <v>118</v>
      </c>
      <c r="F284" s="24" t="s">
        <v>101</v>
      </c>
      <c r="G284" s="74">
        <f>IF(G280=0,"-",G280+G281+G282+G283)</f>
        <v>435.83248467166391</v>
      </c>
      <c r="H284" s="74">
        <f t="shared" ref="H284" si="54">IF(H280=0,"-",H280+H281+H282+H283)</f>
        <v>487.86270731166388</v>
      </c>
      <c r="I284" s="74">
        <f t="shared" ref="I284" si="55">IF(I280=0,"-",I280+I281+I282+I283)</f>
        <v>451.98301291166388</v>
      </c>
      <c r="J284" s="74">
        <f t="shared" ref="J284" si="56">IF(J280=0,"-",J280+J281+J282+J283)</f>
        <v>509.51824913166377</v>
      </c>
      <c r="K284" s="74">
        <f t="shared" ref="K284" si="57">IF(K280=0,"-",K280+K281+K282+K283)</f>
        <v>421.9775103516638</v>
      </c>
    </row>
    <row r="285" spans="2:11" outlineLevel="1" x14ac:dyDescent="0.25">
      <c r="B285"/>
      <c r="C285" s="24" t="str">
        <f>C279</f>
        <v>Anytime - supply</v>
      </c>
      <c r="D285" s="24" t="s">
        <v>11</v>
      </c>
      <c r="E285" s="24" t="s">
        <v>118</v>
      </c>
      <c r="F285" s="24" t="s">
        <v>101</v>
      </c>
      <c r="G285" s="75">
        <f>IF(G280=0,"-",G284/DiY)</f>
        <v>1.1940616018401751</v>
      </c>
      <c r="H285" s="75">
        <f>IF(H280=0,"-",H284/DiY)</f>
        <v>1.3366101570182571</v>
      </c>
      <c r="I285" s="75">
        <f>IF(I280=0,"-",I284/DiY)</f>
        <v>1.2383096244155174</v>
      </c>
      <c r="J285" s="75">
        <f>IF(J280=0,"-",J284/DiY)</f>
        <v>1.3959404085799008</v>
      </c>
      <c r="K285" s="75">
        <f>IF(K280=0,"-",K284/DiY)</f>
        <v>1.1561027680867502</v>
      </c>
    </row>
    <row r="286" spans="2:11" outlineLevel="1" x14ac:dyDescent="0.25">
      <c r="B286"/>
      <c r="G286" s="111" cm="1">
        <f t="array" ref="G286">IF(G280=0,"-",
IF($D$251='Lookup refs'!$D$25,
IF(G285=INDEX(RateCheck_VDO2021F[[Ausnet]:[United Energy]],MATCH(Calc_Rates!$C285&amp;"_"&amp;Calc_Rates!$F285,RateCheck_VDO2021F[Rate],0),MATCH(Calc_Rates!G$9,RateCheck_VDO2021F[[#Headers],[Ausnet]:[United Energy]],0)),0,1),
IF(ROUND(G285,8)=ROUND((((
SUMIFS(Calc_NetworkF_2[Ausnet],Calc_NetworkF_2[Cost item],$C279,Calc_NetworkF_2[Customer type],$F280)+
SUMIFS(Calc_Fixed_2[Ausnet],Calc_Fixed_2[Customer type],Calc_Rates!$F285)+
SUMIFS(Calc_Fixed_2[Ausnet],Calc_Fixed_2[Customer type],"All"))*(1+Calc_ROM_2[Ausnet]))*(1+GST))/DiY,8),0,1)))</f>
        <v>0</v>
      </c>
      <c r="H286" s="111" cm="1">
        <f t="array" ref="H286">IF(H280=0,"-",
IF($D$251='Lookup refs'!$D$25,
IF(H285=INDEX(RateCheck_VDO2021F[[Ausnet]:[United Energy]],MATCH(Calc_Rates!$C285&amp;"_"&amp;Calc_Rates!$F285,RateCheck_VDO2021F[Rate],0),MATCH(Calc_Rates!H$9,RateCheck_VDO2021F[[#Headers],[Ausnet]:[United Energy]],0)),0,1),
IF(ROUND(H285,8)=ROUND((((
SUMIFS(Calc_NetworkF_2[Citipower],Calc_NetworkF_2[Cost item],$C279,Calc_NetworkF_2[Customer type],$F280)+
SUMIFS(Calc_Fixed_2[Citipower],Calc_Fixed_2[Customer type],Calc_Rates!$F285)+
SUMIFS(Calc_Fixed_2[Citipower],Calc_Fixed_2[Customer type],"All"))*(1+Calc_ROM_2[Citipower]))*(1+GST))/DiY,8),0,1)))</f>
        <v>0</v>
      </c>
      <c r="I286" s="111" cm="1">
        <f t="array" ref="I286">IF(I280=0,"-",
IF($D$251='Lookup refs'!$D$25,
IF(I285=INDEX(RateCheck_VDO2021F[[Ausnet]:[United Energy]],MATCH(Calc_Rates!$C285&amp;"_"&amp;Calc_Rates!$F285,RateCheck_VDO2021F[[Rate]:[Rate]],0),MATCH(Calc_Rates!I$9,RateCheck_VDO2021F[[#Headers],[Ausnet]:[United Energy]],0)),0,1),
IF(ROUND(I285,8)=ROUND((((
SUMIFS(Calc_NetworkF_2[Jemena],Calc_NetworkF_2[[Cost item]:[Cost item]],$C279,Calc_NetworkF_2[[Customer type]:[Customer type]],$F280)+
SUMIFS(Calc_Fixed_2[Jemena],Calc_Fixed_2[[Customer type]:[Customer type]],Calc_Rates!$F285)+
SUMIFS(Calc_Fixed_2[Jemena],Calc_Fixed_2[[Customer type]:[Customer type]],"All"))*(1+Calc_ROM_2[Jemena]))*(1+GST))/DiY,8),0,1)))</f>
        <v>0</v>
      </c>
      <c r="J286" s="111" cm="1">
        <f t="array" ref="J286">IF(J280=0,"-",
IF($D$251='Lookup refs'!$D$25,
IF(J285=INDEX(RateCheck_VDO2021F[[Ausnet]:[United Energy]],MATCH(Calc_Rates!$C285&amp;"_"&amp;Calc_Rates!$F285,RateCheck_VDO2021F[[Rate]:[Rate]],0),MATCH(Calc_Rates!J$9,RateCheck_VDO2021F[[#Headers],[Ausnet]:[United Energy]],0)),0,1),
IF(ROUND(J285,8)=ROUND((((
SUMIFS(Calc_NetworkF_2[Powercor],Calc_NetworkF_2[[Cost item]:[Cost item]],$C279,Calc_NetworkF_2[[Customer type]:[Customer type]],$F280)+
SUMIFS(Calc_Fixed_2[Powercor],Calc_Fixed_2[[Customer type]:[Customer type]],Calc_Rates!$F285)+
SUMIFS(Calc_Fixed_2[Powercor],Calc_Fixed_2[[Customer type]:[Customer type]],"All"))*(1+Calc_ROM_2[Powercor]))*(1+GST))/DiY,8),0,1)))</f>
        <v>0</v>
      </c>
      <c r="K286" s="111" cm="1">
        <f t="array" ref="K286">IF(K280=0,"-",
IF($D$251='Lookup refs'!$D$25,
IF(K285=INDEX(RateCheck_VDO2021F[[Ausnet]:[United Energy]],MATCH(Calc_Rates!$C285&amp;"_"&amp;Calc_Rates!$F285,RateCheck_VDO2021F[[Rate]:[Rate]],0),MATCH(Calc_Rates!K$9,RateCheck_VDO2021F[[#Headers],[Ausnet]:[United Energy]],0)),0,1),
IF(ROUND(K285,8)=ROUND((((
SUMIFS(Calc_NetworkF_2[United Energy],Calc_NetworkF_2[[Cost item]:[Cost item]],$C279,Calc_NetworkF_2[[Customer type]:[Customer type]],$F280)+
SUMIFS(Calc_Fixed_2[United Energy],Calc_Fixed_2[[Customer type]:[Customer type]],Calc_Rates!$F285)+
SUMIFS(Calc_Fixed_2[United Energy],Calc_Fixed_2[[Customer type]:[Customer type]],"All"))*(1+Calc_ROM_2[United Energy]))*(1+GST))/DiY,8),0,1)))</f>
        <v>0</v>
      </c>
    </row>
    <row r="287" spans="2:11" ht="15.75" outlineLevel="1" x14ac:dyDescent="0.25">
      <c r="B287"/>
      <c r="C287" s="82" t="s">
        <v>510</v>
      </c>
    </row>
    <row r="288" spans="2:11" outlineLevel="1" x14ac:dyDescent="0.25">
      <c r="B288"/>
      <c r="C288" s="24" t="s">
        <v>295</v>
      </c>
      <c r="D288" s="24" t="s">
        <v>11</v>
      </c>
      <c r="E288" s="24" t="s">
        <v>118</v>
      </c>
      <c r="F288" s="24" t="s">
        <v>101</v>
      </c>
      <c r="G288" s="62">
        <f>SUMIFS(Calc_NetworkF_2[Ausnet],Calc_NetworkF_2[[Cost item]:[Cost item]],$C287,Calc_NetworkF_2[[Customer type]:[Customer type]],$F288)</f>
        <v>111.11</v>
      </c>
      <c r="H288" s="62">
        <f>SUMIFS(Calc_NetworkF_2[Citipower],Calc_NetworkF_2[[Cost item]:[Cost item]],$C287,Calc_NetworkF_2[[Customer type]:[Customer type]],$F288)</f>
        <v>160.01599999999999</v>
      </c>
      <c r="I288" s="62">
        <f>SUMIFS(Calc_NetworkF_2[Jemena],Calc_NetworkF_2[[Cost item]:[Cost item]],$C287,Calc_NetworkF_2[[Customer type]:[Customer type]],$F288)</f>
        <v>242.124</v>
      </c>
      <c r="J288" s="62">
        <f>SUMIFS(Calc_NetworkF_2[Powercor],Calc_NetworkF_2[[Cost item]:[Cost item]],$C287,Calc_NetworkF_2[[Customer type]:[Customer type]],$F288)</f>
        <v>179.98150000000001</v>
      </c>
      <c r="K288" s="62">
        <f>SUMIFS(Calc_NetworkF_2[United Energy],Calc_NetworkF_2[[Cost item]:[Cost item]],$C287,Calc_NetworkF_2[[Customer type]:[Customer type]],$F288)</f>
        <v>120.01199999999999</v>
      </c>
    </row>
    <row r="289" spans="2:14" outlineLevel="1" x14ac:dyDescent="0.25">
      <c r="B289"/>
      <c r="C289" s="24" t="s">
        <v>276</v>
      </c>
      <c r="D289" s="24" t="s">
        <v>11</v>
      </c>
      <c r="E289" s="24" t="s">
        <v>118</v>
      </c>
      <c r="F289" s="24" t="s">
        <v>101</v>
      </c>
      <c r="G289" s="74">
        <f>IF(G288=0,"-",SUMIFS(Calc_Fixed_2[Ausnet],Calc_Fixed_2[[Customer type]:[Customer type]],"All")+SUMIFS(Calc_Fixed_2[Ausnet],Calc_Fixed_2[[Customer type]:[Customer type]],$F289))</f>
        <v>262.5332947015396</v>
      </c>
      <c r="H289" s="74">
        <f>IF(H288=0,"-",SUMIFS(Calc_Fixed_2[Citipower],Calc_Fixed_2[[Customer type]:[Customer type]],"All")+SUMIFS(Calc_Fixed_2[Citipower],Calc_Fixed_2[[Customer type]:[Customer type]],$F290))</f>
        <v>258.23329470153959</v>
      </c>
      <c r="I289" s="74">
        <f>IF(I288=0,"-",SUMIFS(Calc_Fixed_2[Jemena],Calc_Fixed_2[[Customer type]:[Customer type]],"All")+SUMIFS(Calc_Fixed_2[Jemena],Calc_Fixed_2[[Customer type]:[Customer type]],$F290))</f>
        <v>253.02329470153958</v>
      </c>
      <c r="J289" s="74">
        <f>IF(J288=0,"-",SUMIFS(Calc_Fixed_2[Powercor],Calc_Fixed_2[[Customer type]:[Customer type]],"All")+SUMIFS(Calc_Fixed_2[Powercor],Calc_Fixed_2[[Customer type]:[Customer type]],$F290))</f>
        <v>256.83329470153956</v>
      </c>
      <c r="K289" s="74">
        <f>IF(K288=0,"-",SUMIFS(Calc_Fixed_2[United Energy],Calc_Fixed_2[[Customer type]:[Customer type]],"All")+SUMIFS(Calc_Fixed_2[United Energy],Calc_Fixed_2[[Customer type]:[Customer type]],$F290))</f>
        <v>241.75329470153957</v>
      </c>
    </row>
    <row r="290" spans="2:14" outlineLevel="1" x14ac:dyDescent="0.25">
      <c r="B290"/>
      <c r="C290" s="24" t="s">
        <v>212</v>
      </c>
      <c r="D290" s="24" t="s">
        <v>11</v>
      </c>
      <c r="E290" s="24" t="s">
        <v>118</v>
      </c>
      <c r="F290" s="24" t="s">
        <v>101</v>
      </c>
      <c r="G290" s="74" cm="1">
        <f t="array" ref="G290">IF(G288=0,"-",(G288+G289)*Calc_ROM_2[Ausnet])</f>
        <v>22.568054999972993</v>
      </c>
      <c r="H290" s="74" cm="1">
        <f t="array" ref="H290">IF(H288=0,"-",(H288+H289)*Calc_ROM_2[Citipower])</f>
        <v>25.262257399972995</v>
      </c>
      <c r="I290" s="74" cm="1">
        <f t="array" ref="I290">IF(I288=0,"-",(I288+I289)*Calc_ROM_2[Jemena])</f>
        <v>29.906896599972992</v>
      </c>
      <c r="J290" s="74" cm="1">
        <f t="array" ref="J290">IF(J288=0,"-",(J288+J289)*Calc_ROM_2[Powercor])</f>
        <v>26.383613599972989</v>
      </c>
      <c r="K290" s="74" cm="1">
        <f t="array" ref="K290">IF(K288=0,"-",(K288+K289)*Calc_ROM_2[United Energy])</f>
        <v>21.85062379997299</v>
      </c>
    </row>
    <row r="291" spans="2:14" outlineLevel="1" x14ac:dyDescent="0.25">
      <c r="B291"/>
      <c r="C291" s="24" t="s">
        <v>286</v>
      </c>
      <c r="D291" s="24" t="s">
        <v>11</v>
      </c>
      <c r="E291" s="24" t="s">
        <v>118</v>
      </c>
      <c r="F291" s="24" t="s">
        <v>101</v>
      </c>
      <c r="G291" s="74">
        <f>IF(G288=0,"-",(G288+G289+G290)*GST)</f>
        <v>39.621134970151267</v>
      </c>
      <c r="H291" s="74">
        <f>IF(H288=0,"-",(H288+H289+H290)*GST)</f>
        <v>44.351155210151262</v>
      </c>
      <c r="I291" s="74">
        <f>IF(I288=0,"-",(I288+I289+I290)*GST)</f>
        <v>52.50541913015126</v>
      </c>
      <c r="J291" s="74">
        <f>IF(J288=0,"-",(J288+J289+J290)*GST)</f>
        <v>46.319840830151257</v>
      </c>
      <c r="K291" s="74">
        <f>IF(K288=0,"-",(K288+K289+K290)*GST)</f>
        <v>38.361591850151257</v>
      </c>
    </row>
    <row r="292" spans="2:14" outlineLevel="1" x14ac:dyDescent="0.25">
      <c r="B292"/>
      <c r="C292" s="24" t="s">
        <v>287</v>
      </c>
      <c r="D292" s="24" t="s">
        <v>11</v>
      </c>
      <c r="E292" s="24" t="s">
        <v>118</v>
      </c>
      <c r="F292" s="24" t="s">
        <v>101</v>
      </c>
      <c r="G292" s="74">
        <f>IF(G288=0,"-",G288+G289+G290+G291)</f>
        <v>435.83248467166391</v>
      </c>
      <c r="H292" s="74">
        <f t="shared" ref="H292" si="58">IF(H288=0,"-",H288+H289+H290+H291)</f>
        <v>487.86270731166388</v>
      </c>
      <c r="I292" s="74">
        <f t="shared" ref="I292" si="59">IF(I288=0,"-",I288+I289+I290+I291)</f>
        <v>577.55961043166383</v>
      </c>
      <c r="J292" s="74">
        <f t="shared" ref="J292" si="60">IF(J288=0,"-",J288+J289+J290+J291)</f>
        <v>509.51824913166377</v>
      </c>
      <c r="K292" s="74">
        <f t="shared" ref="K292" si="61">IF(K288=0,"-",K288+K289+K290+K291)</f>
        <v>421.9775103516638</v>
      </c>
    </row>
    <row r="293" spans="2:14" outlineLevel="1" x14ac:dyDescent="0.25">
      <c r="B293"/>
      <c r="C293" s="24" t="str">
        <f>C287</f>
        <v>TOU - supply</v>
      </c>
      <c r="D293" s="24" t="s">
        <v>11</v>
      </c>
      <c r="E293" s="24" t="s">
        <v>118</v>
      </c>
      <c r="F293" s="24" t="s">
        <v>101</v>
      </c>
      <c r="G293" s="75">
        <f>IF(G288=0,"-",G292/DiY)</f>
        <v>1.1940616018401751</v>
      </c>
      <c r="H293" s="75">
        <f>IF(H288=0,"-",H292/DiY)</f>
        <v>1.3366101570182571</v>
      </c>
      <c r="I293" s="75">
        <f>IF(I288=0,"-",I292/DiY)</f>
        <v>1.5823550970730516</v>
      </c>
      <c r="J293" s="75">
        <f>IF(J288=0,"-",J292/DiY)</f>
        <v>1.3959404085799008</v>
      </c>
      <c r="K293" s="75">
        <f>IF(K288=0,"-",K292/DiY)</f>
        <v>1.1561027680867502</v>
      </c>
    </row>
    <row r="294" spans="2:14" outlineLevel="1" x14ac:dyDescent="0.25">
      <c r="B294"/>
      <c r="G294" s="111" cm="1">
        <f t="array" ref="G294">IF(G288=0,"-",
IF($D$251='Lookup refs'!$D$25,
IF(G293=INDEX(RateCheck_VDO2021F[[Ausnet]:[United Energy]],MATCH(Calc_Rates!$C293&amp;"_"&amp;Calc_Rates!$F293,RateCheck_VDO2021F[Rate],0),MATCH(Calc_Rates!G$9,RateCheck_VDO2021F[[#Headers],[Ausnet]:[United Energy]],0)),0,1),
IF(ROUND(G293,8)=ROUND((((
SUMIFS(Calc_NetworkF_2[Ausnet],Calc_NetworkF_2[Cost item],$C287,Calc_NetworkF_2[Customer type],$F288)+
SUMIFS(Calc_Fixed_2[Ausnet],Calc_Fixed_2[Customer type],Calc_Rates!$F293)+
SUMIFS(Calc_Fixed_2[Ausnet],Calc_Fixed_2[Customer type],"All"))*(1+Calc_ROM_2[Ausnet]))*(1+GST))/DiY,8),0,1)))</f>
        <v>0</v>
      </c>
      <c r="H294" s="111" cm="1">
        <f t="array" ref="H294">IF(H288=0,"-",
IF($D$251='Lookup refs'!$D$25,
IF(H293=INDEX(RateCheck_VDO2021F[[Ausnet]:[United Energy]],MATCH(Calc_Rates!$C293&amp;"_"&amp;Calc_Rates!$F293,RateCheck_VDO2021F[Rate],0),MATCH(Calc_Rates!H$9,RateCheck_VDO2021F[[#Headers],[Ausnet]:[United Energy]],0)),0,1),
IF(ROUND(H293,8)=ROUND((((
SUMIFS(Calc_NetworkF_2[Citipower],Calc_NetworkF_2[Cost item],$C287,Calc_NetworkF_2[Customer type],$F288)+
SUMIFS(Calc_Fixed_2[Citipower],Calc_Fixed_2[Customer type],Calc_Rates!$F293)+
SUMIFS(Calc_Fixed_2[Citipower],Calc_Fixed_2[Customer type],"All"))*(1+Calc_ROM_2[Citipower]))*(1+GST))/DiY,8),0,1)))</f>
        <v>0</v>
      </c>
      <c r="I294" s="111" cm="1">
        <f t="array" ref="I294">IF(I288=0,"-",
IF($D$251='Lookup refs'!$D$25,
IF(I293=INDEX(RateCheck_VDO2021F[[Ausnet]:[United Energy]],MATCH(Calc_Rates!$C293&amp;"_"&amp;Calc_Rates!$F293,RateCheck_VDO2021F[[Rate]:[Rate]],0),MATCH(Calc_Rates!I$9,RateCheck_VDO2021F[[#Headers],[Ausnet]:[United Energy]],0)),0,1),
IF(ROUND(I293,8)=ROUND((((
SUMIFS(Calc_NetworkF_2[Jemena],Calc_NetworkF_2[[Cost item]:[Cost item]],$C287,Calc_NetworkF_2[[Customer type]:[Customer type]],$F288)+
SUMIFS(Calc_Fixed_2[Jemena],Calc_Fixed_2[[Customer type]:[Customer type]],Calc_Rates!$F293)+
SUMIFS(Calc_Fixed_2[Jemena],Calc_Fixed_2[[Customer type]:[Customer type]],"All"))*(1+Calc_ROM_2[Jemena]))*(1+GST))/DiY,8),0,1)))</f>
        <v>0</v>
      </c>
      <c r="J294" s="111" cm="1">
        <f t="array" ref="J294">IF(J288=0,"-",
IF($D$251='Lookup refs'!$D$25,
IF(J293=INDEX(RateCheck_VDO2021F[[Ausnet]:[United Energy]],MATCH(Calc_Rates!$C293&amp;"_"&amp;Calc_Rates!$F293,RateCheck_VDO2021F[[Rate]:[Rate]],0),MATCH(Calc_Rates!J$9,RateCheck_VDO2021F[[#Headers],[Ausnet]:[United Energy]],0)),0,1),
IF(ROUND(J293,8)=ROUND((((
SUMIFS(Calc_NetworkF_2[Powercor],Calc_NetworkF_2[[Cost item]:[Cost item]],$C287,Calc_NetworkF_2[[Customer type]:[Customer type]],$F288)+
SUMIFS(Calc_Fixed_2[Powercor],Calc_Fixed_2[[Customer type]:[Customer type]],Calc_Rates!$F293)+
SUMIFS(Calc_Fixed_2[Powercor],Calc_Fixed_2[[Customer type]:[Customer type]],"All"))*(1+Calc_ROM_2[Powercor]))*(1+GST))/DiY,8),0,1)))</f>
        <v>0</v>
      </c>
      <c r="K294" s="111" cm="1">
        <f t="array" ref="K294">IF(K288=0,"-",
IF($D$251='Lookup refs'!$D$25,
IF(K293=INDEX(RateCheck_VDO2021F[[Ausnet]:[United Energy]],MATCH(Calc_Rates!$C293&amp;"_"&amp;Calc_Rates!$F293,RateCheck_VDO2021F[[Rate]:[Rate]],0),MATCH(Calc_Rates!K$9,RateCheck_VDO2021F[[#Headers],[Ausnet]:[United Energy]],0)),0,1),
IF(ROUND(K293,8)=ROUND((((
SUMIFS(Calc_NetworkF_2[United Energy],Calc_NetworkF_2[[Cost item]:[Cost item]],$C287,Calc_NetworkF_2[[Customer type]:[Customer type]],$F288)+
SUMIFS(Calc_Fixed_2[United Energy],Calc_Fixed_2[[Customer type]:[Customer type]],Calc_Rates!$F293)+
SUMIFS(Calc_Fixed_2[United Energy],Calc_Fixed_2[[Customer type]:[Customer type]],"All"))*(1+Calc_ROM_2[United Energy]))*(1+GST))/DiY,8),0,1)))</f>
        <v>0</v>
      </c>
    </row>
    <row r="295" spans="2:14" x14ac:dyDescent="0.25">
      <c r="B295"/>
    </row>
    <row r="296" spans="2:14" ht="15.95" customHeight="1" x14ac:dyDescent="0.25">
      <c r="B296"/>
      <c r="C296" s="44" t="s">
        <v>289</v>
      </c>
      <c r="D296" s="44" t="s">
        <v>110</v>
      </c>
      <c r="E296" s="44" t="s">
        <v>111</v>
      </c>
      <c r="F296" s="44" t="s">
        <v>99</v>
      </c>
      <c r="G296" s="61" t="s">
        <v>277</v>
      </c>
      <c r="H296" s="61" t="s">
        <v>278</v>
      </c>
      <c r="I296" s="61" t="s">
        <v>279</v>
      </c>
      <c r="J296" s="61" t="s">
        <v>280</v>
      </c>
      <c r="K296" s="61" t="s">
        <v>281</v>
      </c>
      <c r="N296" s="80"/>
    </row>
    <row r="297" spans="2:14" x14ac:dyDescent="0.25">
      <c r="B297"/>
      <c r="C297" s="24" t="s">
        <v>290</v>
      </c>
      <c r="D297" s="24" t="s">
        <v>139</v>
      </c>
      <c r="E297" s="24" t="s">
        <v>291</v>
      </c>
      <c r="F297" s="24" t="s">
        <v>119</v>
      </c>
      <c r="G297" s="81">
        <f>SUMIFS(Calc_EnviroVEU_2[Ausnet],Calc_EnviroVEU_2[[Fixed/Variable]:[Fixed/Variable]],$D297,Calc_EnviroVEU_2[[Customer type]:[Customer type]],$F297,Calc_EnviroVEU_2[[Cost item]:[Cost item]],"VEU cost")+
SUMIFS(Calc_EnviroLRET_2[Ausnet],Calc_EnviroLRET_2[[Fixed/Variable]:[Fixed/Variable]],$D297,Calc_EnviroLRET_2[[Customer type]:[Customer type]],$F297,Calc_EnviroLRET_2[[Cost item]:[Cost item]],"LRET cost")+
SUMIFS(Calc_EnviroSRES_2[Ausnet],Calc_EnviroSRES_2[[Fixed/Variable]:[Fixed/Variable]],$D297,Calc_EnviroSRES_2[[Customer type]:[Customer type]],$F297,Calc_EnviroSRES_2[[Cost item]:[Cost item]],"SRES cost")</f>
        <v>2.6450055368152592E-2</v>
      </c>
      <c r="H297" s="81">
        <f>SUMIFS(Calc_EnviroVEU_2[Citipower],Calc_EnviroVEU_2[[Fixed/Variable]:[Fixed/Variable]],$D297,Calc_EnviroVEU_2[[Customer type]:[Customer type]],$F297,Calc_EnviroVEU_2[[Cost item]:[Cost item]],"VEU cost")+
SUMIFS(Calc_EnviroLRET_2[Citipower],Calc_EnviroLRET_2[[Fixed/Variable]:[Fixed/Variable]],$D297,Calc_EnviroLRET_2[[Customer type]:[Customer type]],$F297,Calc_EnviroLRET_2[[Cost item]:[Cost item]],"LRET cost")+
SUMIFS(Calc_EnviroSRES_2[Citipower],Calc_EnviroSRES_2[[Fixed/Variable]:[Fixed/Variable]],$D297,Calc_EnviroSRES_2[[Customer type]:[Customer type]],$F297,Calc_EnviroSRES_2[[Cost item]:[Cost item]],"SRES cost")</f>
        <v>2.6450055368152592E-2</v>
      </c>
      <c r="I297" s="81">
        <f>SUMIFS(Calc_EnviroVEU_2[Jemena],Calc_EnviroVEU_2[[Fixed/Variable]:[Fixed/Variable]],$D297,Calc_EnviroVEU_2[[Customer type]:[Customer type]],$F297,Calc_EnviroVEU_2[[Cost item]:[Cost item]],"VEU cost")+
SUMIFS(Calc_EnviroLRET_2[Jemena],Calc_EnviroLRET_2[[Fixed/Variable]:[Fixed/Variable]],$D297,Calc_EnviroLRET_2[[Customer type]:[Customer type]],$F297,Calc_EnviroLRET_2[[Cost item]:[Cost item]],"LRET cost")+
SUMIFS(Calc_EnviroSRES_2[Jemena],Calc_EnviroSRES_2[[Fixed/Variable]:[Fixed/Variable]],$D297,Calc_EnviroSRES_2[[Customer type]:[Customer type]],$F297,Calc_EnviroSRES_2[[Cost item]:[Cost item]],"SRES cost")</f>
        <v>2.6450055368152592E-2</v>
      </c>
      <c r="J297" s="81">
        <f>SUMIFS(Calc_EnviroVEU_2[Powercor],Calc_EnviroVEU_2[[Fixed/Variable]:[Fixed/Variable]],$D297,Calc_EnviroVEU_2[[Customer type]:[Customer type]],$F297,Calc_EnviroVEU_2[[Cost item]:[Cost item]],"VEU cost")+
SUMIFS(Calc_EnviroLRET_2[Powercor],Calc_EnviroLRET_2[[Fixed/Variable]:[Fixed/Variable]],$D297,Calc_EnviroLRET_2[[Customer type]:[Customer type]],$F297,Calc_EnviroLRET_2[[Cost item]:[Cost item]],"LRET cost")+
SUMIFS(Calc_EnviroSRES_2[Powercor],Calc_EnviroSRES_2[[Fixed/Variable]:[Fixed/Variable]],$D297,Calc_EnviroSRES_2[[Customer type]:[Customer type]],$F297,Calc_EnviroSRES_2[[Cost item]:[Cost item]],"SRES cost")</f>
        <v>2.6450055368152592E-2</v>
      </c>
      <c r="K297" s="81">
        <f>SUMIFS(Calc_EnviroVEU_2[United Energy],Calc_EnviroVEU_2[[Fixed/Variable]:[Fixed/Variable]],$D297,Calc_EnviroVEU_2[[Customer type]:[Customer type]],$F297,Calc_EnviroVEU_2[[Cost item]:[Cost item]],"VEU cost")+
SUMIFS(Calc_EnviroLRET_2[United Energy],Calc_EnviroLRET_2[[Fixed/Variable]:[Fixed/Variable]],$D297,Calc_EnviroLRET_2[[Customer type]:[Customer type]],$F297,Calc_EnviroLRET_2[[Cost item]:[Cost item]],"LRET cost")+
SUMIFS(Calc_EnviroSRES_2[United Energy],Calc_EnviroSRES_2[[Fixed/Variable]:[Fixed/Variable]],$D297,Calc_EnviroSRES_2[[Customer type]:[Customer type]],$F297,Calc_EnviroSRES_2[[Cost item]:[Cost item]],"SRES cost")</f>
        <v>2.6450055368152592E-2</v>
      </c>
    </row>
    <row r="298" spans="2:14" x14ac:dyDescent="0.25">
      <c r="B298"/>
      <c r="C298" s="24" t="s">
        <v>282</v>
      </c>
      <c r="D298" s="24" t="s">
        <v>139</v>
      </c>
      <c r="E298" s="24" t="s">
        <v>291</v>
      </c>
      <c r="F298" s="24" t="s">
        <v>119</v>
      </c>
      <c r="G298" s="81">
        <f>SUMIFS(Calc_OtherCosts_2[Ausnet],Calc_OtherCosts_2[[Fixed/Variable]:[Fixed/Variable]],$D298,Calc_OtherCosts_2[[Customer type]:[Customer type]],$F298)</f>
        <v>8.7547970254075731E-4</v>
      </c>
      <c r="H298" s="81">
        <f>SUMIFS(Calc_OtherCosts_2[Citipower],Calc_OtherCosts_2[[Fixed/Variable]:[Fixed/Variable]],$D298,Calc_OtherCosts_2[[Customer type]:[Customer type]],$F298)</f>
        <v>8.7547970254075731E-4</v>
      </c>
      <c r="I298" s="81">
        <f>SUMIFS(Calc_OtherCosts_2[Jemena],Calc_OtherCosts_2[[Fixed/Variable]:[Fixed/Variable]],$D298,Calc_OtherCosts_2[[Customer type]:[Customer type]],$F298)</f>
        <v>8.7547970254075731E-4</v>
      </c>
      <c r="J298" s="81">
        <f>SUMIFS(Calc_OtherCosts_2[Powercor],Calc_OtherCosts_2[[Fixed/Variable]:[Fixed/Variable]],$D298,Calc_OtherCosts_2[[Customer type]:[Customer type]],$F298)</f>
        <v>8.7547970254075731E-4</v>
      </c>
      <c r="K298" s="81">
        <f>SUMIFS(Calc_OtherCosts_2[United Energy],Calc_OtherCosts_2[[Fixed/Variable]:[Fixed/Variable]],$D298,Calc_OtherCosts_2[[Customer type]:[Customer type]],$F298)</f>
        <v>8.7547970254075731E-4</v>
      </c>
    </row>
    <row r="299" spans="2:14" x14ac:dyDescent="0.25">
      <c r="B299"/>
      <c r="C299" s="24" t="s">
        <v>292</v>
      </c>
      <c r="D299" s="24" t="s">
        <v>139</v>
      </c>
      <c r="E299" s="24" t="s">
        <v>291</v>
      </c>
      <c r="F299" s="24" t="s">
        <v>100</v>
      </c>
      <c r="G299" s="78">
        <f>SUMIFS(Calc_WholesaleRES_2[Ausnet],Calc_WholesaleRES_2[[Fixed/Variable]:[Fixed/Variable]],$D299,Calc_WholesaleRES_2[[Customer type]:[Customer type]],$F299,Calc_WholesaleRES_2[[Cost item]:[Cost item]],$C299)</f>
        <v>7.1690000000000004E-2</v>
      </c>
      <c r="H299" s="78">
        <f>SUMIFS(Calc_WholesaleRES_2[Citipower],Calc_WholesaleRES_2[[Fixed/Variable]:[Fixed/Variable]],$D299,Calc_WholesaleRES_2[[Customer type]:[Customer type]],$F299,Calc_WholesaleRES_2[[Cost item]:[Cost item]],$C299)</f>
        <v>6.8080000000000002E-2</v>
      </c>
      <c r="I299" s="78">
        <f>SUMIFS(Calc_WholesaleRES_2[Jemena],Calc_WholesaleRES_2[[Fixed/Variable]:[Fixed/Variable]],$D299,Calc_WholesaleRES_2[[Customer type]:[Customer type]],$F299,Calc_WholesaleRES_2[[Cost item]:[Cost item]],$C299)</f>
        <v>7.3950000000000016E-2</v>
      </c>
      <c r="J299" s="78">
        <f>SUMIFS(Calc_WholesaleRES_2[Powercor],Calc_WholesaleRES_2[[Fixed/Variable]:[Fixed/Variable]],$D299,Calc_WholesaleRES_2[[Customer type]:[Customer type]],$F299,Calc_WholesaleRES_2[[Cost item]:[Cost item]],$C299)</f>
        <v>7.0059999999999997E-2</v>
      </c>
      <c r="K299" s="78">
        <f>SUMIFS(Calc_WholesaleRES_2[United Energy],Calc_WholesaleRES_2[[Fixed/Variable]:[Fixed/Variable]],$D299,Calc_WholesaleRES_2[[Customer type]:[Customer type]],$F299,Calc_WholesaleRES_2[[Cost item]:[Cost item]],$C299)</f>
        <v>7.4489999999999987E-2</v>
      </c>
    </row>
    <row r="300" spans="2:14" x14ac:dyDescent="0.25">
      <c r="B300"/>
      <c r="C300" s="24" t="s">
        <v>292</v>
      </c>
      <c r="D300" s="24" t="s">
        <v>139</v>
      </c>
      <c r="E300" s="24" t="s">
        <v>291</v>
      </c>
      <c r="F300" s="24" t="s">
        <v>101</v>
      </c>
      <c r="G300" s="78">
        <f>SUMIFS(Calc_WholesaleSME_2[Ausnet],Calc_WholesaleSME_2[[Fixed/Variable]:[Fixed/Variable]],$D300,Calc_WholesaleSME_2[[Customer type]:[Customer type]],$F300,Calc_WholesaleSME_2[[Cost item]:[Cost item]],$C300)</f>
        <v>6.298999999999999E-2</v>
      </c>
      <c r="H300" s="78">
        <f>SUMIFS(Calc_WholesaleSME_2[Citipower],Calc_WholesaleSME_2[[Fixed/Variable]:[Fixed/Variable]],$D300,Calc_WholesaleSME_2[[Customer type]:[Customer type]],$F300,Calc_WholesaleSME_2[[Cost item]:[Cost item]],$C300)</f>
        <v>6.411E-2</v>
      </c>
      <c r="I300" s="78">
        <f>SUMIFS(Calc_WholesaleSME_2[Jemena],Calc_WholesaleSME_2[[Fixed/Variable]:[Fixed/Variable]],$D300,Calc_WholesaleSME_2[[Customer type]:[Customer type]],$F300,Calc_WholesaleSME_2[[Cost item]:[Cost item]],$C300)</f>
        <v>6.4180000000000001E-2</v>
      </c>
      <c r="J300" s="78">
        <f>SUMIFS(Calc_WholesaleSME_2[Powercor],Calc_WholesaleSME_2[[Fixed/Variable]:[Fixed/Variable]],$D300,Calc_WholesaleSME_2[[Customer type]:[Customer type]],$F300,Calc_WholesaleSME_2[[Cost item]:[Cost item]],$C300)</f>
        <v>6.123E-2</v>
      </c>
      <c r="K300" s="78">
        <f>SUMIFS(Calc_WholesaleSME_2[United Energy],Calc_WholesaleSME_2[[Fixed/Variable]:[Fixed/Variable]],$D300,Calc_WholesaleSME_2[[Customer type]:[Customer type]],$F300,Calc_WholesaleSME_2[[Cost item]:[Cost item]],$C300)</f>
        <v>6.5449999999999994E-2</v>
      </c>
    </row>
    <row r="301" spans="2:14" x14ac:dyDescent="0.25">
      <c r="B301"/>
      <c r="C301" s="24" t="s">
        <v>293</v>
      </c>
      <c r="D301" s="24" t="s">
        <v>139</v>
      </c>
      <c r="E301" s="24" t="s">
        <v>291</v>
      </c>
      <c r="F301" s="24" t="s">
        <v>100</v>
      </c>
      <c r="G301" s="81">
        <f>(SUMIFS(G$297:G$300,$F$297:$F$300,"All")+SUMIFS(G$297:G$300,$F$297:$F$300,$F301))*INDEX(Calc_Losses_2[[Ausnet]:[United Energy]],MATCH("Total loss factor",Calc_Losses_2[[Cost item]:[Cost item]],0),MATCH(G$296,Calc_Losses_2[[#Headers],[Ausnet]:[United Energy]],0))</f>
        <v>7.8670688260529358E-3</v>
      </c>
      <c r="H301" s="81">
        <f>(SUMIFS(H$297:H$300,$F$297:$F$300,"All")+SUMIFS(H$297:H$300,$F$297:$F$300,$F301))*INDEX(Calc_Losses_2[[Ausnet]:[United Energy]],MATCH("Total loss factor",Calc_Losses_2[[Cost item]:[Cost item]],0),MATCH(H$296,Calc_Losses_2[[#Headers],[Ausnet]:[United Energy]],0))</f>
        <v>4.5576814195521492E-3</v>
      </c>
      <c r="I301" s="81">
        <f>(SUMIFS(I$297:I$300,$F$297:$F$300,"All")+SUMIFS(I$297:I$300,$F$297:$F$300,$F301))*INDEX(Calc_Losses_2[[Ausnet]:[United Energy]],MATCH("Total loss factor",Calc_Losses_2[[Cost item]:[Cost item]],0),MATCH(I$296,Calc_Losses_2[[#Headers],[Ausnet]:[United Energy]],0))</f>
        <v>4.2835474994616738E-3</v>
      </c>
      <c r="J301" s="81">
        <f>(SUMIFS(J$297:J$300,$F$297:$F$300,"All")+SUMIFS(J$297:J$300,$F$297:$F$300,$F301))*INDEX(Calc_Losses_2[[Ausnet]:[United Energy]],MATCH("Total loss factor",Calc_Losses_2[[Cost item]:[Cost item]],0),MATCH(J$296,Calc_Losses_2[[#Headers],[Ausnet]:[United Energy]],0))</f>
        <v>6.9657544578863931E-3</v>
      </c>
      <c r="K301" s="81">
        <f>(SUMIFS(K$297:K$300,$F$297:$F$300,"All")+SUMIFS(K$297:K$300,$F$297:$F$300,$F301))*INDEX(Calc_Losses_2[[Ausnet]:[United Energy]],MATCH("Total loss factor",Calc_Losses_2[[Cost item]:[Cost item]],0),MATCH(K$296,Calc_Losses_2[[#Headers],[Ausnet]:[United Energy]],0))</f>
        <v>4.8806271751593196E-3</v>
      </c>
    </row>
    <row r="302" spans="2:14" x14ac:dyDescent="0.25">
      <c r="B302"/>
      <c r="C302" s="24" t="s">
        <v>293</v>
      </c>
      <c r="D302" s="24" t="s">
        <v>139</v>
      </c>
      <c r="E302" s="24" t="s">
        <v>291</v>
      </c>
      <c r="F302" s="24" t="s">
        <v>101</v>
      </c>
      <c r="G302" s="81">
        <f>(SUMIFS(G$297:G$300,$F$297:$F$300,"All")+SUMIFS(G$297:G$300,$F$297:$F$300,$F302))*INDEX(Calc_Losses_2[[Ausnet]:[United Energy]],MATCH("Total loss factor",Calc_Losses_2[[Cost item]:[Cost item]],0),MATCH(G$296,Calc_Losses_2[[#Headers],[Ausnet]:[United Energy]],0))</f>
        <v>7.1758288227767369E-3</v>
      </c>
      <c r="H302" s="81">
        <f>(SUMIFS(H$297:H$300,$F$297:$F$300,"All")+SUMIFS(H$297:H$300,$F$297:$F$300,$F302))*INDEX(Calc_Losses_2[[Ausnet]:[United Energy]],MATCH("Total loss factor",Calc_Losses_2[[Cost item]:[Cost item]],0),MATCH(H$296,Calc_Losses_2[[#Headers],[Ausnet]:[United Energy]],0))</f>
        <v>4.3680279028854817E-3</v>
      </c>
      <c r="I302" s="81">
        <f>(SUMIFS(I$297:I$300,$F$297:$F$300,"All")+SUMIFS(I$297:I$300,$F$297:$F$300,$F302))*INDEX(Calc_Losses_2[[Ausnet]:[United Energy]],MATCH("Total loss factor",Calc_Losses_2[[Cost item]:[Cost item]],0),MATCH(I$296,Calc_Losses_2[[#Headers],[Ausnet]:[United Energy]],0))</f>
        <v>3.8703158237116731E-3</v>
      </c>
      <c r="J302" s="81">
        <f>(SUMIFS(J$297:J$300,$F$297:$F$300,"All")+SUMIFS(J$297:J$300,$F$297:$F$300,$F302))*INDEX(Calc_Losses_2[[Ausnet]:[United Energy]],MATCH("Total loss factor",Calc_Losses_2[[Cost item]:[Cost item]],0),MATCH(J$296,Calc_Losses_2[[#Headers],[Ausnet]:[United Energy]],0))</f>
        <v>6.3341656719492646E-3</v>
      </c>
      <c r="K302" s="81">
        <f>(SUMIFS(K$297:K$300,$F$297:$F$300,"All")+SUMIFS(K$297:K$300,$F$297:$F$300,$F302))*INDEX(Calc_Losses_2[[Ausnet]:[United Energy]],MATCH("Total loss factor",Calc_Losses_2[[Cost item]:[Cost item]],0),MATCH(K$296,Calc_Losses_2[[#Headers],[Ausnet]:[United Energy]],0))</f>
        <v>4.4472859406138659E-3</v>
      </c>
    </row>
    <row r="303" spans="2:14" x14ac:dyDescent="0.25">
      <c r="B303"/>
    </row>
    <row r="304" spans="2:14" ht="15.75" x14ac:dyDescent="0.25">
      <c r="B304"/>
      <c r="C304" s="30" t="s">
        <v>294</v>
      </c>
    </row>
    <row r="305" spans="2:11" ht="15.75" outlineLevel="1" x14ac:dyDescent="0.25">
      <c r="B305"/>
      <c r="C305" s="1" t="s">
        <v>546</v>
      </c>
    </row>
    <row r="306" spans="2:11" ht="15.75" outlineLevel="1" x14ac:dyDescent="0.25">
      <c r="B306"/>
      <c r="C306" s="82" t="s">
        <v>230</v>
      </c>
    </row>
    <row r="307" spans="2:11" outlineLevel="1" x14ac:dyDescent="0.25">
      <c r="B307"/>
      <c r="C307" s="24" t="s">
        <v>295</v>
      </c>
      <c r="D307" s="24" t="s">
        <v>11</v>
      </c>
      <c r="E307" s="24" t="s">
        <v>291</v>
      </c>
      <c r="F307" s="24" t="s">
        <v>100</v>
      </c>
      <c r="G307" s="62">
        <f>SUMIFS(Calc_NetworkV_2[Ausnet],Calc_NetworkV_2[[Cost item]:[Cost item]],$C306,Calc_NetworkV_2[[Customer type]:[Customer type]],$F307)</f>
        <v>0.11450300000000001</v>
      </c>
      <c r="H307" s="62">
        <f>SUMIFS(Calc_NetworkV_2[Citipower],Calc_NetworkV_2[[Cost item]:[Cost item]],$C306,Calc_NetworkV_2[[Customer type]:[Customer type]],$F307)</f>
        <v>0</v>
      </c>
      <c r="I307" s="62">
        <f>SUMIFS(Calc_NetworkV_2[Jemena],Calc_NetworkV_2[[Cost item]:[Cost item]],$C306,Calc_NetworkV_2[[Customer type]:[Customer type]],$F307)</f>
        <v>0</v>
      </c>
      <c r="J307" s="62">
        <f>SUMIFS(Calc_NetworkV_2[Powercor],Calc_NetworkV_2[[Cost item]:[Cost item]],$C306,Calc_NetworkV_2[[Customer type]:[Customer type]],$F307)</f>
        <v>0</v>
      </c>
      <c r="K307" s="62">
        <f>SUMIFS(Calc_NetworkV_2[United Energy],Calc_NetworkV_2[[Cost item]:[Cost item]],$C306,Calc_NetworkV_2[[Customer type]:[Customer type]],$F307)</f>
        <v>0</v>
      </c>
    </row>
    <row r="308" spans="2:11" outlineLevel="1" x14ac:dyDescent="0.25">
      <c r="B308"/>
      <c r="C308" s="24" t="s">
        <v>289</v>
      </c>
      <c r="D308" s="24" t="s">
        <v>11</v>
      </c>
      <c r="E308" s="24" t="s">
        <v>291</v>
      </c>
      <c r="F308" s="24" t="s">
        <v>100</v>
      </c>
      <c r="G308" s="62">
        <f>SUMIFS(Calc_Variable_2[Ausnet],Calc_Variable_2[Customer type],"All")+SUMIFS(Calc_Variable_2[Ausnet],Calc_Variable_2[Customer type],$F308)</f>
        <v>0.10688260389674629</v>
      </c>
      <c r="H308" s="62">
        <f>SUMIFS(Calc_Variable_2[Citipower],Calc_Variable_2[[Customer type]:[Customer type]],"All")+SUMIFS(Calc_Variable_2[Citipower],Calc_Variable_2[[Customer type]:[Customer type]],$F308)</f>
        <v>9.9963216490245504E-2</v>
      </c>
      <c r="I308" s="62">
        <f>SUMIFS(Calc_Variable_2[Jemena],Calc_Variable_2[[Customer type]:[Customer type]],"All")+SUMIFS(Calc_Variable_2[Jemena],Calc_Variable_2[[Customer type]:[Customer type]],$F308)</f>
        <v>0.10555908257015505</v>
      </c>
      <c r="J308" s="62">
        <f>SUMIFS(Calc_Variable_2[Powercor],Calc_Variable_2[[Customer type]:[Customer type]],"All")+SUMIFS(Calc_Variable_2[Powercor],Calc_Variable_2[[Customer type]:[Customer type]],$F308)</f>
        <v>0.10435128952857975</v>
      </c>
      <c r="K308" s="62">
        <f>SUMIFS(Calc_Variable_2[United Energy],Calc_Variable_2[[Customer type]:[Customer type]],"All")+SUMIFS(Calc_Variable_2[United Energy],Calc_Variable_2[[Customer type]:[Customer type]],$F308)</f>
        <v>0.10669616224585265</v>
      </c>
    </row>
    <row r="309" spans="2:11" outlineLevel="1" x14ac:dyDescent="0.25">
      <c r="B309"/>
      <c r="C309" s="24" t="s">
        <v>212</v>
      </c>
      <c r="D309" s="24" t="s">
        <v>11</v>
      </c>
      <c r="E309" s="24" t="s">
        <v>291</v>
      </c>
      <c r="F309" s="24" t="s">
        <v>100</v>
      </c>
      <c r="G309" s="74" cm="1">
        <f t="array" ref="G309">IF(G307=0,"-",
(G307+G308)*Calc_ROM_2[Ausnet])</f>
        <v>1.3371690475363476E-2</v>
      </c>
      <c r="H309" s="74" t="str" cm="1">
        <f t="array" ref="H309">IF(H307=0,"-",
(H307+H308)*Calc_ROM_2[Citipower])</f>
        <v>-</v>
      </c>
      <c r="I309" s="74" t="str" cm="1">
        <f t="array" ref="I309">IF(I307=0,"-",
(I307+I308)*Calc_ROM_2[Jemena])</f>
        <v>-</v>
      </c>
      <c r="J309" s="74" t="str" cm="1">
        <f t="array" ref="J309">IF(J307=0,"-",
(J307+J308)*Calc_ROM_2[Powercor])</f>
        <v>-</v>
      </c>
      <c r="K309" s="74" t="str" cm="1">
        <f t="array" ref="K309">IF(K307=0,"-",
(K307+K308)*Calc_ROM_2[United Energy])</f>
        <v>-</v>
      </c>
    </row>
    <row r="310" spans="2:11" outlineLevel="1" x14ac:dyDescent="0.25">
      <c r="B310"/>
      <c r="C310" s="24" t="s">
        <v>286</v>
      </c>
      <c r="D310" s="24" t="s">
        <v>11</v>
      </c>
      <c r="E310" s="24" t="s">
        <v>291</v>
      </c>
      <c r="F310" s="24" t="s">
        <v>100</v>
      </c>
      <c r="G310" s="74">
        <f>IF(G307=0,"-",
(G307+G308+G309)*GST)</f>
        <v>2.347572943721098E-2</v>
      </c>
      <c r="H310" s="74" t="str">
        <f>IF(H307=0,"-",
(H307+H308+H309)*GST)</f>
        <v>-</v>
      </c>
      <c r="I310" s="74" t="str">
        <f>IF(I307=0,"-",
(I307+I308+I309)*GST)</f>
        <v>-</v>
      </c>
      <c r="J310" s="74" t="str">
        <f>IF(J307=0,"-",
(J307+J308+J309)*GST)</f>
        <v>-</v>
      </c>
      <c r="K310" s="74" t="str">
        <f>IF(K307=0,"-",
(K307+K308+K309)*GST)</f>
        <v>-</v>
      </c>
    </row>
    <row r="311" spans="2:11" outlineLevel="1" x14ac:dyDescent="0.25">
      <c r="B311"/>
      <c r="C311" s="24" t="str">
        <f>C306&amp;" charge"</f>
        <v>Block 1 charge</v>
      </c>
      <c r="D311" s="24" t="s">
        <v>11</v>
      </c>
      <c r="E311" s="24" t="s">
        <v>291</v>
      </c>
      <c r="F311" s="24" t="s">
        <v>100</v>
      </c>
      <c r="G311" s="75">
        <f>IF(G307=0,"-",
G307+G308+G309+G310)</f>
        <v>0.25823302380932078</v>
      </c>
      <c r="H311" s="75" t="str">
        <f t="shared" ref="H311:K311" si="62">IF(H307=0,"-",
H307+H308+H309+H310)</f>
        <v>-</v>
      </c>
      <c r="I311" s="75" t="str">
        <f t="shared" si="62"/>
        <v>-</v>
      </c>
      <c r="J311" s="75" t="str">
        <f t="shared" si="62"/>
        <v>-</v>
      </c>
      <c r="K311" s="75" t="str">
        <f t="shared" si="62"/>
        <v>-</v>
      </c>
    </row>
    <row r="312" spans="2:11" outlineLevel="1" x14ac:dyDescent="0.25">
      <c r="B312"/>
      <c r="G312" s="111" cm="1">
        <f t="array" ref="G312">IF($D$251='Lookup refs'!$D$25,
IF(G311=INDEX(RateCheck_VDO2021F[[Ausnet]:[United Energy]],MATCH(Calc_Rates!$C311&amp;"_"&amp;Calc_Rates!$F311,RateCheck_VDO2021F[Rate],0),MATCH(Calc_Rates!G$9,RateCheck_VDO2021F[[#Headers],[Ausnet]:[United Energy]],0)),0,1),
IF(G311="-","-",
IF(ROUND(G311,8)=ROUND((((
SUMIFS(Calc_Variable_2[Ausnet],Calc_Variable_2[Customer type],Calc_Rates!$F311)+
SUMIFS(Calc_Variable_2[Ausnet],Calc_Variable_2[Customer type],"All")+G307)*(1+Calc_ROM_2[Ausnet]))*(1+GST)),8),0,1)))</f>
        <v>0</v>
      </c>
      <c r="H312" s="111" t="str" cm="1">
        <f t="array" ref="H312">IF($D$251='Lookup refs'!$D$25,
IF(H311=INDEX(RateCheck_VDO2021F[[Ausnet]:[United Energy]],MATCH(Calc_Rates!$C311&amp;"_"&amp;Calc_Rates!$F311,RateCheck_VDO2021F[Rate],0),MATCH(Calc_Rates!H$9,RateCheck_VDO2021F[[#Headers],[Ausnet]:[United Energy]],0)),0,1),
IF(H311="-","-",
IF(ROUND(H311,8)=ROUND((((
SUMIFS(Calc_Variable_2[Citipower],Calc_Variable_2[Customer type],Calc_Rates!$F311)+
SUMIFS(Calc_Variable_2[Citipower],Calc_Variable_2[Customer type],"All")+H307)*(1+Calc_ROM_2[Citipower]))*(1+GST)),8),0,1)))</f>
        <v>-</v>
      </c>
      <c r="I312" s="111" t="str" cm="1">
        <f t="array" ref="I312">IF($D$251='Lookup refs'!$D$25,
IF(I311=INDEX(RateCheck_VDO2021F[[Ausnet]:[United Energy]],MATCH(Calc_Rates!$C311&amp;"_"&amp;Calc_Rates!$F311,RateCheck_VDO2021F[Rate],0),MATCH(Calc_Rates!I$9,RateCheck_VDO2021F[[#Headers],[Ausnet]:[United Energy]],0)),0,1),
IF(I311="-","-",
IF(ROUND(I311,8)=ROUND((((
SUMIFS(Calc_Variable_2[Jemena],Calc_Variable_2[Customer type],Calc_Rates!$F311)+
SUMIFS(Calc_Variable_2[Jemena],Calc_Variable_2[Customer type],"All")+I307)*(1+Calc_ROM_2[Jemena]))*(1+GST)),8),0,1)))</f>
        <v>-</v>
      </c>
      <c r="J312" s="111" t="str" cm="1">
        <f t="array" ref="J312">IF($D$251='Lookup refs'!$D$25,
IF(J311=INDEX(RateCheck_VDO2021F[[Ausnet]:[United Energy]],MATCH(Calc_Rates!$C311&amp;"_"&amp;Calc_Rates!$F311,RateCheck_VDO2021F[Rate],0),MATCH(Calc_Rates!J$9,RateCheck_VDO2021F[[#Headers],[Ausnet]:[United Energy]],0)),0,1),
IF(J311="-","-",
IF(ROUND(J311,8)=ROUND((((
SUMIFS(Calc_Variable_2[Powercor],Calc_Variable_2[Customer type],Calc_Rates!$F311)+
SUMIFS(Calc_Variable_2[Powercor],Calc_Variable_2[Customer type],"All")+J307)*(1+Calc_ROM_2[Powercor]))*(1+GST)),8),0,1)))</f>
        <v>-</v>
      </c>
      <c r="K312" s="111" t="str" cm="1">
        <f t="array" ref="K312">IF($D$251='Lookup refs'!$D$25,
IF(K311=INDEX(RateCheck_VDO2021F[[Ausnet]:[United Energy]],MATCH(Calc_Rates!$C311&amp;"_"&amp;Calc_Rates!$F311,RateCheck_VDO2021F[Rate],0),MATCH(Calc_Rates!K$9,RateCheck_VDO2021F[[#Headers],[Ausnet]:[United Energy]],0)),0,1),
IF(K311="-","-",
IF(ROUND(K311,8)=ROUND((((
SUMIFS(Calc_Variable_2[United Energy],Calc_Variable_2[[Customer type]:[Customer type]],Calc_Rates!$F311)+
SUMIFS(Calc_Variable_2[United Energy],Calc_Variable_2[[Customer type]:[Customer type]],"All")+K307)*(1+Calc_ROM_2[United Energy]))*(1+GST)),8),0,1)))</f>
        <v>-</v>
      </c>
    </row>
    <row r="313" spans="2:11" ht="15.75" outlineLevel="1" x14ac:dyDescent="0.25">
      <c r="B313"/>
      <c r="C313" s="82" t="s">
        <v>237</v>
      </c>
    </row>
    <row r="314" spans="2:11" outlineLevel="1" x14ac:dyDescent="0.25">
      <c r="B314"/>
      <c r="C314" s="24" t="s">
        <v>295</v>
      </c>
      <c r="D314" s="24" t="s">
        <v>11</v>
      </c>
      <c r="E314" s="24" t="s">
        <v>291</v>
      </c>
      <c r="F314" s="24" t="s">
        <v>100</v>
      </c>
      <c r="G314" s="62">
        <f>SUMIFS(Calc_NetworkV_2[Ausnet],Calc_NetworkV_2[[Cost item]:[Cost item]],$C313,Calc_NetworkV_2[[Customer type]:[Customer type]],$F314)</f>
        <v>0.128382</v>
      </c>
      <c r="H314" s="62">
        <f>SUMIFS(Calc_NetworkV_2[Citipower],Calc_NetworkV_2[[Cost item]:[Cost item]],$C313,Calc_NetworkV_2[[Customer type]:[Customer type]],$F314)</f>
        <v>0</v>
      </c>
      <c r="I314" s="62">
        <f>SUMIFS(Calc_NetworkV_2[Jemena],Calc_NetworkV_2[[Cost item]:[Cost item]],$C313,Calc_NetworkV_2[[Customer type]:[Customer type]],$F314)</f>
        <v>0</v>
      </c>
      <c r="J314" s="62">
        <f>SUMIFS(Calc_NetworkV_2[Powercor],Calc_NetworkV_2[[Cost item]:[Cost item]],$C313,Calc_NetworkV_2[[Customer type]:[Customer type]],$F314)</f>
        <v>0</v>
      </c>
      <c r="K314" s="62">
        <f>SUMIFS(Calc_NetworkV_2[United Energy],Calc_NetworkV_2[[Cost item]:[Cost item]],$C313,Calc_NetworkV_2[[Customer type]:[Customer type]],$F314)</f>
        <v>0</v>
      </c>
    </row>
    <row r="315" spans="2:11" outlineLevel="1" x14ac:dyDescent="0.25">
      <c r="B315"/>
      <c r="C315" s="24" t="s">
        <v>289</v>
      </c>
      <c r="D315" s="24" t="s">
        <v>11</v>
      </c>
      <c r="E315" s="24" t="s">
        <v>291</v>
      </c>
      <c r="F315" s="24" t="s">
        <v>100</v>
      </c>
      <c r="G315" s="62">
        <f>SUMIFS(Calc_Variable_2[Ausnet],Calc_Variable_2[[Customer type]:[Customer type]],"All")+SUMIFS(Calc_Variable_2[Ausnet],Calc_Variable_2[[Customer type]:[Customer type]],$F315)</f>
        <v>0.10688260389674629</v>
      </c>
      <c r="H315" s="62">
        <f>SUMIFS(Calc_Variable_2[Citipower],Calc_Variable_2[[Customer type]:[Customer type]],"All")+SUMIFS(Calc_Variable_2[Citipower],Calc_Variable_2[[Customer type]:[Customer type]],$F315)</f>
        <v>9.9963216490245504E-2</v>
      </c>
      <c r="I315" s="62">
        <f>SUMIFS(Calc_Variable_2[Jemena],Calc_Variable_2[[Customer type]:[Customer type]],"All")+SUMIFS(Calc_Variable_2[Jemena],Calc_Variable_2[[Customer type]:[Customer type]],$F315)</f>
        <v>0.10555908257015505</v>
      </c>
      <c r="J315" s="62">
        <f>SUMIFS(Calc_Variable_2[Powercor],Calc_Variable_2[[Customer type]:[Customer type]],"All")+SUMIFS(Calc_Variable_2[Powercor],Calc_Variable_2[[Customer type]:[Customer type]],$F315)</f>
        <v>0.10435128952857975</v>
      </c>
      <c r="K315" s="62">
        <f>SUMIFS(Calc_Variable_2[United Energy],Calc_Variable_2[[Customer type]:[Customer type]],"All")+SUMIFS(Calc_Variable_2[United Energy],Calc_Variable_2[[Customer type]:[Customer type]],$F315)</f>
        <v>0.10669616224585265</v>
      </c>
    </row>
    <row r="316" spans="2:11" outlineLevel="1" x14ac:dyDescent="0.25">
      <c r="B316"/>
      <c r="C316" s="24" t="s">
        <v>212</v>
      </c>
      <c r="D316" s="24" t="s">
        <v>11</v>
      </c>
      <c r="E316" s="24" t="s">
        <v>291</v>
      </c>
      <c r="F316" s="24" t="s">
        <v>100</v>
      </c>
      <c r="G316" s="74" cm="1">
        <f t="array" ref="G316">IF(G314=0,"-",
(G314+G315)*Calc_ROM_2[Ausnet])</f>
        <v>1.4209982075363477E-2</v>
      </c>
      <c r="H316" s="74" t="str" cm="1">
        <f t="array" ref="H316">IF(H314=0,"-",
(H314+H315)*Calc_ROM_2[Citipower])</f>
        <v>-</v>
      </c>
      <c r="I316" s="74" t="str" cm="1">
        <f t="array" ref="I316">IF(I314=0,"-",
(I314+I315)*Calc_ROM_2[Jemena])</f>
        <v>-</v>
      </c>
      <c r="J316" s="74" t="str" cm="1">
        <f t="array" ref="J316">IF(J314=0,"-",
(J314+J315)*Calc_ROM_2[Powercor])</f>
        <v>-</v>
      </c>
      <c r="K316" s="74" t="str" cm="1">
        <f t="array" ref="K316">IF(K314=0,"-",
(K314+K315)*Calc_ROM_2[United Energy])</f>
        <v>-</v>
      </c>
    </row>
    <row r="317" spans="2:11" outlineLevel="1" x14ac:dyDescent="0.25">
      <c r="B317"/>
      <c r="C317" s="24" t="s">
        <v>286</v>
      </c>
      <c r="D317" s="24" t="s">
        <v>11</v>
      </c>
      <c r="E317" s="24" t="s">
        <v>291</v>
      </c>
      <c r="F317" s="24" t="s">
        <v>100</v>
      </c>
      <c r="G317" s="74">
        <f>IF(G314=0,"-",
(G314+G315+G316)*GST)</f>
        <v>2.4947458597210981E-2</v>
      </c>
      <c r="H317" s="74" t="str">
        <f>IF(H314=0,"-",
(H314+H315+H316)*GST)</f>
        <v>-</v>
      </c>
      <c r="I317" s="74" t="str">
        <f>IF(I314=0,"-",
(I314+I315+I316)*GST)</f>
        <v>-</v>
      </c>
      <c r="J317" s="74" t="str">
        <f>IF(J314=0,"-",
(J314+J315+J316)*GST)</f>
        <v>-</v>
      </c>
      <c r="K317" s="74" t="str">
        <f>IF(K314=0,"-",
(K314+K315+K316)*GST)</f>
        <v>-</v>
      </c>
    </row>
    <row r="318" spans="2:11" outlineLevel="1" x14ac:dyDescent="0.25">
      <c r="B318"/>
      <c r="C318" s="24" t="str">
        <f>C313&amp;" charge"</f>
        <v>Balance charge</v>
      </c>
      <c r="D318" s="24" t="s">
        <v>11</v>
      </c>
      <c r="E318" s="24" t="s">
        <v>291</v>
      </c>
      <c r="F318" s="24" t="s">
        <v>100</v>
      </c>
      <c r="G318" s="75">
        <f>IF(G314=0,"-",
G314+G315+G316+G317)</f>
        <v>0.27442204456932073</v>
      </c>
      <c r="H318" s="75" t="str">
        <f t="shared" ref="H318" si="63">IF(H314=0,"-",
H314+H315+H316+H317)</f>
        <v>-</v>
      </c>
      <c r="I318" s="75" t="str">
        <f t="shared" ref="I318" si="64">IF(I314=0,"-",
I314+I315+I316+I317)</f>
        <v>-</v>
      </c>
      <c r="J318" s="75" t="str">
        <f t="shared" ref="J318" si="65">IF(J314=0,"-",
J314+J315+J316+J317)</f>
        <v>-</v>
      </c>
      <c r="K318" s="75" t="str">
        <f t="shared" ref="K318" si="66">IF(K314=0,"-",
K314+K315+K316+K317)</f>
        <v>-</v>
      </c>
    </row>
    <row r="319" spans="2:11" outlineLevel="1" x14ac:dyDescent="0.25">
      <c r="B319"/>
      <c r="G319" s="111" cm="1">
        <f t="array" ref="G319">IF($D$251='Lookup refs'!$D$25,
IF(G318=INDEX(RateCheck_VDO2021F[[Ausnet]:[United Energy]],MATCH(Calc_Rates!$C318&amp;"_"&amp;Calc_Rates!$F318,RateCheck_VDO2021F[Rate],0),MATCH(Calc_Rates!G$9,RateCheck_VDO2021F[[#Headers],[Ausnet]:[United Energy]],0)),0,1),
IF(G318="-","-",
IF(ROUND(G318,8)=ROUND((((
SUMIFS(Calc_Variable_2[Ausnet],Calc_Variable_2[Customer type],Calc_Rates!$F318)+
SUMIFS(Calc_Variable_2[Ausnet],Calc_Variable_2[Customer type],"All")+G314)*(1+Calc_ROM_2[Ausnet]))*(1+GST)),8),0,1)))</f>
        <v>0</v>
      </c>
      <c r="H319" s="111" t="str" cm="1">
        <f t="array" ref="H319">IF($D$251='Lookup refs'!$D$25,
IF(H318=INDEX(RateCheck_VDO2021F[[Ausnet]:[United Energy]],MATCH(Calc_Rates!$C318&amp;"_"&amp;Calc_Rates!$F318,RateCheck_VDO2021F[Rate],0),MATCH(Calc_Rates!H$9,RateCheck_VDO2021F[[#Headers],[Ausnet]:[United Energy]],0)),0,1),
IF(H318="-","-",
IF(ROUND(H318,8)=ROUND((((
SUMIFS(Calc_Variable_2[Citipower],Calc_Variable_2[Customer type],Calc_Rates!$F318)+
SUMIFS(Calc_Variable_2[Citipower],Calc_Variable_2[Customer type],"All")+H314)*(1+Calc_ROM_2[Citipower]))*(1+GST)),8),0,1)))</f>
        <v>-</v>
      </c>
      <c r="I319" s="111" t="str" cm="1">
        <f t="array" ref="I319">IF($D$251='Lookup refs'!$D$25,
IF(I318=INDEX(RateCheck_VDO2021F[[Ausnet]:[United Energy]],MATCH(Calc_Rates!$C318&amp;"_"&amp;Calc_Rates!$F318,RateCheck_VDO2021F[Rate],0),MATCH(Calc_Rates!I$9,RateCheck_VDO2021F[[#Headers],[Ausnet]:[United Energy]],0)),0,1),
IF(I318="-","-",
IF(ROUND(I318,8)=ROUND((((
SUMIFS(Calc_Variable_2[Jemena],Calc_Variable_2[Customer type],Calc_Rates!$F318)+
SUMIFS(Calc_Variable_2[Jemena],Calc_Variable_2[Customer type],"All")+I314)*(1+Calc_ROM_2[Jemena]))*(1+GST)),8),0,1)))</f>
        <v>-</v>
      </c>
      <c r="J319" s="111" t="str" cm="1">
        <f t="array" ref="J319">IF($D$251='Lookup refs'!$D$25,
IF(J318=INDEX(RateCheck_VDO2021F[[Ausnet]:[United Energy]],MATCH(Calc_Rates!$C318&amp;"_"&amp;Calc_Rates!$F318,RateCheck_VDO2021F[Rate],0),MATCH(Calc_Rates!J$9,RateCheck_VDO2021F[[#Headers],[Ausnet]:[United Energy]],0)),0,1),
IF(J318="-","-",
IF(ROUND(J318,8)=ROUND((((
SUMIFS(Calc_Variable_2[Powercor],Calc_Variable_2[[Customer type]:[Customer type]],Calc_Rates!$F318)+
SUMIFS(Calc_Variable_2[Powercor],Calc_Variable_2[[Customer type]:[Customer type]],"All")+J314)*(1+Calc_ROM_2[Powercor]))*(1+GST)),8),0,1)))</f>
        <v>-</v>
      </c>
      <c r="K319" s="111" t="str" cm="1">
        <f t="array" ref="K319">IF($D$251='Lookup refs'!$D$25,
IF(K318=INDEX(RateCheck_VDO2021F[[Ausnet]:[United Energy]],MATCH(Calc_Rates!$C318&amp;"_"&amp;Calc_Rates!$F318,RateCheck_VDO2021F[[Rate]:[Rate]],0),MATCH(Calc_Rates!K$9,RateCheck_VDO2021F[[#Headers],[Ausnet]:[United Energy]],0)),0,1),
IF(K318="-","-",
IF(ROUND(K318,8)=ROUND((((
SUMIFS(Calc_Variable_2[United Energy],Calc_Variable_2[[Customer type]:[Customer type]],Calc_Rates!$F318)+
SUMIFS(Calc_Variable_2[United Energy],Calc_Variable_2[[Customer type]:[Customer type]],"All")+K314)*(1+Calc_ROM_2[United Energy]))*(1+GST)),8),0,1)))</f>
        <v>-</v>
      </c>
    </row>
    <row r="320" spans="2:11" ht="15.75" outlineLevel="1" x14ac:dyDescent="0.25">
      <c r="B320"/>
      <c r="C320" s="82" t="s">
        <v>508</v>
      </c>
    </row>
    <row r="321" spans="2:11" outlineLevel="1" x14ac:dyDescent="0.25">
      <c r="B321"/>
      <c r="C321" s="24" t="s">
        <v>295</v>
      </c>
      <c r="D321" s="24" t="s">
        <v>11</v>
      </c>
      <c r="E321" s="24" t="s">
        <v>291</v>
      </c>
      <c r="F321" s="24" t="s">
        <v>100</v>
      </c>
      <c r="G321" s="62">
        <f>SUMIFS(Calc_NetworkV_2[Ausnet],Calc_NetworkV_2[[Cost item]:[Cost item]],$C320,Calc_NetworkV_2[[Customer type]:[Customer type]],$F321)</f>
        <v>0</v>
      </c>
      <c r="H321" s="62">
        <f>SUMIFS(Calc_NetworkV_2[Citipower],Calc_NetworkV_2[[Cost item]:[Cost item]],$C320,Calc_NetworkV_2[[Customer type]:[Customer type]],$F321)</f>
        <v>8.0500000000000002E-2</v>
      </c>
      <c r="I321" s="62">
        <f>SUMIFS(Calc_NetworkV_2[Jemena],Calc_NetworkV_2[[Cost item]:[Cost item]],$C320,Calc_NetworkV_2[[Customer type]:[Customer type]],$F321)</f>
        <v>8.6699999999999999E-2</v>
      </c>
      <c r="J321" s="62">
        <f>SUMIFS(Calc_NetworkV_2[Powercor],Calc_NetworkV_2[[Cost item]:[Cost item]],$C320,Calc_NetworkV_2[[Customer type]:[Customer type]],$F321)</f>
        <v>8.1500000000000003E-2</v>
      </c>
      <c r="K321" s="62">
        <f>SUMIFS(Calc_NetworkV_2[United Energy],Calc_NetworkV_2[[Cost item]:[Cost item]],$C320,Calc_NetworkV_2[[Customer type]:[Customer type]],$F321)</f>
        <v>7.9899999999999999E-2</v>
      </c>
    </row>
    <row r="322" spans="2:11" outlineLevel="1" x14ac:dyDescent="0.25">
      <c r="B322"/>
      <c r="C322" s="24" t="s">
        <v>289</v>
      </c>
      <c r="D322" s="24" t="s">
        <v>11</v>
      </c>
      <c r="E322" s="24" t="s">
        <v>291</v>
      </c>
      <c r="F322" s="24" t="s">
        <v>100</v>
      </c>
      <c r="G322" s="62">
        <f>SUMIFS(Calc_Variable_2[Ausnet],Calc_Variable_2[[Customer type]:[Customer type]],"All")+SUMIFS(Calc_Variable_2[Ausnet],Calc_Variable_2[[Customer type]:[Customer type]],$F322)</f>
        <v>0.10688260389674629</v>
      </c>
      <c r="H322" s="62">
        <f>SUMIFS(Calc_Variable_2[Citipower],Calc_Variable_2[[Customer type]:[Customer type]],"All")+SUMIFS(Calc_Variable_2[Citipower],Calc_Variable_2[[Customer type]:[Customer type]],$F322)</f>
        <v>9.9963216490245504E-2</v>
      </c>
      <c r="I322" s="62">
        <f>SUMIFS(Calc_Variable_2[Jemena],Calc_Variable_2[[Customer type]:[Customer type]],"All")+SUMIFS(Calc_Variable_2[Jemena],Calc_Variable_2[[Customer type]:[Customer type]],$F322)</f>
        <v>0.10555908257015505</v>
      </c>
      <c r="J322" s="62">
        <f>SUMIFS(Calc_Variable_2[Powercor],Calc_Variable_2[[Customer type]:[Customer type]],"All")+SUMIFS(Calc_Variable_2[Powercor],Calc_Variable_2[[Customer type]:[Customer type]],$F322)</f>
        <v>0.10435128952857975</v>
      </c>
      <c r="K322" s="62">
        <f>SUMIFS(Calc_Variable_2[United Energy],Calc_Variable_2[[Customer type]:[Customer type]],"All")+SUMIFS(Calc_Variable_2[United Energy],Calc_Variable_2[[Customer type]:[Customer type]],$F322)</f>
        <v>0.10669616224585265</v>
      </c>
    </row>
    <row r="323" spans="2:11" outlineLevel="1" x14ac:dyDescent="0.25">
      <c r="B323"/>
      <c r="C323" s="24" t="s">
        <v>212</v>
      </c>
      <c r="D323" s="24" t="s">
        <v>11</v>
      </c>
      <c r="E323" s="24" t="s">
        <v>291</v>
      </c>
      <c r="F323" s="24" t="s">
        <v>100</v>
      </c>
      <c r="G323" s="74" t="str" cm="1">
        <f t="array" ref="G323">IF(G321=0,"-",
(G321+G322)*Calc_ROM_2[Ausnet])</f>
        <v>-</v>
      </c>
      <c r="H323" s="283" cm="1">
        <f t="array" ref="H323">IF(H321=0,"-",
(H321+H322)*Calc_ROM_2[Citipower])</f>
        <v>1.0899978276010828E-2</v>
      </c>
      <c r="I323" s="283" cm="1">
        <f t="array" ref="I323">IF(I321=0,"-",
(I321+I322)*Calc_ROM_2[Jemena])</f>
        <v>1.1612448587237366E-2</v>
      </c>
      <c r="J323" s="283" cm="1">
        <f t="array" ref="J323">IF(J321=0,"-",
(J321+J322)*Calc_ROM_2[Powercor])</f>
        <v>1.1225417887526219E-2</v>
      </c>
      <c r="K323" s="283" cm="1">
        <f t="array" ref="K323">IF(K321=0,"-",
(K321+K322)*Calc_ROM_2[United Energy])</f>
        <v>1.1270408199649501E-2</v>
      </c>
    </row>
    <row r="324" spans="2:11" outlineLevel="1" x14ac:dyDescent="0.25">
      <c r="B324"/>
      <c r="C324" s="24" t="s">
        <v>286</v>
      </c>
      <c r="D324" s="24" t="s">
        <v>11</v>
      </c>
      <c r="E324" s="24" t="s">
        <v>291</v>
      </c>
      <c r="F324" s="24" t="s">
        <v>100</v>
      </c>
      <c r="G324" s="74" t="str">
        <f>IF(G321=0,"-",
(G321+G322+G323)*GST)</f>
        <v>-</v>
      </c>
      <c r="H324" s="283">
        <f>IF(H321=0,"-",
(H321+H322+H323)*GST)</f>
        <v>1.9136319476625634E-2</v>
      </c>
      <c r="I324" s="283">
        <f>IF(I321=0,"-",
(I321+I322+I323)*GST)</f>
        <v>2.0387153115739243E-2</v>
      </c>
      <c r="J324" s="283">
        <f>IF(J321=0,"-",
(J321+J322+J323)*GST)</f>
        <v>1.9707670741610599E-2</v>
      </c>
      <c r="K324" s="283">
        <f>IF(K321=0,"-",
(K321+K322+K323)*GST)</f>
        <v>1.9786657044550217E-2</v>
      </c>
    </row>
    <row r="325" spans="2:11" outlineLevel="1" x14ac:dyDescent="0.25">
      <c r="B325"/>
      <c r="C325" s="24" t="str">
        <f>C320&amp;" charge"</f>
        <v>Single rate charge</v>
      </c>
      <c r="D325" s="24" t="s">
        <v>11</v>
      </c>
      <c r="E325" s="24" t="s">
        <v>291</v>
      </c>
      <c r="F325" s="24" t="s">
        <v>100</v>
      </c>
      <c r="G325" s="75" t="str">
        <f>IF(G321=0,"-",
G321+G322+G323+G324)</f>
        <v>-</v>
      </c>
      <c r="H325" s="75">
        <f t="shared" ref="H325" si="67">IF(H321=0,"-",
H321+H322+H323+H324)</f>
        <v>0.21049951424288196</v>
      </c>
      <c r="I325" s="75">
        <f t="shared" ref="I325" si="68">IF(I321=0,"-",
I321+I322+I323+I324)</f>
        <v>0.22425868427313167</v>
      </c>
      <c r="J325" s="75">
        <f t="shared" ref="J325" si="69">IF(J321=0,"-",
J321+J322+J323+J324)</f>
        <v>0.21678437815771656</v>
      </c>
      <c r="K325" s="75">
        <f t="shared" ref="K325" si="70">IF(K321=0,"-",
K321+K322+K323+K324)</f>
        <v>0.21765322749005236</v>
      </c>
    </row>
    <row r="326" spans="2:11" outlineLevel="1" x14ac:dyDescent="0.25">
      <c r="B326"/>
      <c r="G326" s="111" t="str" cm="1">
        <f t="array" ref="G326">IF($D$251='Lookup refs'!$D$25,
IF(G325=INDEX(RateCheck_VDO2021F[[Ausnet]:[United Energy]],MATCH(Calc_Rates!$C325&amp;"_"&amp;Calc_Rates!$F325,RateCheck_VDO2021F[Rate],0),MATCH(Calc_Rates!G$9,RateCheck_VDO2021F[[#Headers],[Ausnet]:[United Energy]],0)),0,1),
IF(G325="-","-",
IF(ROUND(G325,8)=ROUND((((
SUMIFS(Calc_Variable_2[Ausnet],Calc_Variable_2[Customer type],Calc_Rates!$F325)+
SUMIFS(Calc_Variable_2[Ausnet],Calc_Variable_2[Customer type],"All")+G321)*(1+Calc_ROM_2[Ausnet]))*(1+GST)),8),0,1)))</f>
        <v>-</v>
      </c>
      <c r="H326" s="111" cm="1">
        <f t="array" ref="H326">IF($D$251='Lookup refs'!$D$25,
IF(H325=INDEX(RateCheck_VDO2021F[[Ausnet]:[United Energy]],MATCH(Calc_Rates!$C325&amp;"_"&amp;Calc_Rates!$F325,RateCheck_VDO2021F[Rate],0),MATCH(Calc_Rates!H$9,RateCheck_VDO2021F[[#Headers],[Ausnet]:[United Energy]],0)),0,1),
IF(H325="-","-",
IF(ROUND(H325,8)=ROUND((((
SUMIFS(Calc_Variable_2[Citipower],Calc_Variable_2[Customer type],Calc_Rates!$F325)+
SUMIFS(Calc_Variable_2[Citipower],Calc_Variable_2[Customer type],"All")+H321)*(1+Calc_ROM_2[Citipower]))*(1+GST)),8),0,1)))</f>
        <v>0</v>
      </c>
      <c r="I326" s="111" cm="1">
        <f t="array" ref="I326">IF($D$251='Lookup refs'!$D$25,
IF(I325=INDEX(RateCheck_VDO2021F[[Ausnet]:[United Energy]],MATCH(Calc_Rates!$C325&amp;"_"&amp;Calc_Rates!$F325,RateCheck_VDO2021F[Rate],0),MATCH(Calc_Rates!I$9,RateCheck_VDO2021F[[#Headers],[Ausnet]:[United Energy]],0)),0,1),
IF(I325="-","-",
IF(ROUND(I325,8)=ROUND((((
SUMIFS(Calc_Variable_2[Jemena],Calc_Variable_2[Customer type],Calc_Rates!$F325)+
SUMIFS(Calc_Variable_2[Jemena],Calc_Variable_2[Customer type],"All")+I321)*(1+Calc_ROM_2[Jemena]))*(1+GST)),8),0,1)))</f>
        <v>0</v>
      </c>
      <c r="J326" s="111" cm="1">
        <f t="array" ref="J326">IF($D$251='Lookup refs'!$D$25,
IF(J325=INDEX(RateCheck_VDO2021F[[Ausnet]:[United Energy]],MATCH(Calc_Rates!$C325&amp;"_"&amp;Calc_Rates!$F325,RateCheck_VDO2021F[Rate],0),MATCH(Calc_Rates!J$9,RateCheck_VDO2021F[[#Headers],[Ausnet]:[United Energy]],0)),0,1),
IF(J325="-","-",
IF(ROUND(J325,8)=ROUND((((
SUMIFS(Calc_Variable_2[Powercor],Calc_Variable_2[[Customer type]:[Customer type]],Calc_Rates!$F325)+
SUMIFS(Calc_Variable_2[Powercor],Calc_Variable_2[[Customer type]:[Customer type]],"All")+J321)*(1+Calc_ROM_2[Powercor]))*(1+GST)),8),0,1)))</f>
        <v>0</v>
      </c>
      <c r="K326" s="111" cm="1">
        <f t="array" ref="K326">IF($D$251='Lookup refs'!$D$25,
IF(K325=INDEX(RateCheck_VDO2021F[[Ausnet]:[United Energy]],MATCH(Calc_Rates!$C325&amp;"_"&amp;Calc_Rates!$F325,RateCheck_VDO2021F[[Rate]:[Rate]],0),MATCH(Calc_Rates!K$9,RateCheck_VDO2021F[[#Headers],[Ausnet]:[United Energy]],0)),0,1),
IF(K325="-","-",
IF(ROUND(K325,8)=ROUND((((
SUMIFS(Calc_Variable_2[United Energy],Calc_Variable_2[[Customer type]:[Customer type]],Calc_Rates!$F325)+
SUMIFS(Calc_Variable_2[United Energy],Calc_Variable_2[[Customer type]:[Customer type]],"All")+K321)*(1+Calc_ROM_2[United Energy]))*(1+GST)),8),0,1)))</f>
        <v>0</v>
      </c>
    </row>
    <row r="327" spans="2:11" ht="15.75" outlineLevel="1" x14ac:dyDescent="0.25">
      <c r="B327"/>
      <c r="C327" s="1" t="s">
        <v>547</v>
      </c>
    </row>
    <row r="328" spans="2:11" ht="15.75" outlineLevel="1" x14ac:dyDescent="0.25">
      <c r="B328"/>
      <c r="C328" s="82" t="s">
        <v>239</v>
      </c>
    </row>
    <row r="329" spans="2:11" outlineLevel="1" x14ac:dyDescent="0.25">
      <c r="B329"/>
      <c r="C329" s="24" t="s">
        <v>295</v>
      </c>
      <c r="D329" s="24" t="s">
        <v>11</v>
      </c>
      <c r="E329" s="24" t="s">
        <v>291</v>
      </c>
      <c r="F329" s="24" t="s">
        <v>100</v>
      </c>
      <c r="G329" s="62">
        <f>SUMIFS(Calc_NetworkV_2[Ausnet],Calc_NetworkV_2[[Cost item]:[Cost item]],$C328,Calc_NetworkV_2[[Customer type]:[Customer type]],$F329)</f>
        <v>0.20853200000000002</v>
      </c>
      <c r="H329" s="62">
        <f>SUMIFS(Calc_NetworkV_2[Citipower],Calc_NetworkV_2[[Cost item]:[Cost item]],$C328,Calc_NetworkV_2[[Customer type]:[Customer type]],$F329)</f>
        <v>0.15939999999999999</v>
      </c>
      <c r="I329" s="62">
        <f>SUMIFS(Calc_NetworkV_2[Jemena],Calc_NetworkV_2[[Cost item]:[Cost item]],$C328,Calc_NetworkV_2[[Customer type]:[Customer type]],$F329)</f>
        <v>0.13492000000000001</v>
      </c>
      <c r="J329" s="62">
        <f>SUMIFS(Calc_NetworkV_2[Powercor],Calc_NetworkV_2[[Cost item]:[Cost item]],$C328,Calc_NetworkV_2[[Customer type]:[Customer type]],$F329)</f>
        <v>0.15869999999999998</v>
      </c>
      <c r="K329" s="62">
        <f>SUMIFS(Calc_NetworkV_2[United Energy],Calc_NetworkV_2[[Cost item]:[Cost item]],$C328,Calc_NetworkV_2[[Customer type]:[Customer type]],$F329)</f>
        <v>0.15789999999999998</v>
      </c>
    </row>
    <row r="330" spans="2:11" outlineLevel="1" x14ac:dyDescent="0.25">
      <c r="B330"/>
      <c r="C330" s="24" t="s">
        <v>289</v>
      </c>
      <c r="D330" s="24" t="s">
        <v>11</v>
      </c>
      <c r="E330" s="24" t="s">
        <v>291</v>
      </c>
      <c r="F330" s="24" t="s">
        <v>100</v>
      </c>
      <c r="G330" s="62">
        <f>SUMIFS(Calc_Variable_2[Ausnet],Calc_Variable_2[[Customer type]:[Customer type]],"All")+SUMIFS(Calc_Variable_2[Ausnet],Calc_Variable_2[[Customer type]:[Customer type]],$F330)</f>
        <v>0.10688260389674629</v>
      </c>
      <c r="H330" s="62">
        <f>SUMIFS(Calc_Variable_2[Citipower],Calc_Variable_2[[Customer type]:[Customer type]],"All")+SUMIFS(Calc_Variable_2[Citipower],Calc_Variable_2[[Customer type]:[Customer type]],$F330)</f>
        <v>9.9963216490245504E-2</v>
      </c>
      <c r="I330" s="62">
        <f>SUMIFS(Calc_Variable_2[Jemena],Calc_Variable_2[[Customer type]:[Customer type]],"All")+SUMIFS(Calc_Variable_2[Jemena],Calc_Variable_2[[Customer type]:[Customer type]],$F330)</f>
        <v>0.10555908257015505</v>
      </c>
      <c r="J330" s="62">
        <f>SUMIFS(Calc_Variable_2[Powercor],Calc_Variable_2[[Customer type]:[Customer type]],"All")+SUMIFS(Calc_Variable_2[Powercor],Calc_Variable_2[[Customer type]:[Customer type]],$F330)</f>
        <v>0.10435128952857975</v>
      </c>
      <c r="K330" s="62">
        <f>SUMIFS(Calc_Variable_2[United Energy],Calc_Variable_2[[Customer type]:[Customer type]],"All")+SUMIFS(Calc_Variable_2[United Energy],Calc_Variable_2[[Customer type]:[Customer type]],$F330)</f>
        <v>0.10669616224585265</v>
      </c>
    </row>
    <row r="331" spans="2:11" outlineLevel="1" x14ac:dyDescent="0.25">
      <c r="B331"/>
      <c r="C331" s="24" t="s">
        <v>212</v>
      </c>
      <c r="D331" s="24" t="s">
        <v>11</v>
      </c>
      <c r="E331" s="24" t="s">
        <v>291</v>
      </c>
      <c r="F331" s="24" t="s">
        <v>100</v>
      </c>
      <c r="G331" s="74" cm="1">
        <f t="array" ref="G331">IF(G329=0,"-",
(G329+G330)*Calc_ROM_2[Ausnet])</f>
        <v>1.9051042075363477E-2</v>
      </c>
      <c r="H331" s="74" cm="1">
        <f t="array" ref="H331">IF(H329=0,"-",
(H329+H330)*Calc_ROM_2[Citipower])</f>
        <v>1.5665538276010828E-2</v>
      </c>
      <c r="I331" s="74" cm="1">
        <f t="array" ref="I331">IF(I329=0,"-",
(I329+I330)*Calc_ROM_2[Jemena])</f>
        <v>1.4524936587237365E-2</v>
      </c>
      <c r="J331" s="74" cm="1">
        <f t="array" ref="J331">IF(J329=0,"-",
(J329+J330)*Calc_ROM_2[Powercor])</f>
        <v>1.5888297887526215E-2</v>
      </c>
      <c r="K331" s="74" cm="1">
        <f t="array" ref="K331">IF(K329=0,"-",
(K329+K330)*Calc_ROM_2[United Energy])</f>
        <v>1.59816081996495E-2</v>
      </c>
    </row>
    <row r="332" spans="2:11" outlineLevel="1" x14ac:dyDescent="0.25">
      <c r="B332"/>
      <c r="C332" s="24" t="s">
        <v>286</v>
      </c>
      <c r="D332" s="24" t="s">
        <v>11</v>
      </c>
      <c r="E332" s="24" t="s">
        <v>291</v>
      </c>
      <c r="F332" s="24" t="s">
        <v>100</v>
      </c>
      <c r="G332" s="74">
        <f>IF(G329=0,"-",
(G329+G330+G331)*GST)</f>
        <v>3.344656459721098E-2</v>
      </c>
      <c r="H332" s="74">
        <f>IF(H329=0,"-",
(H329+H330+H331)*GST)</f>
        <v>2.7502875476625634E-2</v>
      </c>
      <c r="I332" s="74">
        <f>IF(I329=0,"-",
(I329+I330+I331)*GST)</f>
        <v>2.550040191573924E-2</v>
      </c>
      <c r="J332" s="74">
        <f>IF(J329=0,"-",
(J329+J330+J331)*GST)</f>
        <v>2.7893958741610592E-2</v>
      </c>
      <c r="K332" s="74">
        <f>IF(K329=0,"-",
(K329+K330+K331)*GST)</f>
        <v>2.8057777044550217E-2</v>
      </c>
    </row>
    <row r="333" spans="2:11" outlineLevel="1" x14ac:dyDescent="0.25">
      <c r="B333"/>
      <c r="C333" s="24" t="str">
        <f>C328&amp;" charge"</f>
        <v>Peak charge</v>
      </c>
      <c r="D333" s="24" t="s">
        <v>11</v>
      </c>
      <c r="E333" s="24" t="s">
        <v>291</v>
      </c>
      <c r="F333" s="24" t="s">
        <v>100</v>
      </c>
      <c r="G333" s="75">
        <f>IF(G329=0,"-",
G329+G330+G331+G332)</f>
        <v>0.36791221056932072</v>
      </c>
      <c r="H333" s="75">
        <f t="shared" ref="H333" si="71">IF(H329=0,"-",
H329+H330+H331+H332)</f>
        <v>0.30253163024288193</v>
      </c>
      <c r="I333" s="75">
        <f t="shared" ref="I333" si="72">IF(I329=0,"-",
I329+I330+I331+I332)</f>
        <v>0.28050442107313167</v>
      </c>
      <c r="J333" s="75">
        <f t="shared" ref="J333" si="73">IF(J329=0,"-",
J329+J330+J331+J332)</f>
        <v>0.30683354615771652</v>
      </c>
      <c r="K333" s="75">
        <f t="shared" ref="K333" si="74">IF(K329=0,"-",
K329+K330+K331+K332)</f>
        <v>0.30863554749005234</v>
      </c>
    </row>
    <row r="334" spans="2:11" outlineLevel="1" x14ac:dyDescent="0.25">
      <c r="B334"/>
      <c r="G334" s="111" cm="1">
        <f t="array" ref="G334">IF($D$251='Lookup refs'!$D$25,
IF(G333=INDEX(RateCheck_VDO2021F[[Ausnet]:[United Energy]],MATCH(Calc_Rates!$C333&amp;"_"&amp;Calc_Rates!$F333,RateCheck_VDO2021F[Rate],0),MATCH(Calc_Rates!G$9,RateCheck_VDO2021F[[#Headers],[Ausnet]:[United Energy]],0)),0,1),
IF(G333="-","-",
IF(ROUND(G333,8)=ROUND((((
SUMIFS(Calc_Variable_2[Ausnet],Calc_Variable_2[Customer type],Calc_Rates!$F333)+
SUMIFS(Calc_Variable_2[Ausnet],Calc_Variable_2[Customer type],"All")+G329)*(1+Calc_ROM_2[Ausnet]))*(1+GST)),8),0,1)))</f>
        <v>0</v>
      </c>
      <c r="H334" s="111" cm="1">
        <f t="array" ref="H334">IF($D$251='Lookup refs'!$D$25,
IF(H333=INDEX(RateCheck_VDO2021F[[Ausnet]:[United Energy]],MATCH(Calc_Rates!$C333&amp;"_"&amp;Calc_Rates!$F333,RateCheck_VDO2021F[Rate],0),MATCH(Calc_Rates!H$9,RateCheck_VDO2021F[[#Headers],[Ausnet]:[United Energy]],0)),0,1),
IF(H333="-","-",
IF(ROUND(H333,8)=ROUND((((
SUMIFS(Calc_Variable_2[Citipower],Calc_Variable_2[Customer type],Calc_Rates!$F333)+
SUMIFS(Calc_Variable_2[Citipower],Calc_Variable_2[Customer type],"All")+H329)*(1+Calc_ROM_2[Citipower]))*(1+GST)),8),0,1)))</f>
        <v>0</v>
      </c>
      <c r="I334" s="111" cm="1">
        <f t="array" ref="I334">IF($D$251='Lookup refs'!$D$25,
IF(I333=INDEX(RateCheck_VDO2021F[[Ausnet]:[United Energy]],MATCH(Calc_Rates!$C333&amp;"_"&amp;Calc_Rates!$F333,RateCheck_VDO2021F[Rate],0),MATCH(Calc_Rates!I$9,RateCheck_VDO2021F[[#Headers],[Ausnet]:[United Energy]],0)),0,1),
IF(I333="-","-",
IF(ROUND(I333,8)=ROUND((((
SUMIFS(Calc_Variable_2[Jemena],Calc_Variable_2[Customer type],Calc_Rates!$F333)+
SUMIFS(Calc_Variable_2[Jemena],Calc_Variable_2[Customer type],"All")+I329)*(1+Calc_ROM_2[Jemena]))*(1+GST)),8),0,1)))</f>
        <v>0</v>
      </c>
      <c r="J334" s="111" cm="1">
        <f t="array" ref="J334">IF($D$251='Lookup refs'!$D$25,
IF(J333=INDEX(RateCheck_VDO2021F[[Ausnet]:[United Energy]],MATCH(Calc_Rates!$C333&amp;"_"&amp;Calc_Rates!$F333,RateCheck_VDO2021F[Rate],0),MATCH(Calc_Rates!J$9,RateCheck_VDO2021F[[#Headers],[Ausnet]:[United Energy]],0)),0,1),
IF(J333="-","-",
IF(ROUND(J333,8)=ROUND((((
SUMIFS(Calc_Variable_2[Powercor],Calc_Variable_2[[Customer type]:[Customer type]],Calc_Rates!$F333)+
SUMIFS(Calc_Variable_2[Powercor],Calc_Variable_2[[Customer type]:[Customer type]],"All")+J329)*(1+Calc_ROM_2[Powercor]))*(1+GST)),8),0,1)))</f>
        <v>0</v>
      </c>
      <c r="K334" s="111" cm="1">
        <f t="array" ref="K334">IF($D$251='Lookup refs'!$D$25,
IF(K333=INDEX(RateCheck_VDO2021F[[Ausnet]:[United Energy]],MATCH(Calc_Rates!$C333&amp;"_"&amp;Calc_Rates!$F333,RateCheck_VDO2021F[[Rate]:[Rate]],0),MATCH(Calc_Rates!K$9,RateCheck_VDO2021F[[#Headers],[Ausnet]:[United Energy]],0)),0,1),
IF(K333="-","-",
IF(ROUND(K333,8)=ROUND((((
SUMIFS(Calc_Variable_2[United Energy],Calc_Variable_2[[Customer type]:[Customer type]],Calc_Rates!$F333)+
SUMIFS(Calc_Variable_2[United Energy],Calc_Variable_2[[Customer type]:[Customer type]],"All")+K329)*(1+Calc_ROM_2[United Energy]))*(1+GST)),8),0,1)))</f>
        <v>0</v>
      </c>
    </row>
    <row r="335" spans="2:11" ht="15.75" outlineLevel="1" x14ac:dyDescent="0.25">
      <c r="B335"/>
      <c r="C335" s="82" t="s">
        <v>538</v>
      </c>
    </row>
    <row r="336" spans="2:11" outlineLevel="1" x14ac:dyDescent="0.25">
      <c r="B336"/>
      <c r="C336" s="24" t="s">
        <v>295</v>
      </c>
      <c r="D336" s="24" t="s">
        <v>11</v>
      </c>
      <c r="E336" s="24" t="s">
        <v>291</v>
      </c>
      <c r="F336" s="24" t="s">
        <v>100</v>
      </c>
      <c r="G336" s="62">
        <f>SUMIFS(Calc_NetworkV_2[Ausnet],Calc_NetworkV_2[[Cost item]:[Cost item]],$C335,Calc_NetworkV_2[[Customer type]:[Customer type]],$F336)</f>
        <v>4.3418999999999999E-2</v>
      </c>
      <c r="H336" s="62">
        <f>SUMIFS(Calc_NetworkV_2[Citipower],Calc_NetworkV_2[[Cost item]:[Cost item]],$C335,Calc_NetworkV_2[[Customer type]:[Customer type]],$F336)</f>
        <v>3.9800000000000002E-2</v>
      </c>
      <c r="I336" s="62">
        <f>SUMIFS(Calc_NetworkV_2[Jemena],Calc_NetworkV_2[[Cost item]:[Cost item]],$C335,Calc_NetworkV_2[[Customer type]:[Customer type]],$F336)</f>
        <v>3.8900000000000004E-2</v>
      </c>
      <c r="J336" s="62">
        <f>SUMIFS(Calc_NetworkV_2[Powercor],Calc_NetworkV_2[[Cost item]:[Cost item]],$C335,Calc_NetworkV_2[[Customer type]:[Customer type]],$F336)</f>
        <v>3.9599999999999996E-2</v>
      </c>
      <c r="K336" s="62">
        <f>SUMIFS(Calc_NetworkV_2[United Energy],Calc_NetworkV_2[[Cost item]:[Cost item]],$C335,Calc_NetworkV_2[[Customer type]:[Customer type]],$F336)</f>
        <v>3.95E-2</v>
      </c>
    </row>
    <row r="337" spans="2:11" outlineLevel="1" x14ac:dyDescent="0.25">
      <c r="B337"/>
      <c r="C337" s="24" t="s">
        <v>289</v>
      </c>
      <c r="D337" s="24" t="s">
        <v>11</v>
      </c>
      <c r="E337" s="24" t="s">
        <v>291</v>
      </c>
      <c r="F337" s="24" t="s">
        <v>100</v>
      </c>
      <c r="G337" s="62">
        <f>SUMIFS(Calc_Variable_2[Ausnet],Calc_Variable_2[[Customer type]:[Customer type]],"All")+SUMIFS(Calc_Variable_2[Ausnet],Calc_Variable_2[[Customer type]:[Customer type]],$F337)</f>
        <v>0.10688260389674629</v>
      </c>
      <c r="H337" s="62">
        <f>SUMIFS(Calc_Variable_2[Citipower],Calc_Variable_2[[Customer type]:[Customer type]],"All")+SUMIFS(Calc_Variable_2[Citipower],Calc_Variable_2[[Customer type]:[Customer type]],$F337)</f>
        <v>9.9963216490245504E-2</v>
      </c>
      <c r="I337" s="62">
        <f>SUMIFS(Calc_Variable_2[Jemena],Calc_Variable_2[[Customer type]:[Customer type]],"All")+SUMIFS(Calc_Variable_2[Jemena],Calc_Variable_2[[Customer type]:[Customer type]],$F337)</f>
        <v>0.10555908257015505</v>
      </c>
      <c r="J337" s="62">
        <f>SUMIFS(Calc_Variable_2[Powercor],Calc_Variable_2[[Customer type]:[Customer type]],"All")+SUMIFS(Calc_Variable_2[Powercor],Calc_Variable_2[[Customer type]:[Customer type]],$F337)</f>
        <v>0.10435128952857975</v>
      </c>
      <c r="K337" s="62">
        <f>SUMIFS(Calc_Variable_2[United Energy],Calc_Variable_2[[Customer type]:[Customer type]],"All")+SUMIFS(Calc_Variable_2[United Energy],Calc_Variable_2[[Customer type]:[Customer type]],$F337)</f>
        <v>0.10669616224585265</v>
      </c>
    </row>
    <row r="338" spans="2:11" outlineLevel="1" x14ac:dyDescent="0.25">
      <c r="B338"/>
      <c r="C338" s="24" t="s">
        <v>212</v>
      </c>
      <c r="D338" s="24" t="s">
        <v>11</v>
      </c>
      <c r="E338" s="24" t="s">
        <v>291</v>
      </c>
      <c r="F338" s="24" t="s">
        <v>100</v>
      </c>
      <c r="G338" s="74" cm="1">
        <f t="array" ref="G338">IF(G336=0,"-",
(G336+G337)*Calc_ROM_2[Ausnet])</f>
        <v>9.0782168753634762E-3</v>
      </c>
      <c r="H338" s="74" cm="1">
        <f t="array" ref="H338">IF(H336=0,"-",
(H336+H337)*Calc_ROM_2[Citipower])</f>
        <v>8.4416982760108297E-3</v>
      </c>
      <c r="I338" s="74" cm="1">
        <f t="array" ref="I338">IF(I336=0,"-",
(I336+I337)*Calc_ROM_2[Jemena])</f>
        <v>8.7253285872373656E-3</v>
      </c>
      <c r="J338" s="74" cm="1">
        <f t="array" ref="J338">IF(J336=0,"-",
(J336+J337)*Calc_ROM_2[Powercor])</f>
        <v>8.6946578875262172E-3</v>
      </c>
      <c r="K338" s="74" cm="1">
        <f t="array" ref="K338">IF(K336=0,"-",
(K336+K337)*Calc_ROM_2[United Energy])</f>
        <v>8.8302481996495007E-3</v>
      </c>
    </row>
    <row r="339" spans="2:11" outlineLevel="1" x14ac:dyDescent="0.25">
      <c r="B339"/>
      <c r="C339" s="24" t="s">
        <v>286</v>
      </c>
      <c r="D339" s="24" t="s">
        <v>11</v>
      </c>
      <c r="E339" s="24" t="s">
        <v>291</v>
      </c>
      <c r="F339" s="24" t="s">
        <v>100</v>
      </c>
      <c r="G339" s="74">
        <f>IF(G336=0,"-",
(G336+G337+G338)*GST)</f>
        <v>1.5937982077210977E-2</v>
      </c>
      <c r="H339" s="74">
        <f>IF(H336=0,"-",
(H336+H337+H338)*GST)</f>
        <v>1.4820491476625633E-2</v>
      </c>
      <c r="I339" s="74">
        <f>IF(I336=0,"-",
(I336+I337+I338)*GST)</f>
        <v>1.5318441115739243E-2</v>
      </c>
      <c r="J339" s="74">
        <f>IF(J336=0,"-",
(J336+J337+J338)*GST)</f>
        <v>1.5264594741610597E-2</v>
      </c>
      <c r="K339" s="74">
        <f>IF(K336=0,"-",
(K336+K337+K338)*GST)</f>
        <v>1.5502641044550217E-2</v>
      </c>
    </row>
    <row r="340" spans="2:11" outlineLevel="1" x14ac:dyDescent="0.25">
      <c r="B340"/>
      <c r="C340" s="24" t="str">
        <f>C335&amp;" charge"</f>
        <v>Off peak charge</v>
      </c>
      <c r="D340" s="24" t="s">
        <v>11</v>
      </c>
      <c r="E340" s="24" t="s">
        <v>291</v>
      </c>
      <c r="F340" s="24" t="s">
        <v>100</v>
      </c>
      <c r="G340" s="75">
        <f>IF(G336=0,"-",
G336+G337+G338+G339)</f>
        <v>0.17531780284932075</v>
      </c>
      <c r="H340" s="75">
        <f t="shared" ref="H340" si="75">IF(H336=0,"-",
H336+H337+H338+H339)</f>
        <v>0.16302540624288198</v>
      </c>
      <c r="I340" s="75">
        <f t="shared" ref="I340" si="76">IF(I336=0,"-",
I336+I337+I338+I339)</f>
        <v>0.16850285227313166</v>
      </c>
      <c r="J340" s="75">
        <f t="shared" ref="J340" si="77">IF(J336=0,"-",
J336+J337+J338+J339)</f>
        <v>0.16791054215771656</v>
      </c>
      <c r="K340" s="75">
        <f t="shared" ref="K340" si="78">IF(K336=0,"-",
K336+K337+K338+K339)</f>
        <v>0.17052905149005237</v>
      </c>
    </row>
    <row r="341" spans="2:11" outlineLevel="1" x14ac:dyDescent="0.25">
      <c r="B341"/>
      <c r="G341" s="111" cm="1">
        <f t="array" ref="G341">IF($D$251='Lookup refs'!$D$25,
IF(G340=INDEX(RateCheck_VDO2021F[[Ausnet]:[United Energy]],MATCH(Calc_Rates!$C340&amp;"_"&amp;Calc_Rates!$F340,RateCheck_VDO2021F[Rate],0),MATCH(Calc_Rates!G$9,RateCheck_VDO2021F[[#Headers],[Ausnet]:[United Energy]],0)),0,1),
IF(G340="-","-",
IF(ROUND(G340,8)=ROUND((((
SUMIFS(Calc_Variable_2[Ausnet],Calc_Variable_2[Customer type],Calc_Rates!$F340)+
SUMIFS(Calc_Variable_2[Ausnet],Calc_Variable_2[Customer type],"All")+G336)*(1+Calc_ROM_2[Ausnet]))*(1+GST)),8),0,1)))</f>
        <v>0</v>
      </c>
      <c r="H341" s="111" cm="1">
        <f t="array" ref="H341">IF($D$251='Lookup refs'!$D$25,
IF(H340=INDEX(RateCheck_VDO2021F[[Ausnet]:[United Energy]],MATCH(Calc_Rates!$C340&amp;"_"&amp;Calc_Rates!$F340,RateCheck_VDO2021F[Rate],0),MATCH(Calc_Rates!H$9,RateCheck_VDO2021F[[#Headers],[Ausnet]:[United Energy]],0)),0,1),
IF(H340="-","-",
IF(ROUND(H340,8)=ROUND((((
SUMIFS(Calc_Variable_2[Citipower],Calc_Variable_2[Customer type],Calc_Rates!$F340)+
SUMIFS(Calc_Variable_2[Citipower],Calc_Variable_2[Customer type],"All")+H336)*(1+Calc_ROM_2[Citipower]))*(1+GST)),8),0,1)))</f>
        <v>0</v>
      </c>
      <c r="I341" s="111" cm="1">
        <f t="array" ref="I341">IF($D$251='Lookup refs'!$D$25,
IF(I340=INDEX(RateCheck_VDO2021F[[Ausnet]:[United Energy]],MATCH(Calc_Rates!$C340&amp;"_"&amp;Calc_Rates!$F340,RateCheck_VDO2021F[Rate],0),MATCH(Calc_Rates!I$9,RateCheck_VDO2021F[[#Headers],[Ausnet]:[United Energy]],0)),0,1),
IF(I340="-","-",
IF(ROUND(I340,8)=ROUND((((
SUMIFS(Calc_Variable_2[Jemena],Calc_Variable_2[Customer type],Calc_Rates!$F340)+
SUMIFS(Calc_Variable_2[Jemena],Calc_Variable_2[Customer type],"All")+I336)*(1+Calc_ROM_2[Jemena]))*(1+GST)),8),0,1)))</f>
        <v>0</v>
      </c>
      <c r="J341" s="111" cm="1">
        <f t="array" ref="J341">IF($D$251='Lookup refs'!$D$25,
IF(J340=INDEX(RateCheck_VDO2021F[[Ausnet]:[United Energy]],MATCH(Calc_Rates!$C340&amp;"_"&amp;Calc_Rates!$F340,RateCheck_VDO2021F[Rate],0),MATCH(Calc_Rates!J$9,RateCheck_VDO2021F[[#Headers],[Ausnet]:[United Energy]],0)),0,1),
IF(J340="-","-",
IF(ROUND(J340,8)=ROUND((((
SUMIFS(Calc_Variable_2[Powercor],Calc_Variable_2[[Customer type]:[Customer type]],Calc_Rates!$F340)+
SUMIFS(Calc_Variable_2[Powercor],Calc_Variable_2[[Customer type]:[Customer type]],"All")+J336)*(1+Calc_ROM_2[Powercor]))*(1+GST)),8),0,1)))</f>
        <v>0</v>
      </c>
      <c r="K341" s="111" cm="1">
        <f t="array" ref="K341">IF($D$251='Lookup refs'!$D$25,
IF(K340=INDEX(RateCheck_VDO2021F[[Ausnet]:[United Energy]],MATCH(Calc_Rates!$C340&amp;"_"&amp;Calc_Rates!$F340,RateCheck_VDO2021F[[Rate]:[Rate]],0),MATCH(Calc_Rates!K$9,RateCheck_VDO2021F[[#Headers],[Ausnet]:[United Energy]],0)),0,1),
IF(K340="-","-",
IF(ROUND(K340,8)=ROUND((((
SUMIFS(Calc_Variable_2[United Energy],Calc_Variable_2[[Customer type]:[Customer type]],Calc_Rates!$F340)+
SUMIFS(Calc_Variable_2[United Energy],Calc_Variable_2[[Customer type]:[Customer type]],"All")+K336)*(1+Calc_ROM_2[United Energy]))*(1+GST)),8),0,1)))</f>
        <v>0</v>
      </c>
    </row>
    <row r="342" spans="2:11" ht="15.75" outlineLevel="1" x14ac:dyDescent="0.25">
      <c r="B342"/>
      <c r="C342" s="82" t="s">
        <v>296</v>
      </c>
    </row>
    <row r="343" spans="2:11" outlineLevel="1" x14ac:dyDescent="0.25">
      <c r="B343"/>
      <c r="C343" s="24" t="s">
        <v>295</v>
      </c>
      <c r="D343" s="24" t="s">
        <v>11</v>
      </c>
      <c r="E343" s="24" t="s">
        <v>291</v>
      </c>
      <c r="F343" s="24" t="s">
        <v>100</v>
      </c>
      <c r="G343" s="62">
        <f>SUMIFS(Calc_NetworkV_2[Ausnet],Calc_NetworkV_2[[Cost item]:[Cost item]],$C342,Calc_NetworkV_2[[Customer type]:[Customer type]],$F343)</f>
        <v>4.2622999999999994E-2</v>
      </c>
      <c r="H343" s="62">
        <f>SUMIFS(Calc_NetworkV_2[Citipower],Calc_NetworkV_2[[Cost item]:[Cost item]],$C342,Calc_NetworkV_2[[Customer type]:[Customer type]],$F343)</f>
        <v>2.4700000000000003E-2</v>
      </c>
      <c r="I343" s="62">
        <f>SUMIFS(Calc_NetworkV_2[Jemena],Calc_NetworkV_2[[Cost item]:[Cost item]],$C342,Calc_NetworkV_2[[Customer type]:[Customer type]],$F343)</f>
        <v>3.5990000000000001E-2</v>
      </c>
      <c r="J343" s="62">
        <f>SUMIFS(Calc_NetworkV_2[Powercor],Calc_NetworkV_2[[Cost item]:[Cost item]],$C342,Calc_NetworkV_2[[Customer type]:[Customer type]],$F343)</f>
        <v>2.3900000000000001E-2</v>
      </c>
      <c r="K343" s="62">
        <f>SUMIFS(Calc_NetworkV_2[United Energy],Calc_NetworkV_2[[Cost item]:[Cost item]],$C342,Calc_NetworkV_2[[Customer type]:[Customer type]],$F343)</f>
        <v>2.1700000000000001E-2</v>
      </c>
    </row>
    <row r="344" spans="2:11" outlineLevel="1" x14ac:dyDescent="0.25">
      <c r="B344"/>
      <c r="C344" s="24" t="s">
        <v>289</v>
      </c>
      <c r="D344" s="24" t="s">
        <v>11</v>
      </c>
      <c r="E344" s="24" t="s">
        <v>291</v>
      </c>
      <c r="F344" s="24" t="s">
        <v>100</v>
      </c>
      <c r="G344" s="62">
        <f>SUMIFS(Calc_Variable_2[Ausnet],Calc_Variable_2[[Customer type]:[Customer type]],"All")+SUMIFS(Calc_Variable_2[Ausnet],Calc_Variable_2[[Customer type]:[Customer type]],$F344)</f>
        <v>0.10688260389674629</v>
      </c>
      <c r="H344" s="62">
        <f>SUMIFS(Calc_Variable_2[Citipower],Calc_Variable_2[[Customer type]:[Customer type]],"All")+SUMIFS(Calc_Variable_2[Citipower],Calc_Variable_2[[Customer type]:[Customer type]],$F344)</f>
        <v>9.9963216490245504E-2</v>
      </c>
      <c r="I344" s="62">
        <f>SUMIFS(Calc_Variable_2[Jemena],Calc_Variable_2[[Customer type]:[Customer type]],"All")+SUMIFS(Calc_Variable_2[Jemena],Calc_Variable_2[[Customer type]:[Customer type]],$F344)</f>
        <v>0.10555908257015505</v>
      </c>
      <c r="J344" s="62">
        <f>SUMIFS(Calc_Variable_2[Powercor],Calc_Variable_2[[Customer type]:[Customer type]],"All")+SUMIFS(Calc_Variable_2[Powercor],Calc_Variable_2[[Customer type]:[Customer type]],$F344)</f>
        <v>0.10435128952857975</v>
      </c>
      <c r="K344" s="62">
        <f>SUMIFS(Calc_Variable_2[United Energy],Calc_Variable_2[[Customer type]:[Customer type]],"All")+SUMIFS(Calc_Variable_2[United Energy],Calc_Variable_2[[Customer type]:[Customer type]],$F344)</f>
        <v>0.10669616224585265</v>
      </c>
    </row>
    <row r="345" spans="2:11" outlineLevel="1" x14ac:dyDescent="0.25">
      <c r="B345"/>
      <c r="C345" s="24" t="s">
        <v>212</v>
      </c>
      <c r="D345" s="24" t="s">
        <v>11</v>
      </c>
      <c r="E345" s="24" t="s">
        <v>291</v>
      </c>
      <c r="F345" s="24" t="s">
        <v>100</v>
      </c>
      <c r="G345" s="74" cm="1">
        <f t="array" ref="G345">IF(G343=0,"-",
(G343+G344)*Calc_ROM_2[Ausnet])</f>
        <v>9.0301384753634761E-3</v>
      </c>
      <c r="H345" s="74" cm="1">
        <f t="array" ref="H345">IF(H343=0,"-",
(H343+H344)*Calc_ROM_2[Citipower])</f>
        <v>7.5296582760108286E-3</v>
      </c>
      <c r="I345" s="74" cm="1">
        <f t="array" ref="I345">IF(I343=0,"-",
(I343+I344)*Calc_ROM_2[Jemena])</f>
        <v>8.5495645872373655E-3</v>
      </c>
      <c r="J345" s="74" cm="1">
        <f t="array" ref="J345">IF(J343=0,"-",
(J343+J344)*Calc_ROM_2[Powercor])</f>
        <v>7.7463778875262171E-3</v>
      </c>
      <c r="K345" s="74" cm="1">
        <f t="array" ref="K345">IF(K343=0,"-",
(K343+K344)*Calc_ROM_2[United Energy])</f>
        <v>7.7551281996495001E-3</v>
      </c>
    </row>
    <row r="346" spans="2:11" outlineLevel="1" x14ac:dyDescent="0.25">
      <c r="B346"/>
      <c r="C346" s="24" t="s">
        <v>286</v>
      </c>
      <c r="D346" s="24" t="s">
        <v>11</v>
      </c>
      <c r="E346" s="24" t="s">
        <v>291</v>
      </c>
      <c r="F346" s="24" t="s">
        <v>100</v>
      </c>
      <c r="G346" s="74">
        <f>IF(G343=0,"-",
(G343+G344+G345)*GST)</f>
        <v>1.5853574237210975E-2</v>
      </c>
      <c r="H346" s="74">
        <f>IF(H343=0,"-",
(H343+H344+H345)*GST)</f>
        <v>1.3219287476625633E-2</v>
      </c>
      <c r="I346" s="74">
        <f>IF(I343=0,"-",
(I343+I344+I345)*GST)</f>
        <v>1.5009864715739242E-2</v>
      </c>
      <c r="J346" s="74">
        <f>IF(J343=0,"-",
(J343+J344+J345)*GST)</f>
        <v>1.3599766741610599E-2</v>
      </c>
      <c r="K346" s="74">
        <f>IF(K343=0,"-",
(K343+K344+K345)*GST)</f>
        <v>1.3615129044550214E-2</v>
      </c>
    </row>
    <row r="347" spans="2:11" outlineLevel="1" x14ac:dyDescent="0.25">
      <c r="B347"/>
      <c r="C347" s="24" t="str">
        <f>C342&amp;" charge"</f>
        <v>Controlled load charge</v>
      </c>
      <c r="D347" s="24" t="s">
        <v>11</v>
      </c>
      <c r="E347" s="24" t="s">
        <v>291</v>
      </c>
      <c r="F347" s="24" t="s">
        <v>100</v>
      </c>
      <c r="G347" s="75">
        <f>IF(G343=0,"-",
G343+G344+G345+G346)</f>
        <v>0.17438931660932072</v>
      </c>
      <c r="H347" s="75">
        <f t="shared" ref="H347" si="79">IF(H343=0,"-",
H343+H344+H345+H346)</f>
        <v>0.14541216224288195</v>
      </c>
      <c r="I347" s="75">
        <f t="shared" ref="I347" si="80">IF(I343=0,"-",
I343+I344+I345+I346)</f>
        <v>0.16510851187313164</v>
      </c>
      <c r="J347" s="75">
        <f t="shared" ref="J347" si="81">IF(J343=0,"-",
J343+J344+J345+J346)</f>
        <v>0.14959743415771656</v>
      </c>
      <c r="K347" s="75">
        <f t="shared" ref="K347" si="82">IF(K343=0,"-",
K343+K344+K345+K346)</f>
        <v>0.14976641949005237</v>
      </c>
    </row>
    <row r="348" spans="2:11" outlineLevel="1" x14ac:dyDescent="0.25">
      <c r="B348"/>
      <c r="G348" s="111" cm="1">
        <f t="array" ref="G348">IF($D$251='Lookup refs'!$D$25,
IF(G347=INDEX(RateCheck_VDO2021F[[Ausnet]:[United Energy]],MATCH(Calc_Rates!$C347&amp;"_"&amp;Calc_Rates!$F347,RateCheck_VDO2021F[Rate],0),MATCH(Calc_Rates!G$9,RateCheck_VDO2021F[[#Headers],[Ausnet]:[United Energy]],0)),0,1),
IF(G347="-","-",
IF(ROUND(G347,8)=ROUND((((
SUMIFS(Calc_Variable_2[Ausnet],Calc_Variable_2[Customer type],Calc_Rates!$F347)+
SUMIFS(Calc_Variable_2[Ausnet],Calc_Variable_2[Customer type],"All")+G343)*(1+Calc_ROM_2[Ausnet]))*(1+GST)),8),0,1)))</f>
        <v>0</v>
      </c>
      <c r="H348" s="111" cm="1">
        <f t="array" ref="H348">IF($D$251='Lookup refs'!$D$25,
IF(H347=INDEX(RateCheck_VDO2021F[[Ausnet]:[United Energy]],MATCH(Calc_Rates!$C347&amp;"_"&amp;Calc_Rates!$F347,RateCheck_VDO2021F[Rate],0),MATCH(Calc_Rates!H$9,RateCheck_VDO2021F[[#Headers],[Ausnet]:[United Energy]],0)),0,1),
IF(H347="-","-",
IF(ROUND(H347,8)=ROUND((((
SUMIFS(Calc_Variable_2[Citipower],Calc_Variable_2[Customer type],Calc_Rates!$F347)+
SUMIFS(Calc_Variable_2[Citipower],Calc_Variable_2[Customer type],"All")+H343)*(1+Calc_ROM_2[Citipower]))*(1+GST)),8),0,1)))</f>
        <v>0</v>
      </c>
      <c r="I348" s="111" cm="1">
        <f t="array" ref="I348">IF($D$251='Lookup refs'!$D$25,
IF(I347=INDEX(RateCheck_VDO2021F[[Ausnet]:[United Energy]],MATCH(Calc_Rates!$C347&amp;"_"&amp;Calc_Rates!$F347,RateCheck_VDO2021F[Rate],0),MATCH(Calc_Rates!I$9,RateCheck_VDO2021F[[#Headers],[Ausnet]:[United Energy]],0)),0,1),
IF(I347="-","-",
IF(ROUND(I347,8)=ROUND((((
SUMIFS(Calc_Variable_2[Jemena],Calc_Variable_2[Customer type],Calc_Rates!$F347)+
SUMIFS(Calc_Variable_2[Jemena],Calc_Variable_2[Customer type],"All")+I343)*(1+Calc_ROM_2[Jemena]))*(1+GST)),8),0,1)))</f>
        <v>0</v>
      </c>
      <c r="J348" s="111" cm="1">
        <f t="array" ref="J348">IF($D$251='Lookup refs'!$D$25,
IF(J347=INDEX(RateCheck_VDO2021F[[Ausnet]:[United Energy]],MATCH(Calc_Rates!$C347&amp;"_"&amp;Calc_Rates!$F347,RateCheck_VDO2021F[Rate],0),MATCH(Calc_Rates!J$9,RateCheck_VDO2021F[[#Headers],[Ausnet]:[United Energy]],0)),0,1),
IF(J347="-","-",
IF(ROUND(J347,8)=ROUND((((
SUMIFS(Calc_Variable_2[Powercor],Calc_Variable_2[[Customer type]:[Customer type]],Calc_Rates!$F347)+
SUMIFS(Calc_Variable_2[Powercor],Calc_Variable_2[[Customer type]:[Customer type]],"All")+J343)*(1+Calc_ROM_2[Powercor]))*(1+GST)),8),0,1)))</f>
        <v>0</v>
      </c>
      <c r="K348" s="111" cm="1">
        <f t="array" ref="K348">IF($D$251='Lookup refs'!$D$25,
IF(K347=INDEX(RateCheck_VDO2021F[[Ausnet]:[United Energy]],MATCH(Calc_Rates!$C347&amp;"_"&amp;Calc_Rates!$F347,RateCheck_VDO2021F[[Rate]:[Rate]],0),MATCH(Calc_Rates!K$9,RateCheck_VDO2021F[[#Headers],[Ausnet]:[United Energy]],0)),0,1),
IF(K347="-","-",
IF(ROUND(K347,8)=ROUND((((
SUMIFS(Calc_Variable_2[United Energy],Calc_Variable_2[[Customer type]:[Customer type]],Calc_Rates!$F347)+
SUMIFS(Calc_Variable_2[United Energy],Calc_Variable_2[[Customer type]:[Customer type]],"All")+K343)*(1+Calc_ROM_2[United Energy]))*(1+GST)),8),0,1)))</f>
        <v>0</v>
      </c>
    </row>
    <row r="349" spans="2:11" ht="15.75" x14ac:dyDescent="0.25">
      <c r="B349"/>
      <c r="C349" s="30" t="s">
        <v>297</v>
      </c>
    </row>
    <row r="350" spans="2:11" ht="15.75" outlineLevel="1" x14ac:dyDescent="0.25">
      <c r="B350"/>
      <c r="C350" s="1" t="s">
        <v>546</v>
      </c>
    </row>
    <row r="351" spans="2:11" ht="15.75" outlineLevel="1" x14ac:dyDescent="0.25">
      <c r="B351"/>
      <c r="C351" s="82" t="s">
        <v>230</v>
      </c>
    </row>
    <row r="352" spans="2:11" outlineLevel="1" x14ac:dyDescent="0.25">
      <c r="B352"/>
      <c r="C352" s="24" t="s">
        <v>295</v>
      </c>
      <c r="D352" s="24" t="s">
        <v>11</v>
      </c>
      <c r="E352" s="24" t="s">
        <v>291</v>
      </c>
      <c r="F352" s="24" t="s">
        <v>101</v>
      </c>
      <c r="G352" s="62">
        <f>SUMIFS(Calc_NetworkV_2[Ausnet],Calc_NetworkV_2[[Cost item]:[Cost item]],$C351,Calc_NetworkV_2[[Customer type]:[Customer type]],$F352)</f>
        <v>0.155386</v>
      </c>
      <c r="H352" s="62">
        <f>SUMIFS(Calc_NetworkV_2[Citipower],Calc_NetworkV_2[[Cost item]:[Cost item]],$C351,Calc_NetworkV_2[[Customer type]:[Customer type]],$F352)</f>
        <v>0</v>
      </c>
      <c r="I352" s="62">
        <f>SUMIFS(Calc_NetworkV_2[Jemena],Calc_NetworkV_2[[Cost item]:[Cost item]],$C351,Calc_NetworkV_2[[Customer type]:[Customer type]],$F352)</f>
        <v>0</v>
      </c>
      <c r="J352" s="62">
        <f>SUMIFS(Calc_NetworkV_2[Powercor],Calc_NetworkV_2[[Cost item]:[Cost item]],$C351,Calc_NetworkV_2[[Customer type]:[Customer type]],$F352)</f>
        <v>0</v>
      </c>
      <c r="K352" s="62">
        <f>SUMIFS(Calc_NetworkV_2[United Energy],Calc_NetworkV_2[[Cost item]:[Cost item]],$C351,Calc_NetworkV_2[[Customer type]:[Customer type]],$F352)</f>
        <v>0</v>
      </c>
    </row>
    <row r="353" spans="2:11" outlineLevel="1" x14ac:dyDescent="0.25">
      <c r="B353"/>
      <c r="C353" s="24" t="s">
        <v>289</v>
      </c>
      <c r="D353" s="24" t="s">
        <v>11</v>
      </c>
      <c r="E353" s="24" t="s">
        <v>291</v>
      </c>
      <c r="F353" s="24" t="s">
        <v>101</v>
      </c>
      <c r="G353" s="62">
        <f>SUMIFS(Calc_Variable_2[Ausnet],Calc_Variable_2[[Customer type]:[Customer type]],"All")+SUMIFS(Calc_Variable_2[Ausnet],Calc_Variable_2[[Customer type]:[Customer type]],$F353)</f>
        <v>9.7491363893470073E-2</v>
      </c>
      <c r="H353" s="62">
        <f>SUMIFS(Calc_Variable_2[Citipower],Calc_Variable_2[[Customer type]:[Customer type]],"All")+SUMIFS(Calc_Variable_2[Citipower],Calc_Variable_2[[Customer type]:[Customer type]],$F353)</f>
        <v>9.5803562973578837E-2</v>
      </c>
      <c r="I353" s="62">
        <f>SUMIFS(Calc_Variable_2[Jemena],Calc_Variable_2[[Customer type]:[Customer type]],"All")+SUMIFS(Calc_Variable_2[Jemena],Calc_Variable_2[[Customer type]:[Customer type]],$F353)</f>
        <v>9.537585089440502E-2</v>
      </c>
      <c r="J353" s="62">
        <f>SUMIFS(Calc_Variable_2[Powercor],Calc_Variable_2[[Customer type]:[Customer type]],"All")+SUMIFS(Calc_Variable_2[Powercor],Calc_Variable_2[[Customer type]:[Customer type]],$F353)</f>
        <v>9.4889700742642621E-2</v>
      </c>
      <c r="K353" s="62">
        <f>SUMIFS(Calc_Variable_2[United Energy],Calc_Variable_2[[Customer type]:[Customer type]],"All")+SUMIFS(Calc_Variable_2[United Energy],Calc_Variable_2[[Customer type]:[Customer type]],$F353)</f>
        <v>9.7222821011307206E-2</v>
      </c>
    </row>
    <row r="354" spans="2:11" outlineLevel="1" x14ac:dyDescent="0.25">
      <c r="B354"/>
      <c r="C354" s="24" t="s">
        <v>212</v>
      </c>
      <c r="D354" s="24" t="s">
        <v>11</v>
      </c>
      <c r="E354" s="24" t="s">
        <v>291</v>
      </c>
      <c r="F354" s="24" t="s">
        <v>101</v>
      </c>
      <c r="G354" s="74" cm="1">
        <f t="array" ref="G354">IF(G352=0,"-",
(G352+G353)*Calc_ROM_2[Ausnet])</f>
        <v>1.5273792779165591E-2</v>
      </c>
      <c r="H354" s="74" t="str" cm="1">
        <f t="array" ref="H354">IF(H352=0,"-",
(H352+H353)*Calc_ROM_2[Citipower])</f>
        <v>-</v>
      </c>
      <c r="I354" s="74" t="str" cm="1">
        <f t="array" ref="I354">IF(I352=0,"-",
(I352+I353)*Calc_ROM_2[Jemena])</f>
        <v>-</v>
      </c>
      <c r="J354" s="74" t="str" cm="1">
        <f t="array" ref="J354">IF(J352=0,"-",
(J352+J353)*Calc_ROM_2[Powercor])</f>
        <v>-</v>
      </c>
      <c r="K354" s="74" t="str" cm="1">
        <f t="array" ref="K354">IF(K352=0,"-",
(K352+K353)*Calc_ROM_2[United Energy])</f>
        <v>-</v>
      </c>
    </row>
    <row r="355" spans="2:11" outlineLevel="1" x14ac:dyDescent="0.25">
      <c r="B355"/>
      <c r="C355" s="24" t="s">
        <v>286</v>
      </c>
      <c r="D355" s="24" t="s">
        <v>11</v>
      </c>
      <c r="E355" s="24" t="s">
        <v>291</v>
      </c>
      <c r="F355" s="24" t="s">
        <v>101</v>
      </c>
      <c r="G355" s="74">
        <f>IF(G352=0,"-",
(G352+G353+G354)*GST)</f>
        <v>2.6815115667263564E-2</v>
      </c>
      <c r="H355" s="74" t="str">
        <f>IF(H352=0,"-",
(H352+H353+H354)*GST)</f>
        <v>-</v>
      </c>
      <c r="I355" s="74" t="str">
        <f>IF(I352=0,"-",
(I352+I353+I354)*GST)</f>
        <v>-</v>
      </c>
      <c r="J355" s="74" t="str">
        <f>IF(J352=0,"-",
(J352+J353+J354)*GST)</f>
        <v>-</v>
      </c>
      <c r="K355" s="74" t="str">
        <f>IF(K352=0,"-",
(K352+K353+K354)*GST)</f>
        <v>-</v>
      </c>
    </row>
    <row r="356" spans="2:11" outlineLevel="1" x14ac:dyDescent="0.25">
      <c r="B356"/>
      <c r="C356" s="24" t="str">
        <f>C351&amp;" charge"</f>
        <v>Block 1 charge</v>
      </c>
      <c r="D356" s="24" t="s">
        <v>11</v>
      </c>
      <c r="E356" s="24" t="s">
        <v>291</v>
      </c>
      <c r="F356" s="24" t="s">
        <v>101</v>
      </c>
      <c r="G356" s="75">
        <f>IF(G352=0,"-",
G352+G353+G354+G355)</f>
        <v>0.29496627233989919</v>
      </c>
      <c r="H356" s="75" t="str">
        <f t="shared" ref="H356" si="83">IF(H352=0,"-",
H352+H353+H354+H355)</f>
        <v>-</v>
      </c>
      <c r="I356" s="75" t="str">
        <f t="shared" ref="I356" si="84">IF(I352=0,"-",
I352+I353+I354+I355)</f>
        <v>-</v>
      </c>
      <c r="J356" s="75" t="str">
        <f t="shared" ref="J356" si="85">IF(J352=0,"-",
J352+J353+J354+J355)</f>
        <v>-</v>
      </c>
      <c r="K356" s="75" t="str">
        <f t="shared" ref="K356" si="86">IF(K352=0,"-",
K352+K353+K354+K355)</f>
        <v>-</v>
      </c>
    </row>
    <row r="357" spans="2:11" outlineLevel="1" x14ac:dyDescent="0.25">
      <c r="B357"/>
      <c r="G357" s="111" cm="1">
        <f t="array" ref="G357">IF($D$251='Lookup refs'!$D$25,
IF(G356=INDEX(RateCheck_VDO2021F[[Ausnet]:[United Energy]],MATCH(Calc_Rates!$C356&amp;"_"&amp;Calc_Rates!$F356,RateCheck_VDO2021F[Rate],0),MATCH(Calc_Rates!G$9,RateCheck_VDO2021F[[#Headers],[Ausnet]:[United Energy]],0)),0,1),
IF(G356="-","-",
IF(ROUND(G356,8)=ROUND((((
SUMIFS(Calc_Variable_2[Ausnet],Calc_Variable_2[Customer type],Calc_Rates!$F356)+
SUMIFS(Calc_Variable_2[Ausnet],Calc_Variable_2[Customer type],"All")+G352)*(1+Calc_ROM_2[Ausnet]))*(1+GST)),8),0,1)))</f>
        <v>0</v>
      </c>
      <c r="H357" s="111" t="str" cm="1">
        <f t="array" ref="H357">IF($D$251='Lookup refs'!$D$25,
IF(H356=INDEX(RateCheck_VDO2021F[[Ausnet]:[United Energy]],MATCH(Calc_Rates!$C356&amp;"_"&amp;Calc_Rates!$F356,RateCheck_VDO2021F[Rate],0),MATCH(Calc_Rates!H$9,RateCheck_VDO2021F[[#Headers],[Ausnet]:[United Energy]],0)),0,1),
IF(H356="-","-",
IF(ROUND(H356,8)=ROUND((((
SUMIFS(Calc_Variable_2[Citipower],Calc_Variable_2[Customer type],Calc_Rates!$F356)+
SUMIFS(Calc_Variable_2[Citipower],Calc_Variable_2[Customer type],"All")+H352)*(1+Calc_ROM_2[Citipower]))*(1+GST)),8),0,1)))</f>
        <v>-</v>
      </c>
      <c r="I357" s="111" t="str" cm="1">
        <f t="array" ref="I357">IF($D$251='Lookup refs'!$D$25,
IF(I356=INDEX(RateCheck_VDO2021F[[Ausnet]:[United Energy]],MATCH(Calc_Rates!$C356&amp;"_"&amp;Calc_Rates!$F356,RateCheck_VDO2021F[Rate],0),MATCH(Calc_Rates!I$9,RateCheck_VDO2021F[[#Headers],[Ausnet]:[United Energy]],0)),0,1),
IF(I356="-","-",
IF(ROUND(I356,8)=ROUND((((
SUMIFS(Calc_Variable_2[Jemena],Calc_Variable_2[Customer type],Calc_Rates!$F356)+
SUMIFS(Calc_Variable_2[Jemena],Calc_Variable_2[Customer type],"All")+I352)*(1+Calc_ROM_2[Jemena]))*(1+GST)),8),0,1)))</f>
        <v>-</v>
      </c>
      <c r="J357" s="111" t="str" cm="1">
        <f t="array" ref="J357">IF($D$251='Lookup refs'!$D$25,
IF(J356=INDEX(RateCheck_VDO2021F[[Ausnet]:[United Energy]],MATCH(Calc_Rates!$C356&amp;"_"&amp;Calc_Rates!$F356,RateCheck_VDO2021F[Rate],0),MATCH(Calc_Rates!J$9,RateCheck_VDO2021F[[#Headers],[Ausnet]:[United Energy]],0)),0,1),
IF(J356="-","-",
IF(ROUND(J356,8)=ROUND((((
SUMIFS(Calc_Variable_2[Powercor],Calc_Variable_2[[Customer type]:[Customer type]],Calc_Rates!$F356)+
SUMIFS(Calc_Variable_2[Powercor],Calc_Variable_2[[Customer type]:[Customer type]],"All")+J352)*(1+Calc_ROM_2[Powercor]))*(1+GST)),8),0,1)))</f>
        <v>-</v>
      </c>
      <c r="K357" s="111" t="str" cm="1">
        <f t="array" ref="K357">IF($D$251='Lookup refs'!$D$25,
IF(K356=INDEX(RateCheck_VDO2021F[[Ausnet]:[United Energy]],MATCH(Calc_Rates!$C356&amp;"_"&amp;Calc_Rates!$F356,RateCheck_VDO2021F[[Rate]:[Rate]],0),MATCH(Calc_Rates!K$9,RateCheck_VDO2021F[[#Headers],[Ausnet]:[United Energy]],0)),0,1),
IF(K356="-","-",
IF(ROUND(K356,8)=ROUND((((
SUMIFS(Calc_Variable_2[United Energy],Calc_Variable_2[[Customer type]:[Customer type]],Calc_Rates!$F356)+
SUMIFS(Calc_Variable_2[United Energy],Calc_Variable_2[[Customer type]:[Customer type]],"All")+K352)*(1+Calc_ROM_2[United Energy]))*(1+GST)),8),0,1)))</f>
        <v>-</v>
      </c>
    </row>
    <row r="358" spans="2:11" ht="15.75" outlineLevel="1" x14ac:dyDescent="0.25">
      <c r="B358"/>
      <c r="C358" s="82" t="s">
        <v>237</v>
      </c>
    </row>
    <row r="359" spans="2:11" outlineLevel="1" x14ac:dyDescent="0.25">
      <c r="B359"/>
      <c r="C359" s="24" t="s">
        <v>295</v>
      </c>
      <c r="D359" s="24" t="s">
        <v>11</v>
      </c>
      <c r="E359" s="24" t="s">
        <v>291</v>
      </c>
      <c r="F359" s="24" t="s">
        <v>101</v>
      </c>
      <c r="G359" s="62">
        <f>SUMIFS(Calc_NetworkV_2[Ausnet],Calc_NetworkV_2[[Cost item]:[Cost item]],$C358,Calc_NetworkV_2[[Customer type]:[Customer type]],$F359)</f>
        <v>0.182667</v>
      </c>
      <c r="H359" s="62">
        <f>SUMIFS(Calc_NetworkV_2[Citipower],Calc_NetworkV_2[[Cost item]:[Cost item]],$C358,Calc_NetworkV_2[[Customer type]:[Customer type]],$F359)</f>
        <v>0</v>
      </c>
      <c r="I359" s="62">
        <f>SUMIFS(Calc_NetworkV_2[Jemena],Calc_NetworkV_2[[Cost item]:[Cost item]],$C358,Calc_NetworkV_2[[Customer type]:[Customer type]],$F359)</f>
        <v>0</v>
      </c>
      <c r="J359" s="62">
        <f>SUMIFS(Calc_NetworkV_2[Powercor],Calc_NetworkV_2[[Cost item]:[Cost item]],$C358,Calc_NetworkV_2[[Customer type]:[Customer type]],$F359)</f>
        <v>0</v>
      </c>
      <c r="K359" s="62">
        <f>SUMIFS(Calc_NetworkV_2[United Energy],Calc_NetworkV_2[[Cost item]:[Cost item]],$C358,Calc_NetworkV_2[[Customer type]:[Customer type]],$F359)</f>
        <v>0</v>
      </c>
    </row>
    <row r="360" spans="2:11" outlineLevel="1" x14ac:dyDescent="0.25">
      <c r="B360"/>
      <c r="C360" s="24" t="s">
        <v>289</v>
      </c>
      <c r="D360" s="24" t="s">
        <v>11</v>
      </c>
      <c r="E360" s="24" t="s">
        <v>291</v>
      </c>
      <c r="F360" s="24" t="s">
        <v>101</v>
      </c>
      <c r="G360" s="62">
        <f>SUMIFS(Calc_Variable_2[Ausnet],Calc_Variable_2[[Customer type]:[Customer type]],"All")+SUMIFS(Calc_Variable_2[Ausnet],Calc_Variable_2[[Customer type]:[Customer type]],$F360)</f>
        <v>9.7491363893470073E-2</v>
      </c>
      <c r="H360" s="62">
        <f>SUMIFS(Calc_Variable_2[Citipower],Calc_Variable_2[[Customer type]:[Customer type]],"All")+SUMIFS(Calc_Variable_2[Citipower],Calc_Variable_2[[Customer type]:[Customer type]],$F360)</f>
        <v>9.5803562973578837E-2</v>
      </c>
      <c r="I360" s="62">
        <f>SUMIFS(Calc_Variable_2[Jemena],Calc_Variable_2[[Customer type]:[Customer type]],"All")+SUMIFS(Calc_Variable_2[Jemena],Calc_Variable_2[[Customer type]:[Customer type]],$F360)</f>
        <v>9.537585089440502E-2</v>
      </c>
      <c r="J360" s="62">
        <f>SUMIFS(Calc_Variable_2[Powercor],Calc_Variable_2[[Customer type]:[Customer type]],"All")+SUMIFS(Calc_Variable_2[Powercor],Calc_Variable_2[[Customer type]:[Customer type]],$F360)</f>
        <v>9.4889700742642621E-2</v>
      </c>
      <c r="K360" s="62">
        <f>SUMIFS(Calc_Variable_2[United Energy],Calc_Variable_2[[Customer type]:[Customer type]],"All")+SUMIFS(Calc_Variable_2[United Energy],Calc_Variable_2[[Customer type]:[Customer type]],$F360)</f>
        <v>9.7222821011307206E-2</v>
      </c>
    </row>
    <row r="361" spans="2:11" outlineLevel="1" x14ac:dyDescent="0.25">
      <c r="B361"/>
      <c r="C361" s="24" t="s">
        <v>212</v>
      </c>
      <c r="D361" s="24" t="s">
        <v>11</v>
      </c>
      <c r="E361" s="24" t="s">
        <v>291</v>
      </c>
      <c r="F361" s="24" t="s">
        <v>101</v>
      </c>
      <c r="G361" s="74" cm="1">
        <f t="array" ref="G361">IF(G359=0,"-",
(G359+G360)*Calc_ROM_2[Ausnet])</f>
        <v>1.6921565179165592E-2</v>
      </c>
      <c r="H361" s="74" t="str" cm="1">
        <f t="array" ref="H361">IF(H359=0,"-",
(H359+H360)*Calc_ROM_2[Citipower])</f>
        <v>-</v>
      </c>
      <c r="I361" s="74" t="str" cm="1">
        <f t="array" ref="I361">IF(I359=0,"-",
(I359+I360)*Calc_ROM_2[Jemena])</f>
        <v>-</v>
      </c>
      <c r="J361" s="74" t="str" cm="1">
        <f t="array" ref="J361">IF(J359=0,"-",
(J359+J360)*Calc_ROM_2[Powercor])</f>
        <v>-</v>
      </c>
      <c r="K361" s="74" t="str" cm="1">
        <f t="array" ref="K361">IF(K359=0,"-",
(K359+K360)*Calc_ROM_2[United Energy])</f>
        <v>-</v>
      </c>
    </row>
    <row r="362" spans="2:11" outlineLevel="1" x14ac:dyDescent="0.25">
      <c r="B362"/>
      <c r="C362" s="24" t="s">
        <v>286</v>
      </c>
      <c r="D362" s="24" t="s">
        <v>11</v>
      </c>
      <c r="E362" s="24" t="s">
        <v>291</v>
      </c>
      <c r="F362" s="24" t="s">
        <v>101</v>
      </c>
      <c r="G362" s="74">
        <f>IF(G359=0,"-",
(G359+G360+G361)*GST)</f>
        <v>2.9707992907263565E-2</v>
      </c>
      <c r="H362" s="74" t="str">
        <f>IF(H359=0,"-",
(H359+H360+H361)*GST)</f>
        <v>-</v>
      </c>
      <c r="I362" s="74" t="str">
        <f>IF(I359=0,"-",
(I359+I360+I361)*GST)</f>
        <v>-</v>
      </c>
      <c r="J362" s="74" t="str">
        <f>IF(J359=0,"-",
(J359+J360+J361)*GST)</f>
        <v>-</v>
      </c>
      <c r="K362" s="74" t="str">
        <f>IF(K359=0,"-",
(K359+K360+K361)*GST)</f>
        <v>-</v>
      </c>
    </row>
    <row r="363" spans="2:11" outlineLevel="1" x14ac:dyDescent="0.25">
      <c r="B363"/>
      <c r="C363" s="24" t="str">
        <f>C358&amp;" charge"</f>
        <v>Balance charge</v>
      </c>
      <c r="D363" s="24" t="s">
        <v>11</v>
      </c>
      <c r="E363" s="24" t="s">
        <v>291</v>
      </c>
      <c r="F363" s="24" t="s">
        <v>101</v>
      </c>
      <c r="G363" s="75">
        <f>IF(G359=0,"-",
G359+G360+G361+G362)</f>
        <v>0.3267879219798992</v>
      </c>
      <c r="H363" s="75" t="str">
        <f t="shared" ref="H363" si="87">IF(H359=0,"-",
H359+H360+H361+H362)</f>
        <v>-</v>
      </c>
      <c r="I363" s="75" t="str">
        <f t="shared" ref="I363" si="88">IF(I359=0,"-",
I359+I360+I361+I362)</f>
        <v>-</v>
      </c>
      <c r="J363" s="75" t="str">
        <f t="shared" ref="J363" si="89">IF(J359=0,"-",
J359+J360+J361+J362)</f>
        <v>-</v>
      </c>
      <c r="K363" s="75" t="str">
        <f t="shared" ref="K363" si="90">IF(K359=0,"-",
K359+K360+K361+K362)</f>
        <v>-</v>
      </c>
    </row>
    <row r="364" spans="2:11" outlineLevel="1" x14ac:dyDescent="0.25">
      <c r="B364"/>
      <c r="G364" s="111" cm="1">
        <f t="array" ref="G364">IF($D$251='Lookup refs'!$D$25,
IF(G363=INDEX(RateCheck_VDO2021F[[Ausnet]:[United Energy]],MATCH(Calc_Rates!$C363&amp;"_"&amp;Calc_Rates!$F363,RateCheck_VDO2021F[Rate],0),MATCH(Calc_Rates!G$9,RateCheck_VDO2021F[[#Headers],[Ausnet]:[United Energy]],0)),0,1),
IF(G363="-","-",
IF(ROUND(G363,8)=ROUND((((
SUMIFS(Calc_Variable_2[Ausnet],Calc_Variable_2[Customer type],Calc_Rates!$F363)+
SUMIFS(Calc_Variable_2[Ausnet],Calc_Variable_2[Customer type],"All")+G359)*(1+Calc_ROM_2[Ausnet]))*(1+GST)),8),0,1)))</f>
        <v>0</v>
      </c>
      <c r="H364" s="111" t="str" cm="1">
        <f t="array" ref="H364">IF($D$251='Lookup refs'!$D$25,
IF(H363=INDEX(RateCheck_VDO2021F[[Ausnet]:[United Energy]],MATCH(Calc_Rates!$C363&amp;"_"&amp;Calc_Rates!$F363,RateCheck_VDO2021F[Rate],0),MATCH(Calc_Rates!H$9,RateCheck_VDO2021F[[#Headers],[Ausnet]:[United Energy]],0)),0,1),
IF(H363="-","-",
IF(ROUND(H363,8)=ROUND((((
SUMIFS(Calc_Variable_2[Citipower],Calc_Variable_2[Customer type],Calc_Rates!$F363)+
SUMIFS(Calc_Variable_2[Citipower],Calc_Variable_2[Customer type],"All")+H359)*(1+Calc_ROM_2[Citipower]))*(1+GST)),8),0,1)))</f>
        <v>-</v>
      </c>
      <c r="I364" s="111" t="str" cm="1">
        <f t="array" ref="I364">IF($D$251='Lookup refs'!$D$25,
IF(I363=INDEX(RateCheck_VDO2021F[[Ausnet]:[United Energy]],MATCH(Calc_Rates!$C363&amp;"_"&amp;Calc_Rates!$F363,RateCheck_VDO2021F[Rate],0),MATCH(Calc_Rates!I$9,RateCheck_VDO2021F[[#Headers],[Ausnet]:[United Energy]],0)),0,1),
IF(I363="-","-",
IF(ROUND(I363,8)=ROUND((((
SUMIFS(Calc_Variable_2[Jemena],Calc_Variable_2[Customer type],Calc_Rates!$F363)+
SUMIFS(Calc_Variable_2[Jemena],Calc_Variable_2[Customer type],"All")+I359)*(1+Calc_ROM_2[Jemena]))*(1+GST)),8),0,1)))</f>
        <v>-</v>
      </c>
      <c r="J364" s="111" t="str" cm="1">
        <f t="array" ref="J364">IF($D$251='Lookup refs'!$D$25,
IF(J363=INDEX(RateCheck_VDO2021F[[Ausnet]:[United Energy]],MATCH(Calc_Rates!$C363&amp;"_"&amp;Calc_Rates!$F363,RateCheck_VDO2021F[Rate],0),MATCH(Calc_Rates!J$9,RateCheck_VDO2021F[[#Headers],[Ausnet]:[United Energy]],0)),0,1),
IF(J363="-","-",
IF(ROUND(J363,8)=ROUND((((
SUMIFS(Calc_Variable_2[Powercor],Calc_Variable_2[[Customer type]:[Customer type]],Calc_Rates!$F363)+
SUMIFS(Calc_Variable_2[Powercor],Calc_Variable_2[[Customer type]:[Customer type]],"All")+J359)*(1+Calc_ROM_2[Powercor]))*(1+GST)),8),0,1)))</f>
        <v>-</v>
      </c>
      <c r="K364" s="111" t="str" cm="1">
        <f t="array" ref="K364">IF($D$251='Lookup refs'!$D$25,
IF(K363=INDEX(RateCheck_VDO2021F[[Ausnet]:[United Energy]],MATCH(Calc_Rates!$C363&amp;"_"&amp;Calc_Rates!$F363,RateCheck_VDO2021F[[Rate]:[Rate]],0),MATCH(Calc_Rates!K$9,RateCheck_VDO2021F[[#Headers],[Ausnet]:[United Energy]],0)),0,1),
IF(K363="-","-",
IF(ROUND(K363,8)=ROUND((((
SUMIFS(Calc_Variable_2[United Energy],Calc_Variable_2[[Customer type]:[Customer type]],Calc_Rates!$F363)+
SUMIFS(Calc_Variable_2[United Energy],Calc_Variable_2[[Customer type]:[Customer type]],"All")+K359)*(1+Calc_ROM_2[United Energy]))*(1+GST)),8),0,1)))</f>
        <v>-</v>
      </c>
    </row>
    <row r="365" spans="2:11" ht="15.75" outlineLevel="1" x14ac:dyDescent="0.25">
      <c r="B365"/>
      <c r="C365" s="82" t="s">
        <v>508</v>
      </c>
    </row>
    <row r="366" spans="2:11" outlineLevel="1" x14ac:dyDescent="0.25">
      <c r="B366"/>
      <c r="C366" s="24" t="s">
        <v>295</v>
      </c>
      <c r="D366" s="24" t="s">
        <v>11</v>
      </c>
      <c r="E366" s="24" t="s">
        <v>291</v>
      </c>
      <c r="F366" s="24" t="s">
        <v>101</v>
      </c>
      <c r="G366" s="62">
        <f>SUMIFS(Calc_NetworkV_2[Ausnet],Calc_NetworkV_2[[Cost item]:[Cost item]],$C365,Calc_NetworkV_2[[Customer type]:[Customer type]],$F366)</f>
        <v>0</v>
      </c>
      <c r="H366" s="62">
        <f>SUMIFS(Calc_NetworkV_2[Citipower],Calc_NetworkV_2[[Cost item]:[Cost item]],$C365,Calc_NetworkV_2[[Customer type]:[Customer type]],$F366)</f>
        <v>8.2100000000000006E-2</v>
      </c>
      <c r="I366" s="62">
        <f>SUMIFS(Calc_NetworkV_2[Jemena],Calc_NetworkV_2[[Cost item]:[Cost item]],$C365,Calc_NetworkV_2[[Customer type]:[Customer type]],$F366)</f>
        <v>0.10973000000000001</v>
      </c>
      <c r="J366" s="62">
        <f>SUMIFS(Calc_NetworkV_2[Powercor],Calc_NetworkV_2[[Cost item]:[Cost item]],$C365,Calc_NetworkV_2[[Customer type]:[Customer type]],$F366)</f>
        <v>9.2899999999999996E-2</v>
      </c>
      <c r="K366" s="62">
        <f>SUMIFS(Calc_NetworkV_2[United Energy],Calc_NetworkV_2[[Cost item]:[Cost item]],$C365,Calc_NetworkV_2[[Customer type]:[Customer type]],$F366)</f>
        <v>8.7899999999999992E-2</v>
      </c>
    </row>
    <row r="367" spans="2:11" outlineLevel="1" x14ac:dyDescent="0.25">
      <c r="B367"/>
      <c r="C367" s="24" t="s">
        <v>289</v>
      </c>
      <c r="D367" s="24" t="s">
        <v>11</v>
      </c>
      <c r="E367" s="24" t="s">
        <v>291</v>
      </c>
      <c r="F367" s="24" t="s">
        <v>101</v>
      </c>
      <c r="G367" s="62">
        <f>SUMIFS(Calc_Variable_2[Ausnet],Calc_Variable_2[[Customer type]:[Customer type]],"All")+SUMIFS(Calc_Variable_2[Ausnet],Calc_Variable_2[[Customer type]:[Customer type]],$F367)</f>
        <v>9.7491363893470073E-2</v>
      </c>
      <c r="H367" s="62">
        <f>SUMIFS(Calc_Variable_2[Citipower],Calc_Variable_2[[Customer type]:[Customer type]],"All")+SUMIFS(Calc_Variable_2[Citipower],Calc_Variable_2[[Customer type]:[Customer type]],$F367)</f>
        <v>9.5803562973578837E-2</v>
      </c>
      <c r="I367" s="62">
        <f>SUMIFS(Calc_Variable_2[Jemena],Calc_Variable_2[[Customer type]:[Customer type]],"All")+SUMIFS(Calc_Variable_2[Jemena],Calc_Variable_2[[Customer type]:[Customer type]],$F367)</f>
        <v>9.537585089440502E-2</v>
      </c>
      <c r="J367" s="62">
        <f>SUMIFS(Calc_Variable_2[Powercor],Calc_Variable_2[[Customer type]:[Customer type]],"All")+SUMIFS(Calc_Variable_2[Powercor],Calc_Variable_2[[Customer type]:[Customer type]],$F367)</f>
        <v>9.4889700742642621E-2</v>
      </c>
      <c r="K367" s="62">
        <f>SUMIFS(Calc_Variable_2[United Energy],Calc_Variable_2[[Customer type]:[Customer type]],"All")+SUMIFS(Calc_Variable_2[United Energy],Calc_Variable_2[[Customer type]:[Customer type]],$F367)</f>
        <v>9.7222821011307206E-2</v>
      </c>
    </row>
    <row r="368" spans="2:11" outlineLevel="1" x14ac:dyDescent="0.25">
      <c r="B368"/>
      <c r="C368" s="24" t="s">
        <v>212</v>
      </c>
      <c r="D368" s="24" t="s">
        <v>11</v>
      </c>
      <c r="E368" s="24" t="s">
        <v>291</v>
      </c>
      <c r="F368" s="24" t="s">
        <v>101</v>
      </c>
      <c r="G368" s="74" t="str" cm="1">
        <f t="array" ref="G368">IF(G366=0,"-",
(G366+G367)*Calc_ROM_2[Ausnet])</f>
        <v>-</v>
      </c>
      <c r="H368" s="74" cm="1">
        <f t="array" ref="H368">IF(H366=0,"-",
(H366+H367)*Calc_ROM_2[Citipower])</f>
        <v>1.0745375203604163E-2</v>
      </c>
      <c r="I368" s="74" cm="1">
        <f t="array" ref="I368">IF(I366=0,"-",
(I366+I367)*Calc_ROM_2[Jemena])</f>
        <v>1.2388393394022064E-2</v>
      </c>
      <c r="J368" s="74" cm="1">
        <f t="array" ref="J368">IF(J366=0,"-",
(J366+J367)*Calc_ROM_2[Powercor])</f>
        <v>1.1342497924855614E-2</v>
      </c>
      <c r="K368" s="74" cm="1">
        <f t="array" ref="K368">IF(K366=0,"-",
(K366+K367)*Calc_ROM_2[United Energy])</f>
        <v>1.1181418389082955E-2</v>
      </c>
    </row>
    <row r="369" spans="1:11" outlineLevel="1" x14ac:dyDescent="0.25">
      <c r="B369"/>
      <c r="C369" s="24" t="s">
        <v>286</v>
      </c>
      <c r="D369" s="24" t="s">
        <v>11</v>
      </c>
      <c r="E369" s="24" t="s">
        <v>291</v>
      </c>
      <c r="F369" s="24" t="s">
        <v>101</v>
      </c>
      <c r="G369" s="74" t="str">
        <f>IF(G366=0,"-",
(G366+G367+G368)*GST)</f>
        <v>-</v>
      </c>
      <c r="H369" s="74">
        <f>IF(H366=0,"-",
(H366+H367+H368)*GST)</f>
        <v>1.8864893817718303E-2</v>
      </c>
      <c r="I369" s="74">
        <f>IF(I366=0,"-",
(I366+I367+I368)*GST)</f>
        <v>2.1749424428842711E-2</v>
      </c>
      <c r="J369" s="74">
        <f>IF(J366=0,"-",
(J366+J367+J368)*GST)</f>
        <v>1.9913219866749824E-2</v>
      </c>
      <c r="K369" s="74">
        <f>IF(K366=0,"-",
(K366+K367+K368)*GST)</f>
        <v>1.9630423940039016E-2</v>
      </c>
    </row>
    <row r="370" spans="1:11" outlineLevel="1" x14ac:dyDescent="0.25">
      <c r="B370"/>
      <c r="C370" s="24" t="str">
        <f>C365&amp;" charge"</f>
        <v>Single rate charge</v>
      </c>
      <c r="D370" s="24" t="s">
        <v>11</v>
      </c>
      <c r="E370" s="24" t="s">
        <v>291</v>
      </c>
      <c r="F370" s="24" t="s">
        <v>101</v>
      </c>
      <c r="G370" s="75" t="str">
        <f>IF(G366=0,"-",
G366+G367+G368+G369)</f>
        <v>-</v>
      </c>
      <c r="H370" s="75">
        <f t="shared" ref="H370" si="91">IF(H366=0,"-",
H366+H367+H368+H369)</f>
        <v>0.20751383199490131</v>
      </c>
      <c r="I370" s="75">
        <f t="shared" ref="I370" si="92">IF(I366=0,"-",
I366+I367+I368+I369)</f>
        <v>0.23924366871726979</v>
      </c>
      <c r="J370" s="75">
        <f t="shared" ref="J370" si="93">IF(J366=0,"-",
J366+J367+J368+J369)</f>
        <v>0.21904541853424805</v>
      </c>
      <c r="K370" s="75">
        <f t="shared" ref="K370" si="94">IF(K366=0,"-",
K366+K367+K368+K369)</f>
        <v>0.21593466334042918</v>
      </c>
    </row>
    <row r="371" spans="1:11" outlineLevel="1" x14ac:dyDescent="0.25">
      <c r="B371"/>
      <c r="G371" s="111" t="str" cm="1">
        <f t="array" ref="G371">IF($D$251='Lookup refs'!$D$25,
IF(G370=INDEX(RateCheck_VDO2021F[[Ausnet]:[United Energy]],MATCH(Calc_Rates!$C370&amp;"_"&amp;Calc_Rates!$F370,RateCheck_VDO2021F[Rate],0),MATCH(Calc_Rates!G$9,RateCheck_VDO2021F[[#Headers],[Ausnet]:[United Energy]],0)),0,1),
IF(G370="-","-",
IF(ROUND(G370,8)=ROUND((((
SUMIFS(Calc_Variable_2[Ausnet],Calc_Variable_2[Customer type],Calc_Rates!$F370)+
SUMIFS(Calc_Variable_2[Ausnet],Calc_Variable_2[Customer type],"All")+G366)*(1+Calc_ROM_2[Ausnet]))*(1+GST)),8),0,1)))</f>
        <v>-</v>
      </c>
      <c r="H371" s="111" cm="1">
        <f t="array" ref="H371">IF($D$251='Lookup refs'!$D$25,
IF(H370=INDEX(RateCheck_VDO2021F[[Ausnet]:[United Energy]],MATCH(Calc_Rates!$C370&amp;"_"&amp;Calc_Rates!$F370,RateCheck_VDO2021F[Rate],0),MATCH(Calc_Rates!H$9,RateCheck_VDO2021F[[#Headers],[Ausnet]:[United Energy]],0)),0,1),
IF(H370="-","-",
IF(ROUND(H370,8)=ROUND((((
SUMIFS(Calc_Variable_2[Citipower],Calc_Variable_2[Customer type],Calc_Rates!$F370)+
SUMIFS(Calc_Variable_2[Citipower],Calc_Variable_2[Customer type],"All")+H366)*(1+Calc_ROM_2[Citipower]))*(1+GST)),8),0,1)))</f>
        <v>0</v>
      </c>
      <c r="I371" s="111" cm="1">
        <f t="array" ref="I371">IF($D$251='Lookup refs'!$D$25,
IF(I370=INDEX(RateCheck_VDO2021F[[Ausnet]:[United Energy]],MATCH(Calc_Rates!$C370&amp;"_"&amp;Calc_Rates!$F370,RateCheck_VDO2021F[Rate],0),MATCH(Calc_Rates!I$9,RateCheck_VDO2021F[[#Headers],[Ausnet]:[United Energy]],0)),0,1),
IF(I370="-","-",
IF(ROUND(I370,8)=ROUND((((
SUMIFS(Calc_Variable_2[Jemena],Calc_Variable_2[Customer type],Calc_Rates!$F370)+
SUMIFS(Calc_Variable_2[Jemena],Calc_Variable_2[Customer type],"All")+I366)*(1+Calc_ROM_2[Jemena]))*(1+GST)),8),0,1)))</f>
        <v>0</v>
      </c>
      <c r="J371" s="111" cm="1">
        <f t="array" ref="J371">IF($D$251='Lookup refs'!$D$25,
IF(J370=INDEX(RateCheck_VDO2021F[[Ausnet]:[United Energy]],MATCH(Calc_Rates!$C370&amp;"_"&amp;Calc_Rates!$F370,RateCheck_VDO2021F[Rate],0),MATCH(Calc_Rates!J$9,RateCheck_VDO2021F[[#Headers],[Ausnet]:[United Energy]],0)),0,1),
IF(J370="-","-",
IF(ROUND(J370,8)=ROUND((((
SUMIFS(Calc_Variable_2[Powercor],Calc_Variable_2[[Customer type]:[Customer type]],Calc_Rates!$F370)+
SUMIFS(Calc_Variable_2[Powercor],Calc_Variable_2[[Customer type]:[Customer type]],"All")+J366)*(1+Calc_ROM_2[Powercor]))*(1+GST)),8),0,1)))</f>
        <v>0</v>
      </c>
      <c r="K371" s="111" cm="1">
        <f t="array" ref="K371">IF($D$251='Lookup refs'!$D$25,
IF(K370=INDEX(RateCheck_VDO2021F[[Ausnet]:[United Energy]],MATCH(Calc_Rates!$C370&amp;"_"&amp;Calc_Rates!$F370,RateCheck_VDO2021F[[Rate]:[Rate]],0),MATCH(Calc_Rates!K$9,RateCheck_VDO2021F[[#Headers],[Ausnet]:[United Energy]],0)),0,1),
IF(K370="-","-",
IF(ROUND(K370,8)=ROUND((((
SUMIFS(Calc_Variable_2[United Energy],Calc_Variable_2[[Customer type]:[Customer type]],Calc_Rates!$F370)+
SUMIFS(Calc_Variable_2[United Energy],Calc_Variable_2[[Customer type]:[Customer type]],"All")+K366)*(1+Calc_ROM_2[United Energy]))*(1+GST)),8),0,1)))</f>
        <v>0</v>
      </c>
    </row>
    <row r="372" spans="1:11" ht="15.75" outlineLevel="1" x14ac:dyDescent="0.25">
      <c r="B372"/>
      <c r="C372" s="1" t="s">
        <v>547</v>
      </c>
    </row>
    <row r="373" spans="1:11" ht="15.75" outlineLevel="1" x14ac:dyDescent="0.25">
      <c r="B373"/>
      <c r="C373" s="82" t="s">
        <v>239</v>
      </c>
    </row>
    <row r="374" spans="1:11" outlineLevel="1" x14ac:dyDescent="0.25">
      <c r="B374"/>
      <c r="C374" s="24" t="s">
        <v>295</v>
      </c>
      <c r="D374" s="24" t="s">
        <v>11</v>
      </c>
      <c r="E374" s="24" t="s">
        <v>291</v>
      </c>
      <c r="F374" s="24" t="s">
        <v>101</v>
      </c>
      <c r="G374" s="62">
        <f>SUMIFS(Calc_NetworkV_2[Ausnet],Calc_NetworkV_2[[Cost item]:[Cost item]],$C373,Calc_NetworkV_2[[Customer type]:[Customer type]],$F374)</f>
        <v>0.17508700000000002</v>
      </c>
      <c r="H374" s="62">
        <f>SUMIFS(Calc_NetworkV_2[Citipower],Calc_NetworkV_2[[Cost item]:[Cost item]],$C373,Calc_NetworkV_2[[Customer type]:[Customer type]],$F374)</f>
        <v>0.13019999999999998</v>
      </c>
      <c r="I374" s="62">
        <f>SUMIFS(Calc_NetworkV_2[Jemena],Calc_NetworkV_2[[Cost item]:[Cost item]],$C373,Calc_NetworkV_2[[Customer type]:[Customer type]],$F374)</f>
        <v>0.14330999999999999</v>
      </c>
      <c r="J374" s="62">
        <f>SUMIFS(Calc_NetworkV_2[Powercor],Calc_NetworkV_2[[Cost item]:[Cost item]],$C373,Calc_NetworkV_2[[Customer type]:[Customer type]],$F374)</f>
        <v>0.14749999999999999</v>
      </c>
      <c r="K374" s="62">
        <f>SUMIFS(Calc_NetworkV_2[United Energy],Calc_NetworkV_2[[Cost item]:[Cost item]],$C373,Calc_NetworkV_2[[Customer type]:[Customer type]],$F374)</f>
        <v>0.1399</v>
      </c>
    </row>
    <row r="375" spans="1:11" outlineLevel="1" x14ac:dyDescent="0.25">
      <c r="B375"/>
      <c r="C375" s="24" t="s">
        <v>289</v>
      </c>
      <c r="D375" s="24" t="s">
        <v>11</v>
      </c>
      <c r="E375" s="24" t="s">
        <v>291</v>
      </c>
      <c r="F375" s="24" t="s">
        <v>101</v>
      </c>
      <c r="G375" s="62">
        <f>SUMIFS(Calc_Variable_2[Ausnet],Calc_Variable_2[[Customer type]:[Customer type]],"All")+SUMIFS(Calc_Variable_2[Ausnet],Calc_Variable_2[[Customer type]:[Customer type]],$F375)</f>
        <v>9.7491363893470073E-2</v>
      </c>
      <c r="H375" s="62">
        <f>SUMIFS(Calc_Variable_2[Citipower],Calc_Variable_2[[Customer type]:[Customer type]],"All")+SUMIFS(Calc_Variable_2[Citipower],Calc_Variable_2[[Customer type]:[Customer type]],$F375)</f>
        <v>9.5803562973578837E-2</v>
      </c>
      <c r="I375" s="62">
        <f>SUMIFS(Calc_Variable_2[Jemena],Calc_Variable_2[[Customer type]:[Customer type]],"All")+SUMIFS(Calc_Variable_2[Jemena],Calc_Variable_2[[Customer type]:[Customer type]],$F375)</f>
        <v>9.537585089440502E-2</v>
      </c>
      <c r="J375" s="62">
        <f>SUMIFS(Calc_Variable_2[Powercor],Calc_Variable_2[[Customer type]:[Customer type]],"All")+SUMIFS(Calc_Variable_2[Powercor],Calc_Variable_2[[Customer type]:[Customer type]],$F375)</f>
        <v>9.4889700742642621E-2</v>
      </c>
      <c r="K375" s="62">
        <f>SUMIFS(Calc_Variable_2[United Energy],Calc_Variable_2[[Customer type]:[Customer type]],"All")+SUMIFS(Calc_Variable_2[United Energy],Calc_Variable_2[[Customer type]:[Customer type]],$F375)</f>
        <v>9.7222821011307206E-2</v>
      </c>
    </row>
    <row r="376" spans="1:11" outlineLevel="1" x14ac:dyDescent="0.25">
      <c r="B376"/>
      <c r="C376" s="24" t="s">
        <v>212</v>
      </c>
      <c r="D376" s="24" t="s">
        <v>11</v>
      </c>
      <c r="E376" s="24" t="s">
        <v>291</v>
      </c>
      <c r="F376" s="24" t="s">
        <v>101</v>
      </c>
      <c r="G376" s="74" cm="1">
        <f t="array" ref="G376">IF(G374=0,"-",
(G374+G375)*Calc_ROM_2[Ausnet])</f>
        <v>1.6463733179165597E-2</v>
      </c>
      <c r="H376" s="74" cm="1">
        <f t="array" ref="H376">IF(H374=0,"-",
(H374+H375)*Calc_ROM_2[Citipower])</f>
        <v>1.3650615203604161E-2</v>
      </c>
      <c r="I376" s="74" cm="1">
        <f t="array" ref="I376">IF(I374=0,"-",
(I374+I375)*Calc_ROM_2[Jemena])</f>
        <v>1.4416625394022064E-2</v>
      </c>
      <c r="J376" s="74" cm="1">
        <f t="array" ref="J376">IF(J374=0,"-",
(J374+J375)*Calc_ROM_2[Powercor])</f>
        <v>1.4640337924855614E-2</v>
      </c>
      <c r="K376" s="74" cm="1">
        <f t="array" ref="K376">IF(K374=0,"-",
(K374+K375)*Calc_ROM_2[United Energy])</f>
        <v>1.4322218389082956E-2</v>
      </c>
    </row>
    <row r="377" spans="1:11" outlineLevel="1" x14ac:dyDescent="0.25">
      <c r="B377"/>
      <c r="C377" s="24" t="s">
        <v>286</v>
      </c>
      <c r="D377" s="24" t="s">
        <v>11</v>
      </c>
      <c r="E377" s="24" t="s">
        <v>291</v>
      </c>
      <c r="F377" s="24" t="s">
        <v>101</v>
      </c>
      <c r="G377" s="74">
        <f>IF(G374=0,"-",
(G374+G375+G376)*GST)</f>
        <v>2.8904209707263574E-2</v>
      </c>
      <c r="H377" s="74">
        <f>IF(H374=0,"-",
(H374+H375+H376)*GST)</f>
        <v>2.3965417817718299E-2</v>
      </c>
      <c r="I377" s="74">
        <f>IF(I374=0,"-",
(I374+I375+I376)*GST)</f>
        <v>2.5310247628842708E-2</v>
      </c>
      <c r="J377" s="74">
        <f>IF(J374=0,"-",
(J374+J375+J376)*GST)</f>
        <v>2.5703003866749827E-2</v>
      </c>
      <c r="K377" s="74">
        <f>IF(K374=0,"-",
(K374+K375+K376)*GST)</f>
        <v>2.5144503940039017E-2</v>
      </c>
    </row>
    <row r="378" spans="1:11" outlineLevel="1" x14ac:dyDescent="0.25">
      <c r="B378"/>
      <c r="C378" s="24" t="str">
        <f>C373&amp;" charge"</f>
        <v>Peak charge</v>
      </c>
      <c r="D378" s="24" t="s">
        <v>11</v>
      </c>
      <c r="E378" s="24" t="s">
        <v>291</v>
      </c>
      <c r="F378" s="24" t="s">
        <v>101</v>
      </c>
      <c r="G378" s="75">
        <f>IF(G374=0,"-",
G374+G375+G376+G377)</f>
        <v>0.31794630677989932</v>
      </c>
      <c r="H378" s="75">
        <f t="shared" ref="H378" si="95">IF(H374=0,"-",
H374+H375+H376+H377)</f>
        <v>0.26361959599490126</v>
      </c>
      <c r="I378" s="75">
        <f t="shared" ref="I378" si="96">IF(I374=0,"-",
I374+I375+I376+I377)</f>
        <v>0.27841272391726979</v>
      </c>
      <c r="J378" s="75">
        <f t="shared" ref="J378" si="97">IF(J374=0,"-",
J374+J375+J376+J377)</f>
        <v>0.28273304253424808</v>
      </c>
      <c r="K378" s="75">
        <f t="shared" ref="K378" si="98">IF(K374=0,"-",
K374+K375+K376+K377)</f>
        <v>0.27658954334042918</v>
      </c>
    </row>
    <row r="379" spans="1:11" outlineLevel="1" x14ac:dyDescent="0.25">
      <c r="B379"/>
      <c r="G379" s="111" cm="1">
        <f t="array" ref="G379">IF($D$251='Lookup refs'!$D$25,
IF(G378=INDEX(RateCheck_VDO2021F[[Ausnet]:[United Energy]],MATCH(Calc_Rates!$C378&amp;"_"&amp;Calc_Rates!$F378,RateCheck_VDO2021F[Rate],0),MATCH(Calc_Rates!G$9,RateCheck_VDO2021F[[#Headers],[Ausnet]:[United Energy]],0)),0,1),
IF(G378="-","-",
IF(ROUND(G378,8)=ROUND((((
SUMIFS(Calc_Variable_2[Ausnet],Calc_Variable_2[Customer type],Calc_Rates!$F378)+
SUMIFS(Calc_Variable_2[Ausnet],Calc_Variable_2[Customer type],"All")+G374)*(1+Calc_ROM_2[Ausnet]))*(1+GST)),8),0,1)))</f>
        <v>0</v>
      </c>
      <c r="H379" s="111" cm="1">
        <f t="array" ref="H379">IF($D$251='Lookup refs'!$D$25,
IF(H378=INDEX(RateCheck_VDO2021F[[Ausnet]:[United Energy]],MATCH(Calc_Rates!$C378&amp;"_"&amp;Calc_Rates!$F378,RateCheck_VDO2021F[Rate],0),MATCH(Calc_Rates!H$9,RateCheck_VDO2021F[[#Headers],[Ausnet]:[United Energy]],0)),0,1),
IF(H378="-","-",
IF(ROUND(H378,8)=ROUND((((
SUMIFS(Calc_Variable_2[Citipower],Calc_Variable_2[Customer type],Calc_Rates!$F378)+
SUMIFS(Calc_Variable_2[Citipower],Calc_Variable_2[Customer type],"All")+H374)*(1+Calc_ROM_2[Citipower]))*(1+GST)),8),0,1)))</f>
        <v>0</v>
      </c>
      <c r="I379" s="111" cm="1">
        <f t="array" ref="I379">IF($D$251='Lookup refs'!$D$25,
IF(I378=INDEX(RateCheck_VDO2021F[[Ausnet]:[United Energy]],MATCH(Calc_Rates!$C378&amp;"_"&amp;Calc_Rates!$F378,RateCheck_VDO2021F[Rate],0),MATCH(Calc_Rates!I$9,RateCheck_VDO2021F[[#Headers],[Ausnet]:[United Energy]],0)),0,1),
IF(I378="-","-",
IF(ROUND(I378,8)=ROUND((((
SUMIFS(Calc_Variable_2[Jemena],Calc_Variable_2[Customer type],Calc_Rates!$F378)+
SUMIFS(Calc_Variable_2[Jemena],Calc_Variable_2[Customer type],"All")+I374)*(1+Calc_ROM_2[Jemena]))*(1+GST)),8),0,1)))</f>
        <v>0</v>
      </c>
      <c r="J379" s="111" cm="1">
        <f t="array" ref="J379">IF($D$251='Lookup refs'!$D$25,
IF(J378=INDEX(RateCheck_VDO2021F[[Ausnet]:[United Energy]],MATCH(Calc_Rates!$C378&amp;"_"&amp;Calc_Rates!$F378,RateCheck_VDO2021F[Rate],0),MATCH(Calc_Rates!J$9,RateCheck_VDO2021F[[#Headers],[Ausnet]:[United Energy]],0)),0,1),
IF(J378="-","-",
IF(ROUND(J378,8)=ROUND((((
SUMIFS(Calc_Variable_2[Powercor],Calc_Variable_2[[Customer type]:[Customer type]],Calc_Rates!$F378)+
SUMIFS(Calc_Variable_2[Powercor],Calc_Variable_2[[Customer type]:[Customer type]],"All")+J374)*(1+Calc_ROM_2[Powercor]))*(1+GST)),8),0,1)))</f>
        <v>0</v>
      </c>
      <c r="K379" s="111" cm="1">
        <f t="array" ref="K379">IF($D$251='Lookup refs'!$D$25,
IF(K378=INDEX(RateCheck_VDO2021F[[Ausnet]:[United Energy]],MATCH(Calc_Rates!$C378&amp;"_"&amp;Calc_Rates!$F378,RateCheck_VDO2021F[[Rate]:[Rate]],0),MATCH(Calc_Rates!K$9,RateCheck_VDO2021F[[#Headers],[Ausnet]:[United Energy]],0)),0,1),
IF(K378="-","-",
IF(ROUND(K378,8)=ROUND((((
SUMIFS(Calc_Variable_2[United Energy],Calc_Variable_2[[Customer type]:[Customer type]],Calc_Rates!$F378)+
SUMIFS(Calc_Variable_2[United Energy],Calc_Variable_2[[Customer type]:[Customer type]],"All")+K374)*(1+Calc_ROM_2[United Energy]))*(1+GST)),8),0,1)))</f>
        <v>0</v>
      </c>
    </row>
    <row r="380" spans="1:11" ht="15.75" outlineLevel="1" x14ac:dyDescent="0.25">
      <c r="B380"/>
      <c r="C380" s="82" t="s">
        <v>538</v>
      </c>
    </row>
    <row r="381" spans="1:11" outlineLevel="1" x14ac:dyDescent="0.25">
      <c r="B381"/>
      <c r="C381" s="24" t="s">
        <v>295</v>
      </c>
      <c r="D381" s="24" t="s">
        <v>11</v>
      </c>
      <c r="E381" s="24" t="s">
        <v>291</v>
      </c>
      <c r="F381" s="24" t="s">
        <v>101</v>
      </c>
      <c r="G381" s="62">
        <f>SUMIFS(Calc_NetworkV_2[Ausnet],Calc_NetworkV_2[[Cost item]:[Cost item]],$C380,Calc_NetworkV_2[[Customer type]:[Customer type]],$F381)</f>
        <v>4.2655999999999999E-2</v>
      </c>
      <c r="H381" s="62">
        <f>SUMIFS(Calc_NetworkV_2[Citipower],Calc_NetworkV_2[[Cost item]:[Cost item]],$C380,Calc_NetworkV_2[[Customer type]:[Customer type]],$F381)</f>
        <v>2.8900000000000002E-2</v>
      </c>
      <c r="I381" s="62">
        <f>SUMIFS(Calc_NetworkV_2[Jemena],Calc_NetworkV_2[[Cost item]:[Cost item]],$C380,Calc_NetworkV_2[[Customer type]:[Customer type]],$F381)</f>
        <v>3.0520000000000002E-2</v>
      </c>
      <c r="J381" s="62">
        <f>SUMIFS(Calc_NetworkV_2[Powercor],Calc_NetworkV_2[[Cost item]:[Cost item]],$C380,Calc_NetworkV_2[[Customer type]:[Customer type]],$F381)</f>
        <v>3.2799999999999996E-2</v>
      </c>
      <c r="K381" s="62">
        <f>SUMIFS(Calc_NetworkV_2[United Energy],Calc_NetworkV_2[[Cost item]:[Cost item]],$C380,Calc_NetworkV_2[[Customer type]:[Customer type]],$F381)</f>
        <v>3.1099999999999999E-2</v>
      </c>
    </row>
    <row r="382" spans="1:11" outlineLevel="1" x14ac:dyDescent="0.25">
      <c r="B382"/>
      <c r="C382" s="24" t="s">
        <v>289</v>
      </c>
      <c r="D382" s="24" t="s">
        <v>11</v>
      </c>
      <c r="E382" s="24" t="s">
        <v>291</v>
      </c>
      <c r="F382" s="24" t="s">
        <v>101</v>
      </c>
      <c r="G382" s="62">
        <f>SUMIFS(Calc_Variable_2[Ausnet],Calc_Variable_2[[Customer type]:[Customer type]],"All")+SUMIFS(Calc_Variable_2[Ausnet],Calc_Variable_2[[Customer type]:[Customer type]],$F382)</f>
        <v>9.7491363893470073E-2</v>
      </c>
      <c r="H382" s="62">
        <f>SUMIFS(Calc_Variable_2[Citipower],Calc_Variable_2[[Customer type]:[Customer type]],"All")+SUMIFS(Calc_Variable_2[Citipower],Calc_Variable_2[[Customer type]:[Customer type]],$F382)</f>
        <v>9.5803562973578837E-2</v>
      </c>
      <c r="I382" s="62">
        <f>SUMIFS(Calc_Variable_2[Jemena],Calc_Variable_2[[Customer type]:[Customer type]],"All")+SUMIFS(Calc_Variable_2[Jemena],Calc_Variable_2[[Customer type]:[Customer type]],$F382)</f>
        <v>9.537585089440502E-2</v>
      </c>
      <c r="J382" s="62">
        <f>SUMIFS(Calc_Variable_2[Powercor],Calc_Variable_2[[Customer type]:[Customer type]],"All")+SUMIFS(Calc_Variable_2[Powercor],Calc_Variable_2[[Customer type]:[Customer type]],$F382)</f>
        <v>9.4889700742642621E-2</v>
      </c>
      <c r="K382" s="62">
        <f>SUMIFS(Calc_Variable_2[United Energy],Calc_Variable_2[[Customer type]:[Customer type]],"All")+SUMIFS(Calc_Variable_2[United Energy],Calc_Variable_2[[Customer type]:[Customer type]],$F382)</f>
        <v>9.7222821011307206E-2</v>
      </c>
    </row>
    <row r="383" spans="1:11" ht="15.75" outlineLevel="1" collapsed="1" x14ac:dyDescent="0.25">
      <c r="A383" s="1" t="s">
        <v>30</v>
      </c>
      <c r="B383"/>
      <c r="C383" s="24" t="s">
        <v>212</v>
      </c>
      <c r="D383" s="24" t="s">
        <v>11</v>
      </c>
      <c r="E383" s="24" t="s">
        <v>291</v>
      </c>
      <c r="F383" s="24" t="s">
        <v>101</v>
      </c>
      <c r="G383" s="74" cm="1">
        <f t="array" ref="G383">IF(G381=0,"-",
(G381+G382)*Calc_ROM_2[Ausnet])</f>
        <v>8.4649007791655923E-3</v>
      </c>
      <c r="H383" s="74" cm="1">
        <f t="array" ref="H383">IF(H381=0,"-",
(H381+H382)*Calc_ROM_2[Citipower])</f>
        <v>7.532095203604163E-3</v>
      </c>
      <c r="I383" s="74" cm="1">
        <f t="array" ref="I383">IF(I381=0,"-",
(I381+I382)*Calc_ROM_2[Jemena])</f>
        <v>7.6041093940220636E-3</v>
      </c>
      <c r="J383" s="74" cm="1">
        <f t="array" ref="J383">IF(J381=0,"-",
(J381+J382)*Calc_ROM_2[Powercor])</f>
        <v>7.7124579248556155E-3</v>
      </c>
      <c r="K383" s="74" cm="1">
        <f t="array" ref="K383">IF(K381=0,"-",
(K381+K382)*Calc_ROM_2[United Energy])</f>
        <v>7.7506983890829554E-3</v>
      </c>
    </row>
    <row r="384" spans="1:11" outlineLevel="1" x14ac:dyDescent="0.25">
      <c r="B384"/>
      <c r="C384" s="24" t="s">
        <v>286</v>
      </c>
      <c r="D384" s="24" t="s">
        <v>11</v>
      </c>
      <c r="E384" s="24" t="s">
        <v>291</v>
      </c>
      <c r="F384" s="24" t="s">
        <v>101</v>
      </c>
      <c r="G384" s="74">
        <f>IF(G381=0,"-",
(G381+G382+G383)*GST)</f>
        <v>1.4861226467263566E-2</v>
      </c>
      <c r="H384" s="74">
        <f>IF(H381=0,"-",
(H381+H382+H383)*GST)</f>
        <v>1.3223565817718301E-2</v>
      </c>
      <c r="I384" s="74">
        <f>IF(I381=0,"-",
(I381+I382+I383)*GST)</f>
        <v>1.3349996028842709E-2</v>
      </c>
      <c r="J384" s="74">
        <f>IF(J381=0,"-",
(J381+J382+J383)*GST)</f>
        <v>1.3540215866749826E-2</v>
      </c>
      <c r="K384" s="74">
        <f>IF(K381=0,"-",
(K381+K382+K383)*GST)</f>
        <v>1.3607351940039017E-2</v>
      </c>
    </row>
    <row r="385" spans="2:11" outlineLevel="1" x14ac:dyDescent="0.25">
      <c r="B385"/>
      <c r="C385" s="24" t="str">
        <f>C380&amp;" charge"</f>
        <v>Off peak charge</v>
      </c>
      <c r="D385" s="24" t="s">
        <v>11</v>
      </c>
      <c r="E385" s="24" t="s">
        <v>291</v>
      </c>
      <c r="F385" s="24" t="s">
        <v>101</v>
      </c>
      <c r="G385" s="75">
        <f>IF(G381=0,"-",
G381+G382+G383+G384)</f>
        <v>0.16347349113989923</v>
      </c>
      <c r="H385" s="75">
        <f t="shared" ref="H385" si="99">IF(H381=0,"-",
H381+H382+H383+H384)</f>
        <v>0.1454592239949013</v>
      </c>
      <c r="I385" s="75">
        <f t="shared" ref="I385" si="100">IF(I381=0,"-",
I381+I382+I383+I384)</f>
        <v>0.1468499563172698</v>
      </c>
      <c r="J385" s="75">
        <f t="shared" ref="J385" si="101">IF(J381=0,"-",
J381+J382+J383+J384)</f>
        <v>0.14894237453424808</v>
      </c>
      <c r="K385" s="75">
        <f t="shared" ref="K385" si="102">IF(K381=0,"-",
K381+K382+K383+K384)</f>
        <v>0.14968087134042918</v>
      </c>
    </row>
    <row r="386" spans="2:11" outlineLevel="1" x14ac:dyDescent="0.25">
      <c r="B386"/>
      <c r="G386" s="111" cm="1">
        <f t="array" ref="G386">IF($D$251='Lookup refs'!$D$25,
IF(G385=INDEX(RateCheck_VDO2021F[[Ausnet]:[United Energy]],MATCH(Calc_Rates!$C385&amp;"_"&amp;Calc_Rates!$F385,RateCheck_VDO2021F[Rate],0),MATCH(Calc_Rates!G$9,RateCheck_VDO2021F[[#Headers],[Ausnet]:[United Energy]],0)),0,1),
IF(G385="-","-",
IF(ROUND(G385,8)=ROUND((((
SUMIFS(Calc_Variable_2[Ausnet],Calc_Variable_2[Customer type],Calc_Rates!$F385)+
SUMIFS(Calc_Variable_2[Ausnet],Calc_Variable_2[Customer type],"All")+G381)*(1+Calc_ROM_2[Ausnet]))*(1+GST)),8),0,1)))</f>
        <v>0</v>
      </c>
      <c r="H386" s="111" cm="1">
        <f t="array" ref="H386">IF($D$251='Lookup refs'!$D$25,
IF(H385=INDEX(RateCheck_VDO2021F[[Ausnet]:[United Energy]],MATCH(Calc_Rates!$C385&amp;"_"&amp;Calc_Rates!$F385,RateCheck_VDO2021F[Rate],0),MATCH(Calc_Rates!H$9,RateCheck_VDO2021F[[#Headers],[Ausnet]:[United Energy]],0)),0,1),
IF(H385="-","-",
IF(ROUND(H385,8)=ROUND((((
SUMIFS(Calc_Variable_2[Citipower],Calc_Variable_2[Customer type],Calc_Rates!$F385)+
SUMIFS(Calc_Variable_2[Citipower],Calc_Variable_2[Customer type],"All")+H381)*(1+Calc_ROM_2[Citipower]))*(1+GST)),8),0,1)))</f>
        <v>0</v>
      </c>
      <c r="I386" s="111" cm="1">
        <f t="array" ref="I386">IF($D$251='Lookup refs'!$D$25,
IF(I385=INDEX(RateCheck_VDO2021F[[Ausnet]:[United Energy]],MATCH(Calc_Rates!$C385&amp;"_"&amp;Calc_Rates!$F385,RateCheck_VDO2021F[Rate],0),MATCH(Calc_Rates!I$9,RateCheck_VDO2021F[[#Headers],[Ausnet]:[United Energy]],0)),0,1),
IF(I385="-","-",
IF(ROUND(I385,8)=ROUND((((
SUMIFS(Calc_Variable_2[Jemena],Calc_Variable_2[Customer type],Calc_Rates!$F385)+
SUMIFS(Calc_Variable_2[Jemena],Calc_Variable_2[Customer type],"All")+I381)*(1+Calc_ROM_2[Jemena]))*(1+GST)),8),0,1)))</f>
        <v>0</v>
      </c>
      <c r="J386" s="111" cm="1">
        <f t="array" ref="J386">IF($D$251='Lookup refs'!$D$25,
IF(J385=INDEX(RateCheck_VDO2021F[[Ausnet]:[United Energy]],MATCH(Calc_Rates!$C385&amp;"_"&amp;Calc_Rates!$F385,RateCheck_VDO2021F[Rate],0),MATCH(Calc_Rates!J$9,RateCheck_VDO2021F[[#Headers],[Ausnet]:[United Energy]],0)),0,1),
IF(J385="-","-",
IF(ROUND(J385,8)=ROUND((((
SUMIFS(Calc_Variable_2[Powercor],Calc_Variable_2[[Customer type]:[Customer type]],Calc_Rates!$F385)+
SUMIFS(Calc_Variable_2[Powercor],Calc_Variable_2[[Customer type]:[Customer type]],"All")+J381)*(1+Calc_ROM_2[Powercor]))*(1+GST)),8),0,1)))</f>
        <v>0</v>
      </c>
      <c r="K386" s="111" cm="1">
        <f t="array" ref="K386">IF($D$251='Lookup refs'!$D$25,
IF(K385=INDEX(RateCheck_VDO2021F[[Ausnet]:[United Energy]],MATCH(Calc_Rates!$C385&amp;"_"&amp;Calc_Rates!$F385,RateCheck_VDO2021F[[Rate]:[Rate]],0),MATCH(Calc_Rates!K$9,RateCheck_VDO2021F[[#Headers],[Ausnet]:[United Energy]],0)),0,1),
IF(K385="-","-",
IF(ROUND(K385,8)=ROUND((((
SUMIFS(Calc_Variable_2[United Energy],Calc_Variable_2[[Customer type]:[Customer type]],Calc_Rates!$F385)+
SUMIFS(Calc_Variable_2[United Energy],Calc_Variable_2[[Customer type]:[Customer type]],"All")+K381)*(1+Calc_ROM_2[United Energy]))*(1+GST)),8),0,1)))</f>
        <v>0</v>
      </c>
    </row>
    <row r="387" spans="2:11" x14ac:dyDescent="0.25">
      <c r="B387"/>
    </row>
    <row r="388" spans="2:11" ht="16.5" thickBot="1" x14ac:dyDescent="0.3">
      <c r="B388" s="9">
        <f ca="1">MAX(B$3:B386)+0.1</f>
        <v>12.899999999999997</v>
      </c>
      <c r="C388" s="29" t="s">
        <v>298</v>
      </c>
      <c r="D388" s="29"/>
      <c r="E388" s="29"/>
      <c r="F388" s="29"/>
      <c r="G388" s="29"/>
      <c r="H388" s="29"/>
      <c r="I388" s="29"/>
      <c r="J388" s="29"/>
      <c r="K388" s="29"/>
    </row>
    <row r="389" spans="2:11" outlineLevel="1" x14ac:dyDescent="0.25"/>
    <row r="390" spans="2:11" ht="15.75" outlineLevel="1" x14ac:dyDescent="0.25">
      <c r="C390" s="30" t="s">
        <v>258</v>
      </c>
    </row>
    <row r="391" spans="2:11" ht="15.75" outlineLevel="1" x14ac:dyDescent="0.25">
      <c r="C391" s="55" t="s">
        <v>299</v>
      </c>
      <c r="D391" s="77">
        <f>IFERROR(INDEX(Input_CPI[Indice],MATCH($D$251,Input_CPI[Decision paper],0),1),"-")</f>
        <v>119.7</v>
      </c>
      <c r="I391" s="79"/>
    </row>
    <row r="392" spans="2:11" ht="15.75" outlineLevel="1" x14ac:dyDescent="0.25">
      <c r="C392" s="30"/>
    </row>
    <row r="393" spans="2:11" ht="15.75" outlineLevel="1" x14ac:dyDescent="0.25">
      <c r="C393" s="44" t="s">
        <v>54</v>
      </c>
      <c r="D393" s="44" t="s">
        <v>110</v>
      </c>
      <c r="E393" s="44" t="s">
        <v>111</v>
      </c>
      <c r="F393" s="44" t="s">
        <v>99</v>
      </c>
      <c r="G393" s="44" t="s">
        <v>747</v>
      </c>
      <c r="H393" s="61" t="s">
        <v>300</v>
      </c>
      <c r="I393" s="61" t="s">
        <v>393</v>
      </c>
      <c r="K393" s="79"/>
    </row>
    <row r="394" spans="2:11" outlineLevel="1" x14ac:dyDescent="0.25">
      <c r="C394" s="24" t="s">
        <v>116</v>
      </c>
      <c r="D394" s="24" t="s">
        <v>117</v>
      </c>
      <c r="E394" s="24" t="s">
        <v>118</v>
      </c>
      <c r="F394" s="24" t="str">
        <f>INDEX(Input_ForRateCalc[Customer type],MATCH(Calc_CPI_2[[#This Row],[Cost item]],Input_ForRateCalc[Cost item],0),1)</f>
        <v>All</v>
      </c>
      <c r="G394" s="24" t="str">
        <f>INDEX(Input_CostItemCPI[[VDO 2021 - Final]:[VDO 2022 - Final]],MATCH(Calc_CPI_2[[#This Row],[Cost item]],Input_CostItemCPI[Cost item],0),MATCH(Calc_Rates!$D$251,Input_CostItemCPI[[#Headers],[VDO 2021 - Final]:[VDO 2022 - Final]],0))</f>
        <v>Yes</v>
      </c>
      <c r="H394" s="57">
        <f>IF(Calc_CPI_2[[#This Row],[Adjust?]]="No",0,
IFERROR(
($D$391-
INDEX(CPI[Indice],MATCH(
INDEX(Input_ForRateCalc[[F-CurrentVDO_InputDate]:[F-NextVDO_Input]],MATCH(Calc_Rates!$C394,Input_ForRateCalc[Cost item],0),MATCH(Calc_Rates!$D$251&amp;" - input date",Inputs!H$8:Q$8,0)),
CPI[Period],0),1))/
INDEX(CPI[Indice],MATCH(
INDEX(Input_ForRateCalc[[F-CurrentVDO_InputDate]:[F-NextVDO_Input]],MATCH(Calc_Rates!$C394,Input_ForRateCalc[Cost item],0),MATCH(Calc_Rates!$D$251&amp;" - input date",Inputs!H$8:Q$8,0)),
CPI[Period],0),1),"-"))</f>
        <v>8.1300813008130079E-2</v>
      </c>
      <c r="I394" s="62">
        <f>IFERROR((H394)*
INDEX(Input_ForRateCalc[[F-CurrentVDO_InputDate]:[F-NextVDO_Input]],MATCH(Calc_Rates!$C394,Input_ForRateCalc[Cost item],0),MATCH($D$251,Inputs!$H$8:$Q$8,0)),"-")</f>
        <v>9.8430894308943078</v>
      </c>
    </row>
    <row r="395" spans="2:11" outlineLevel="1" x14ac:dyDescent="0.25">
      <c r="C395" s="128" t="s">
        <v>123</v>
      </c>
      <c r="D395" s="24" t="s">
        <v>117</v>
      </c>
      <c r="E395" s="24" t="s">
        <v>118</v>
      </c>
      <c r="F395" s="24" t="str">
        <f>INDEX(Input_ForRateCalc[Customer type],MATCH(Calc_CPI_2[[#This Row],[Cost item]],Input_ForRateCalc[Cost item],0),1)</f>
        <v>All</v>
      </c>
      <c r="G395" s="24" t="str">
        <f>INDEX(Input_CostItemCPI[[VDO 2021 - Final]:[VDO 2022 - Final]],MATCH(Calc_CPI_2[[#This Row],[Cost item]],Input_CostItemCPI[Cost item],0),MATCH(Calc_Rates!$D$251,Input_CostItemCPI[[#Headers],[VDO 2021 - Final]:[VDO 2022 - Final]],0))</f>
        <v>Yes</v>
      </c>
      <c r="H395" s="57">
        <f>IF(Calc_CPI_2[[#This Row],[Adjust?]]="No",0,
IFERROR(
($D$391-
INDEX(CPI[Indice],MATCH(
INDEX(Input_ForRateCalc[[F-CurrentVDO_InputDate]:[F-NextVDO_Input]],MATCH(Calc_Rates!$C395,Input_ForRateCalc[Cost item],0),MATCH(Calc_Rates!$D$251&amp;" - input date",Inputs!H$8:Q$8,0)),
CPI[Period],0),1))/
INDEX(CPI[Indice],MATCH(
INDEX(Input_ForRateCalc[[F-CurrentVDO_InputDate]:[F-NextVDO_Input]],MATCH(Calc_Rates!$C395,Input_ForRateCalc[Cost item],0),MATCH(Calc_Rates!$D$251&amp;" - input date",Inputs!H$8:Q$8,0)),
CPI[Period],0),1),"-"))</f>
        <v>4.2682926829268344E-2</v>
      </c>
      <c r="I395" s="62">
        <f>IFERROR((H395)*
INDEX(Input_ForRateCalc[[F-CurrentVDO_InputDate]:[F-NextVDO_Input]],MATCH(Calc_Rates!$C395,Input_ForRateCalc[Cost item],0),MATCH($D$251,Inputs!$H$8:$Q$8,0)),"-")</f>
        <v>1.621951219512197</v>
      </c>
    </row>
    <row r="396" spans="2:11" outlineLevel="1" x14ac:dyDescent="0.25">
      <c r="C396" s="24" t="s">
        <v>125</v>
      </c>
      <c r="D396" s="24" t="s">
        <v>117</v>
      </c>
      <c r="E396" s="24" t="s">
        <v>118</v>
      </c>
      <c r="F396" s="24" t="str">
        <f>INDEX(Input_ForRateCalc[Customer type],MATCH(Calc_CPI_2[[#This Row],[Cost item]],Input_ForRateCalc[Cost item],0),1)</f>
        <v>All</v>
      </c>
      <c r="G396" s="24" t="str">
        <f>INDEX(Input_CostItemCPI[[VDO 2021 - Final]:[VDO 2022 - Final]],MATCH(Calc_CPI_2[[#This Row],[Cost item]],Input_CostItemCPI[Cost item],0),MATCH(Calc_Rates!$D$251,Input_CostItemCPI[[#Headers],[VDO 2021 - Final]:[VDO 2022 - Final]],0))</f>
        <v>No</v>
      </c>
      <c r="H396" s="57">
        <f>IF(Calc_CPI_2[[#This Row],[Adjust?]]="No",0,
IFERROR(
($D$391-
INDEX(CPI[Indice],MATCH(
INDEX(Input_ForRateCalc[[F-CurrentVDO_InputDate]:[F-NextVDO_Input]],MATCH(Calc_Rates!$C396,Input_ForRateCalc[Cost item],0),MATCH(Calc_Rates!$D$251&amp;" - input date",Inputs!H$8:Q$8,0)),
CPI[Period],0),1))/
INDEX(CPI[Indice],MATCH(
INDEX(Input_ForRateCalc[[F-CurrentVDO_InputDate]:[F-NextVDO_Input]],MATCH(Calc_Rates!$C396,Input_ForRateCalc[Cost item],0),MATCH(Calc_Rates!$D$251&amp;" - input date",Inputs!H$8:Q$8,0)),
CPI[Period],0),1),"-"))</f>
        <v>0</v>
      </c>
      <c r="I396" s="62">
        <f>IFERROR((H396)*
INDEX(Input_ForRateCalc[[F-CurrentVDO_InputDate]:[F-NextVDO_Input]],MATCH(Calc_Rates!$C396,Input_ForRateCalc[Cost item],0),MATCH($D$251,Inputs!$H$8:$Q$8,0)),"-")</f>
        <v>0</v>
      </c>
    </row>
    <row r="397" spans="2:11" outlineLevel="1" x14ac:dyDescent="0.25">
      <c r="C397" s="24" t="s">
        <v>126</v>
      </c>
      <c r="D397" s="24" t="s">
        <v>117</v>
      </c>
      <c r="E397" s="24" t="s">
        <v>118</v>
      </c>
      <c r="F397" s="24" t="str">
        <f>INDEX(Input_ForRateCalc[Customer type],MATCH(Calc_CPI_2[[#This Row],[Cost item]],Input_ForRateCalc[Cost item],0),1)</f>
        <v>All</v>
      </c>
      <c r="G397" s="24" t="str">
        <f>INDEX(Input_CostItemCPI[[VDO 2021 - Final]:[VDO 2022 - Final]],MATCH(Calc_CPI_2[[#This Row],[Cost item]],Input_CostItemCPI[Cost item],0),MATCH(Calc_Rates!$D$251,Input_CostItemCPI[[#Headers],[VDO 2021 - Final]:[VDO 2022 - Final]],0))</f>
        <v>Yes</v>
      </c>
      <c r="H397" s="57">
        <f>IF(Calc_CPI_2[[#This Row],[Adjust?]]="No",0,
IFERROR(
($D$391-
INDEX(CPI[Indice],MATCH(
INDEX(Input_ForRateCalc[[F-CurrentVDO_InputDate]:[F-NextVDO_Input]],MATCH(Calc_Rates!$C397,Input_ForRateCalc[Cost item],0),MATCH(Calc_Rates!$D$251&amp;" - input date",Inputs!H$8:Q$8,0)),
CPI[Period],0),1))/
INDEX(CPI[Indice],MATCH(
INDEX(Input_ForRateCalc[[F-CurrentVDO_InputDate]:[F-NextVDO_Input]],MATCH(Calc_Rates!$C397,Input_ForRateCalc[Cost item],0),MATCH(Calc_Rates!$D$251&amp;" - input date",Inputs!H$8:Q$8,0)),
CPI[Period],0),1),"-"))</f>
        <v>4.63286713286713E-2</v>
      </c>
      <c r="I397" s="62">
        <f>IFERROR((H397)*
INDEX(Input_ForRateCalc[[F-CurrentVDO_InputDate]:[F-NextVDO_Input]],MATCH(Calc_Rates!$C397,Input_ForRateCalc[Cost item],0),MATCH($D$251,Inputs!$H$8:$Q$8,0)),"-")</f>
        <v>9.545368656969852E-2</v>
      </c>
    </row>
    <row r="398" spans="2:11" outlineLevel="1" x14ac:dyDescent="0.25">
      <c r="C398" s="60" t="s">
        <v>633</v>
      </c>
      <c r="D398" s="24" t="s">
        <v>117</v>
      </c>
      <c r="E398" s="24" t="s">
        <v>118</v>
      </c>
      <c r="F398" s="24" t="str">
        <f>INDEX(Input_ForRateCalc[Customer type],MATCH(Calc_CPI_2[[#This Row],[Cost item]],Input_ForRateCalc[Cost item],0),1)</f>
        <v>All</v>
      </c>
      <c r="G398" s="24" t="str">
        <f>INDEX(Input_CostItemCPI[[VDO 2021 - Final]:[VDO 2022 - Final]],MATCH(Calc_CPI_2[[#This Row],[Cost item]],Input_CostItemCPI[Cost item],0),MATCH(Calc_Rates!$D$251,Input_CostItemCPI[[#Headers],[VDO 2021 - Final]:[VDO 2022 - Final]],0))</f>
        <v>No</v>
      </c>
      <c r="H398" s="57">
        <f>IF(Calc_CPI_2[[#This Row],[Adjust?]]="No",0,
IFERROR(
($D$391-
INDEX(CPI[Indice],MATCH(
INDEX(Input_ForRateCalc[[F-CurrentVDO_InputDate]:[F-NextVDO_Input]],MATCH(Calc_Rates!$C398,Input_ForRateCalc[Cost item],0),MATCH(Calc_Rates!$D$251&amp;" - input date",Inputs!H$8:Q$8,0)),
CPI[Period],0),1))/
INDEX(CPI[Indice],MATCH(
INDEX(Input_ForRateCalc[[F-CurrentVDO_InputDate]:[F-NextVDO_Input]],MATCH(Calc_Rates!$C398,Input_ForRateCalc[Cost item],0),MATCH(Calc_Rates!$D$251&amp;" - input date",Inputs!H$8:Q$8,0)),
CPI[Period],0),1),"-"))</f>
        <v>0</v>
      </c>
      <c r="I398" s="62">
        <f>IFERROR((H398)*
INDEX(Input_ForRateCalc[[F-CurrentVDO_InputDate]:[F-NextVDO_Input]],MATCH(Calc_Rates!$C398,Input_ForRateCalc[Cost item],0),MATCH($D$251,Inputs!$H$8:$Q$8,0)),"-")</f>
        <v>0</v>
      </c>
    </row>
    <row r="399" spans="2:11" outlineLevel="1" x14ac:dyDescent="0.25">
      <c r="C399" s="45" t="s">
        <v>129</v>
      </c>
      <c r="D399" s="24" t="s">
        <v>117</v>
      </c>
      <c r="E399" s="24" t="s">
        <v>118</v>
      </c>
      <c r="F399" s="24" t="str">
        <f>INDEX(Input_ForRateCalc[Customer type],MATCH(Calc_CPI_2[[#This Row],[Cost item]],Input_ForRateCalc[Cost item],0),1)</f>
        <v>All</v>
      </c>
      <c r="G399" s="24" t="str">
        <f>INDEX(Input_CostItemCPI[[VDO 2021 - Final]:[VDO 2022 - Final]],MATCH(Calc_CPI_2[[#This Row],[Cost item]],Input_CostItemCPI[Cost item],0),MATCH(Calc_Rates!$D$251,Input_CostItemCPI[[#Headers],[VDO 2021 - Final]:[VDO 2022 - Final]],0))</f>
        <v>No</v>
      </c>
      <c r="H399" s="57">
        <f>IF(Calc_CPI_2[[#This Row],[Adjust?]]="No",0,
IFERROR(
($D$391-
INDEX(CPI[Indice],MATCH(
INDEX(Input_ForRateCalc[[F-CurrentVDO_InputDate]:[F-NextVDO_Input]],MATCH(Calc_Rates!$C399,Input_ForRateCalc[Cost item],0),MATCH(Calc_Rates!$D$251&amp;" - input date",Inputs!H$8:Q$8,0)),
CPI[Period],0),1))/
INDEX(CPI[Indice],MATCH(
INDEX(Input_ForRateCalc[[F-CurrentVDO_InputDate]:[F-NextVDO_Input]],MATCH(Calc_Rates!$C399,Input_ForRateCalc[Cost item],0),MATCH(Calc_Rates!$D$251&amp;" - input date",Inputs!H$8:Q$8,0)),
CPI[Period],0),1),"-"))</f>
        <v>0</v>
      </c>
      <c r="I399" s="62">
        <f>IFERROR((H399)*
INDEX(Input_ForRateCalc[[F-CurrentVDO_InputDate]:[F-NextVDO_Input]],MATCH(Calc_Rates!$C399,Input_ForRateCalc[Cost item],0),MATCH($D$251,Inputs!$H$8:$Q$8,0)),"-")</f>
        <v>0</v>
      </c>
    </row>
    <row r="400" spans="2:11" outlineLevel="1" x14ac:dyDescent="0.25">
      <c r="C400" s="45" t="s">
        <v>169</v>
      </c>
      <c r="D400" s="24" t="s">
        <v>139</v>
      </c>
      <c r="E400" s="24" t="s">
        <v>291</v>
      </c>
      <c r="F400" s="24" t="str">
        <f>INDEX(Input_ForRateCalc[Customer type],MATCH(Calc_CPI_2[[#This Row],[Cost item]],Input_ForRateCalc[Cost item],0),1)</f>
        <v>All</v>
      </c>
      <c r="G400" s="24" t="str">
        <f>INDEX(Input_CostItemCPI[[VDO 2021 - Final]:[VDO 2022 - Final]],MATCH(Calc_CPI_2[[#This Row],[Cost item]],Input_CostItemCPI[Cost item],0),MATCH(Calc_Rates!$D$251,Input_CostItemCPI[[#Headers],[VDO 2021 - Final]:[VDO 2022 - Final]],0))</f>
        <v>No</v>
      </c>
      <c r="H400" s="57">
        <f>IF(Calc_CPI_2[[#This Row],[Adjust?]]="No",0,
IFERROR(
($D$391-
INDEX(CPI[Indice],MATCH(
INDEX(Input_ForRateCalc[[F-CurrentVDO_InputDate]:[F-NextVDO_Input]],MATCH(Calc_Rates!$C400,Input_ForRateCalc[Cost item],0),MATCH(Calc_Rates!$D$251&amp;" - input date",Inputs!H$8:Q$8,0)),
CPI[Period],0),1))/
INDEX(CPI[Indice],MATCH(
INDEX(Input_ForRateCalc[[F-CurrentVDO_InputDate]:[F-NextVDO_Input]],MATCH(Calc_Rates!$C400,Input_ForRateCalc[Cost item],0),MATCH(Calc_Rates!$D$251&amp;" - input date",Inputs!H$8:Q$8,0)),
CPI[Period],0),1),"-"))</f>
        <v>0</v>
      </c>
      <c r="I400" s="62">
        <f>IFERROR((H400)*
INDEX(Input_ForRateCalc[[F-CurrentVDO_InputDate]:[F-NextVDO_Input]],MATCH(Calc_Rates!$C400,Input_ForRateCalc[Cost item],0),MATCH($D$251,Inputs!$H$8:$Q$8,0)),"-")</f>
        <v>0</v>
      </c>
    </row>
    <row r="401" spans="1:11" outlineLevel="1" x14ac:dyDescent="0.25"/>
    <row r="402" spans="1:11" ht="15.75" outlineLevel="1" x14ac:dyDescent="0.25">
      <c r="C402" s="30" t="s">
        <v>293</v>
      </c>
    </row>
    <row r="403" spans="1:11" ht="15.75" outlineLevel="1" x14ac:dyDescent="0.25">
      <c r="C403" s="44" t="s">
        <v>54</v>
      </c>
      <c r="D403" s="44" t="s">
        <v>110</v>
      </c>
      <c r="E403" s="44" t="s">
        <v>111</v>
      </c>
      <c r="F403" s="44" t="s">
        <v>99</v>
      </c>
      <c r="G403" s="61" t="s">
        <v>277</v>
      </c>
      <c r="H403" s="61" t="s">
        <v>278</v>
      </c>
      <c r="I403" s="61" t="s">
        <v>279</v>
      </c>
      <c r="J403" s="61" t="s">
        <v>280</v>
      </c>
      <c r="K403" s="61" t="s">
        <v>281</v>
      </c>
    </row>
    <row r="404" spans="1:11" outlineLevel="1" x14ac:dyDescent="0.25">
      <c r="C404" s="24" t="s">
        <v>302</v>
      </c>
      <c r="D404" s="24" t="s">
        <v>11</v>
      </c>
      <c r="E404" s="24" t="s">
        <v>213</v>
      </c>
      <c r="F404" s="24" t="s">
        <v>119</v>
      </c>
      <c r="G404" s="87" cm="1">
        <f t="array" ref="G404">IFERROR(INDEX(Input_ForRateCalc[[F-CurrentVDO_InputDate]:[F-NextVDO_Input]],MATCH(Calc_Losses_2[[#This Row],[Cost item]:[Cost item]]&amp;" - "&amp;Calc_Losses_2[[#Headers],[Ausnet]],Input_ForRateCalc[[Cost item]:[Cost item]],0),MATCH($D$251,Inputs!$H$8:$Q$8,0)),"-")</f>
        <v>1.0056461538461539</v>
      </c>
      <c r="H404" s="87" cm="1">
        <f t="array" ref="H404">IFERROR(INDEX(Input_ForRateCalc[[F-CurrentVDO_InputDate]:[F-NextVDO_Input]],MATCH(Calc_Losses_2[[#This Row],[Cost item]:[Cost item]]&amp;" - "&amp;Calc_Losses_2[[#Headers],[Citipower]],Input_ForRateCalc[[Cost item]:[Cost item]],0),MATCH($D$251,Inputs!$H$8:$Q$8,0)),"-")</f>
        <v>0.99787777777777775</v>
      </c>
      <c r="I404" s="87" cm="1">
        <f t="array" ref="I404">IFERROR(INDEX(Input_ForRateCalc[[F-CurrentVDO_InputDate]:[F-NextVDO_Input]],MATCH(Calc_Losses_2[[#This Row],[Cost item]:[Cost item]]&amp;" - "&amp;Calc_Losses_2[[#Headers],[Jemena]],Input_ForRateCalc[[Cost item]:[Cost item]],0),MATCH($D$251,Inputs!$H$8:$Q$8,0)),"-")</f>
        <v>0.99932500000000002</v>
      </c>
      <c r="J404" s="87" cm="1">
        <f t="array" ref="J404">IFERROR(INDEX(Input_ForRateCalc[[F-CurrentVDO_InputDate]:[F-NextVDO_Input]],MATCH(Calc_Losses_2[[#This Row],[Cost item]:[Cost item]]&amp;" - "&amp;Calc_Losses_2[[#Headers],[Powercor]],Input_ForRateCalc[[Cost item]:[Cost item]],0),MATCH($D$251,Inputs!$H$8:$Q$8,0)),"-")</f>
        <v>0.99378947368421044</v>
      </c>
      <c r="K404" s="87" cm="1">
        <f t="array" ref="K404">IFERROR(INDEX(Input_ForRateCalc[[F-CurrentVDO_InputDate]:[F-NextVDO_Input]],MATCH(Calc_Losses_2[[#This Row],[Cost item]:[Cost item]]&amp;" - "&amp;Calc_Losses_2[[#Headers],[United Energy]],Input_ForRateCalc[[Cost item]:[Cost item]],0),MATCH($D$251,Inputs!$H$8:$Q$8,0)),"-")</f>
        <v>0.99566363636363631</v>
      </c>
    </row>
    <row r="405" spans="1:11" outlineLevel="1" x14ac:dyDescent="0.25">
      <c r="C405" s="24" t="s">
        <v>303</v>
      </c>
      <c r="D405" s="24" t="s">
        <v>11</v>
      </c>
      <c r="E405" s="24" t="s">
        <v>213</v>
      </c>
      <c r="F405" s="24" t="s">
        <v>119</v>
      </c>
      <c r="G405" s="87" cm="1">
        <f t="array" ref="G405">IFERROR(INDEX(Input_ForRateCalc[[F-CurrentVDO_InputDate]:[F-NextVDO_Input]],MATCH(Calc_Losses_2[[#This Row],[Cost item]:[Cost item]]&amp;" - "&amp;Calc_Losses_2[[#Headers],[Ausnet]],Input_ForRateCalc[[Cost item]:[Cost item]],0),MATCH($D$251,Inputs!$H$8:$Q$8,0)),"-")</f>
        <v>1.0733923356752877</v>
      </c>
      <c r="H405" s="87" cm="1">
        <f t="array" ref="H405">IFERROR(INDEX(Input_ForRateCalc[[F-CurrentVDO_InputDate]:[F-NextVDO_Input]],MATCH(Calc_Losses_2[[#This Row],[Cost item]:[Cost item]]&amp;" - "&amp;Calc_Losses_2[[#Headers],[Citipower]],Input_ForRateCalc[[Cost item]:[Cost item]],0),MATCH($D$251,Inputs!$H$8:$Q$8,0)),"-")</f>
        <v>1.05</v>
      </c>
      <c r="I405" s="87" cm="1">
        <f t="array" ref="I405">IFERROR(INDEX(Input_ForRateCalc[[F-CurrentVDO_InputDate]:[F-NextVDO_Input]],MATCH(Calc_Losses_2[[#This Row],[Cost item]:[Cost item]]&amp;" - "&amp;Calc_Losses_2[[#Headers],[Jemena]],Input_ForRateCalc[[Cost item]:[Cost item]],0),MATCH($D$251,Inputs!$H$8:$Q$8,0)),"-")</f>
        <v>1.0429999999999999</v>
      </c>
      <c r="J405" s="87" cm="1">
        <f t="array" ref="J405">IFERROR(INDEX(Input_ForRateCalc[[F-CurrentVDO_InputDate]:[F-NextVDO_Input]],MATCH(Calc_Losses_2[[#This Row],[Cost item]:[Cost item]]&amp;" - "&amp;Calc_Losses_2[[#Headers],[Powercor]],Input_ForRateCalc[[Cost item]:[Cost item]],0),MATCH($D$251,Inputs!$H$8:$Q$8,0)),"-")</f>
        <v>1.0782239470237072</v>
      </c>
      <c r="K405" s="87" cm="1">
        <f t="array" ref="K405">IFERROR(INDEX(Input_ForRateCalc[[F-CurrentVDO_InputDate]:[F-NextVDO_Input]],MATCH(Calc_Losses_2[[#This Row],[Cost item]:[Cost item]]&amp;" - "&amp;Calc_Losses_2[[#Headers],[United Energy]],Input_ForRateCalc[[Cost item]:[Cost item]],0),MATCH($D$251,Inputs!$H$8:$Q$8,0)),"-")</f>
        <v>1.0525</v>
      </c>
    </row>
    <row r="406" spans="1:11" outlineLevel="1" x14ac:dyDescent="0.25">
      <c r="C406" s="45" t="s">
        <v>304</v>
      </c>
      <c r="D406" s="24" t="s">
        <v>11</v>
      </c>
      <c r="E406" s="45" t="s">
        <v>213</v>
      </c>
      <c r="F406" s="24" t="s">
        <v>119</v>
      </c>
      <c r="G406" s="72">
        <f>(G404*G405)-1</f>
        <v>7.9452873939792834E-2</v>
      </c>
      <c r="H406" s="72">
        <f t="shared" ref="H406:K406" si="103">(H404*H405)-1</f>
        <v>4.7771666666666768E-2</v>
      </c>
      <c r="I406" s="72">
        <f t="shared" si="103"/>
        <v>4.2295975000000041E-2</v>
      </c>
      <c r="J406" s="72">
        <f t="shared" si="103"/>
        <v>7.1527608826401856E-2</v>
      </c>
      <c r="K406" s="72">
        <f t="shared" si="103"/>
        <v>4.7935977272727248E-2</v>
      </c>
    </row>
    <row r="407" spans="1:11" outlineLevel="1" x14ac:dyDescent="0.25">
      <c r="B407"/>
    </row>
    <row r="408" spans="1:11" ht="15.75" outlineLevel="1" collapsed="1" x14ac:dyDescent="0.25">
      <c r="A408" s="1" t="s">
        <v>30</v>
      </c>
      <c r="C408" s="30" t="s">
        <v>212</v>
      </c>
    </row>
    <row r="409" spans="1:11" ht="15.75" outlineLevel="1" x14ac:dyDescent="0.25">
      <c r="C409" s="44" t="s">
        <v>54</v>
      </c>
      <c r="D409" s="44" t="s">
        <v>110</v>
      </c>
      <c r="E409" s="44" t="s">
        <v>111</v>
      </c>
      <c r="F409" s="44" t="s">
        <v>99</v>
      </c>
      <c r="G409" s="61" t="s">
        <v>277</v>
      </c>
      <c r="H409" s="61" t="s">
        <v>278</v>
      </c>
      <c r="I409" s="61" t="s">
        <v>279</v>
      </c>
      <c r="J409" s="61" t="s">
        <v>280</v>
      </c>
      <c r="K409" s="61" t="s">
        <v>281</v>
      </c>
    </row>
    <row r="410" spans="1:11" outlineLevel="1" x14ac:dyDescent="0.25">
      <c r="C410" s="24" t="s">
        <v>212</v>
      </c>
      <c r="D410" s="24" t="s">
        <v>11</v>
      </c>
      <c r="E410" s="24" t="s">
        <v>213</v>
      </c>
      <c r="F410" s="24" t="s">
        <v>119</v>
      </c>
      <c r="G410" s="87" cm="1">
        <f t="array" ref="G410">IFERROR(INDEX(Input_ForRateCalc[[F-CurrentVDO_InputDate]:[F-NextVDO_Input]],MATCH(Calc_ROM_2[[#This Row],[Cost item]:[Cost item]],Input_ForRateCalc[[Cost item]:[Cost item]],0),MATCH($D$251,Inputs!$H$8:$Q$8,0)),"-")</f>
        <v>6.0400000000000002E-2</v>
      </c>
      <c r="H410" s="87" cm="1">
        <f t="array" ref="H410">IFERROR(INDEX(Input_ForRateCalc[[F-CurrentVDO_InputDate]:[F-NextVDO_Input]],MATCH(Calc_ROM_2[[#This Row],[Cost item]:[Cost item]],Input_ForRateCalc[[Cost item]:[Cost item]],0),MATCH($D$251,Inputs!$H$8:$Q$8,0)),"-")</f>
        <v>6.0400000000000002E-2</v>
      </c>
      <c r="I410" s="87" cm="1">
        <f t="array" ref="I410">IFERROR(INDEX(Input_ForRateCalc[[F-CurrentVDO_InputDate]:[F-NextVDO_Input]],MATCH(Calc_ROM_2[[#This Row],[Cost item]:[Cost item]],Input_ForRateCalc[[Cost item]:[Cost item]],0),MATCH($D$251,Inputs!$H$8:$Q$8,0)),"-")</f>
        <v>6.0400000000000002E-2</v>
      </c>
      <c r="J410" s="87" cm="1">
        <f t="array" ref="J410">IFERROR(INDEX(Input_ForRateCalc[[F-CurrentVDO_InputDate]:[F-NextVDO_Input]],MATCH(Calc_ROM_2[[#This Row],[Cost item]:[Cost item]],Input_ForRateCalc[[Cost item]:[Cost item]],0),MATCH($D$251,Inputs!$H$8:$Q$8,0)),"-")</f>
        <v>6.0400000000000002E-2</v>
      </c>
      <c r="K410" s="87" cm="1">
        <f t="array" ref="K410">IFERROR(INDEX(Input_ForRateCalc[[F-CurrentVDO_InputDate]:[F-NextVDO_Input]],MATCH(Calc_ROM_2[[#This Row],[Cost item]:[Cost item]],Input_ForRateCalc[[Cost item]:[Cost item]],0),MATCH($D$251,Inputs!$H$8:$Q$8,0)),"-")</f>
        <v>6.0400000000000002E-2</v>
      </c>
    </row>
    <row r="411" spans="1:11" x14ac:dyDescent="0.25">
      <c r="B411"/>
    </row>
    <row r="412" spans="1:11" x14ac:dyDescent="0.25">
      <c r="B412"/>
    </row>
    <row r="413" spans="1:11" ht="16.5" thickBot="1" x14ac:dyDescent="0.3">
      <c r="B413" s="197">
        <f ca="1">MAX(B$3:B412)+0.1</f>
        <v>12.999999999999996</v>
      </c>
      <c r="C413" s="29" t="s">
        <v>305</v>
      </c>
      <c r="D413" s="29"/>
      <c r="E413" s="29"/>
      <c r="F413" s="29"/>
      <c r="G413" s="29"/>
      <c r="H413" s="29"/>
      <c r="I413" s="29"/>
      <c r="J413" s="29"/>
      <c r="K413" s="29"/>
    </row>
    <row r="414" spans="1:11" outlineLevel="1" x14ac:dyDescent="0.25"/>
    <row r="415" spans="1:11" ht="15.75" outlineLevel="1" collapsed="1" x14ac:dyDescent="0.25">
      <c r="A415" s="1" t="s">
        <v>30</v>
      </c>
      <c r="C415" s="44" t="s">
        <v>54</v>
      </c>
      <c r="D415" s="44" t="s">
        <v>110</v>
      </c>
      <c r="E415" s="44" t="s">
        <v>111</v>
      </c>
      <c r="F415" s="44" t="s">
        <v>99</v>
      </c>
      <c r="G415" s="61" t="s">
        <v>277</v>
      </c>
      <c r="H415" s="61" t="s">
        <v>278</v>
      </c>
      <c r="I415" s="61" t="s">
        <v>279</v>
      </c>
      <c r="J415" s="61" t="s">
        <v>280</v>
      </c>
      <c r="K415" s="61" t="s">
        <v>281</v>
      </c>
    </row>
    <row r="416" spans="1:11" outlineLevel="1" x14ac:dyDescent="0.25">
      <c r="C416" s="24" t="s">
        <v>301</v>
      </c>
      <c r="D416" s="24" t="s">
        <v>117</v>
      </c>
      <c r="E416" s="24" t="s">
        <v>118</v>
      </c>
      <c r="F416" s="24" t="s">
        <v>119</v>
      </c>
      <c r="G416" s="62" cm="1">
        <f t="array" ref="G416">IFERROR(
IFERROR(INDEX(Calc_CPI_2[[CPI uplift factor]:[CPI uplift factor]],MATCH($C416&amp;" - base",Calc_CPI_2[[Cost item]:[Cost item]],0),1),0)+
IFERROR(INDEX(Calc_CPI_2[[CPI uplift factor]:[CPI uplift factor]],MATCH($C416&amp;" - regulatory cost allowance",Calc_CPI_2[[Cost item]:[Cost item]],0),1),0)+
INDEX(Input_ForRateCalc[[F-CurrentVDO_InputDate]:[F-NextVDO_Input]],MATCH(Calc_Retail_2[[#This Row],[Cost item]:[Cost item]]&amp;" - base",Input_ForRateCalc[[Cost item]:[Cost item]],0),MATCH($D$251,Inputs!$H$8:$Q$8,0))+
INDEX(Input_ForRateCalc[[F-CurrentVDO_InputDate]:[F-NextVDO_Input]],MATCH(Calc_Retail_2[[#This Row],[Cost item]:[Cost item]]&amp;" - 5 min settlement allowance",Input_ForRateCalc[[Cost item]:[Cost item]],0),MATCH($D$251,Inputs!$H$8:$Q$8,0))+
INDEX(Input_ForRateCalc[[F-CurrentVDO_InputDate]:[F-NextVDO_Input]],MATCH(Calc_Retail_2[[#This Row],[Cost item]:[Cost item]]&amp;" - regulatory cost allowance",Input_ForRateCalc[[Cost item]:[Cost item]],0),MATCH($D$251,Inputs!$H$8:$Q$8,0))+
INDEX(Input_ForRateCalc[[F-CurrentVDO_InputDate]:[F-NextVDO_Input]],MATCH(Calc_Retail_2[[#This Row],[Cost item]:[Cost item]]&amp;" - bad debt allowance",Input_ForRateCalc[[Cost item]:[Cost item]],0),MATCH($D$251,Inputs!$H$8:$Q$8,0)),"-")</f>
        <v>141.75366943089429</v>
      </c>
      <c r="H416" s="62" cm="1">
        <f t="array" ref="H416">IFERROR(
IFERROR(INDEX(Calc_CPI_2[[CPI uplift factor]:[CPI uplift factor]],MATCH($C416&amp;" - base",Calc_CPI_2[[Cost item]:[Cost item]],0),1),0)+
IFERROR(INDEX(Calc_CPI_2[[CPI uplift factor]:[CPI uplift factor]],MATCH($C416&amp;" - regulatory cost allowance",Calc_CPI_2[[Cost item]:[Cost item]],0),1),0)+
INDEX(Input_ForRateCalc[[F-CurrentVDO_InputDate]:[F-NextVDO_Input]],MATCH(Calc_Retail_2[[#This Row],[Cost item]:[Cost item]]&amp;" - base",Input_ForRateCalc[[Cost item]:[Cost item]],0),MATCH($D$251,Inputs!$H$8:$Q$8,0))+
INDEX(Input_ForRateCalc[[F-CurrentVDO_InputDate]:[F-NextVDO_Input]],MATCH(Calc_Retail_2[[#This Row],[Cost item]:[Cost item]]&amp;" - 5 min settlement allowance",Input_ForRateCalc[[Cost item]:[Cost item]],0),MATCH($D$251,Inputs!$H$8:$Q$8,0))+
INDEX(Input_ForRateCalc[[F-CurrentVDO_InputDate]:[F-NextVDO_Input]],MATCH(Calc_Retail_2[[#This Row],[Cost item]:[Cost item]]&amp;" - regulatory cost allowance",Input_ForRateCalc[[Cost item]:[Cost item]],0),MATCH($D$251,Inputs!$H$8:$Q$8,0))+
INDEX(Input_ForRateCalc[[F-CurrentVDO_InputDate]:[F-NextVDO_Input]],MATCH(Calc_Retail_2[[#This Row],[Cost item]:[Cost item]]&amp;" - bad debt allowance",Input_ForRateCalc[[Cost item]:[Cost item]],0),MATCH($D$251,Inputs!$H$8:$Q$8,0)),"-")</f>
        <v>141.75366943089429</v>
      </c>
      <c r="I416" s="62" cm="1">
        <f t="array" ref="I416">IFERROR(
IFERROR(INDEX(Calc_CPI_2[[CPI uplift factor]:[CPI uplift factor]],MATCH($C416&amp;" - base",Calc_CPI_2[[Cost item]:[Cost item]],0),1),0)+
IFERROR(INDEX(Calc_CPI_2[[CPI uplift factor]:[CPI uplift factor]],MATCH($C416&amp;" - regulatory cost allowance",Calc_CPI_2[[Cost item]:[Cost item]],0),1),0)+
INDEX(Input_ForRateCalc[[F-CurrentVDO_InputDate]:[F-NextVDO_Input]],MATCH(Calc_Retail_2[[#This Row],[Cost item]:[Cost item]]&amp;" - base",Input_ForRateCalc[[Cost item]:[Cost item]],0),MATCH($D$251,Inputs!$H$8:$Q$8,0))+
INDEX(Input_ForRateCalc[[F-CurrentVDO_InputDate]:[F-NextVDO_Input]],MATCH(Calc_Retail_2[[#This Row],[Cost item]:[Cost item]]&amp;" - 5 min settlement allowance",Input_ForRateCalc[[Cost item]:[Cost item]],0),MATCH($D$251,Inputs!$H$8:$Q$8,0))+
INDEX(Input_ForRateCalc[[F-CurrentVDO_InputDate]:[F-NextVDO_Input]],MATCH(Calc_Retail_2[[#This Row],[Cost item]:[Cost item]]&amp;" - regulatory cost allowance",Input_ForRateCalc[[Cost item]:[Cost item]],0),MATCH($D$251,Inputs!$H$8:$Q$8,0))+
INDEX(Input_ForRateCalc[[F-CurrentVDO_InputDate]:[F-NextVDO_Input]],MATCH(Calc_Retail_2[[#This Row],[Cost item]:[Cost item]]&amp;" - bad debt allowance",Input_ForRateCalc[[Cost item]:[Cost item]],0),MATCH($D$251,Inputs!$H$8:$Q$8,0)),"-")</f>
        <v>141.75366943089429</v>
      </c>
      <c r="J416" s="62" cm="1">
        <f t="array" ref="J416">IFERROR(
IFERROR(INDEX(Calc_CPI_2[[CPI uplift factor]:[CPI uplift factor]],MATCH($C416&amp;" - base",Calc_CPI_2[[Cost item]:[Cost item]],0),1),0)+
IFERROR(INDEX(Calc_CPI_2[[CPI uplift factor]:[CPI uplift factor]],MATCH($C416&amp;" - regulatory cost allowance",Calc_CPI_2[[Cost item]:[Cost item]],0),1),0)+
INDEX(Input_ForRateCalc[[F-CurrentVDO_InputDate]:[F-NextVDO_Input]],MATCH(Calc_Retail_2[[#This Row],[Cost item]:[Cost item]]&amp;" - base",Input_ForRateCalc[[Cost item]:[Cost item]],0),MATCH($D$251,Inputs!$H$8:$Q$8,0))+
INDEX(Input_ForRateCalc[[F-CurrentVDO_InputDate]:[F-NextVDO_Input]],MATCH(Calc_Retail_2[[#This Row],[Cost item]:[Cost item]]&amp;" - 5 min settlement allowance",Input_ForRateCalc[[Cost item]:[Cost item]],0),MATCH($D$251,Inputs!$H$8:$Q$8,0))+
INDEX(Input_ForRateCalc[[F-CurrentVDO_InputDate]:[F-NextVDO_Input]],MATCH(Calc_Retail_2[[#This Row],[Cost item]:[Cost item]]&amp;" - regulatory cost allowance",Input_ForRateCalc[[Cost item]:[Cost item]],0),MATCH($D$251,Inputs!$H$8:$Q$8,0))+
INDEX(Input_ForRateCalc[[F-CurrentVDO_InputDate]:[F-NextVDO_Input]],MATCH(Calc_Retail_2[[#This Row],[Cost item]:[Cost item]]&amp;" - bad debt allowance",Input_ForRateCalc[[Cost item]:[Cost item]],0),MATCH($D$251,Inputs!$H$8:$Q$8,0)),"-")</f>
        <v>141.75366943089429</v>
      </c>
      <c r="K416" s="62" cm="1">
        <f t="array" ref="K416">IFERROR(
IFERROR(INDEX(Calc_CPI_2[[CPI uplift factor]:[CPI uplift factor]],MATCH($C416&amp;" - base",Calc_CPI_2[[Cost item]:[Cost item]],0),1),0)+
IFERROR(INDEX(Calc_CPI_2[[CPI uplift factor]:[CPI uplift factor]],MATCH($C416&amp;" - regulatory cost allowance",Calc_CPI_2[[Cost item]:[Cost item]],0),1),0)+
INDEX(Input_ForRateCalc[[F-CurrentVDO_InputDate]:[F-NextVDO_Input]],MATCH(Calc_Retail_2[[#This Row],[Cost item]:[Cost item]]&amp;" - base",Input_ForRateCalc[[Cost item]:[Cost item]],0),MATCH($D$251,Inputs!$H$8:$Q$8,0))+
INDEX(Input_ForRateCalc[[F-CurrentVDO_InputDate]:[F-NextVDO_Input]],MATCH(Calc_Retail_2[[#This Row],[Cost item]:[Cost item]]&amp;" - 5 min settlement allowance",Input_ForRateCalc[[Cost item]:[Cost item]],0),MATCH($D$251,Inputs!$H$8:$Q$8,0))+
INDEX(Input_ForRateCalc[[F-CurrentVDO_InputDate]:[F-NextVDO_Input]],MATCH(Calc_Retail_2[[#This Row],[Cost item]:[Cost item]]&amp;" - regulatory cost allowance",Input_ForRateCalc[[Cost item]:[Cost item]],0),MATCH($D$251,Inputs!$H$8:$Q$8,0))+
INDEX(Input_ForRateCalc[[F-CurrentVDO_InputDate]:[F-NextVDO_Input]],MATCH(Calc_Retail_2[[#This Row],[Cost item]:[Cost item]]&amp;" - bad debt allowance",Input_ForRateCalc[[Cost item]:[Cost item]],0),MATCH($D$251,Inputs!$H$8:$Q$8,0)),"-")</f>
        <v>141.75366943089429</v>
      </c>
    </row>
    <row r="417" spans="1:16" outlineLevel="1" x14ac:dyDescent="0.25">
      <c r="C417" s="45" t="s">
        <v>123</v>
      </c>
      <c r="D417" s="45" t="s">
        <v>117</v>
      </c>
      <c r="E417" s="24" t="s">
        <v>118</v>
      </c>
      <c r="F417" s="24" t="s">
        <v>119</v>
      </c>
      <c r="G417" s="62" cm="1">
        <f t="array" ref="G417">IFERROR(
IFERROR(INDEX(Calc_CPI_2[[CPI uplift factor]:[CPI uplift factor]],MATCH($C417,Calc_CPI_2[[Cost item]:[Cost item]],0),1),0)+
INDEX(Input_ForRateCalc[[F-CurrentVDO_InputDate]:[F-NextVDO_Input]],MATCH(Calc_Retail_2[[#This Row],[Cost item]:[Cost item]],Input_ForRateCalc[[Cost item]:[Cost item]],0),MATCH($D$251,Inputs!$H$8:$Q$8,0)),"-")</f>
        <v>39.621951219512198</v>
      </c>
      <c r="H417" s="62" cm="1">
        <f t="array" ref="H417">IFERROR(
IFERROR(INDEX(Calc_CPI_2[[CPI uplift factor]:[CPI uplift factor]],MATCH($C417,Calc_CPI_2[[Cost item]:[Cost item]],0),1),0)+
INDEX(Input_ForRateCalc[[F-CurrentVDO_InputDate]:[F-NextVDO_Input]],MATCH(Calc_Retail_2[[#This Row],[Cost item]:[Cost item]],Input_ForRateCalc[[Cost item]:[Cost item]],0),MATCH($D$251,Inputs!$H$8:$Q$8,0)),"-")</f>
        <v>39.621951219512198</v>
      </c>
      <c r="I417" s="62" cm="1">
        <f t="array" ref="I417">IFERROR(
IFERROR(INDEX(Calc_CPI_2[[CPI uplift factor]:[CPI uplift factor]],MATCH($C417,Calc_CPI_2[[Cost item]:[Cost item]],0),1),0)+
INDEX(Input_ForRateCalc[[F-CurrentVDO_InputDate]:[F-NextVDO_Input]],MATCH(Calc_Retail_2[[#This Row],[Cost item]:[Cost item]],Input_ForRateCalc[[Cost item]:[Cost item]],0),MATCH($D$251,Inputs!$H$8:$Q$8,0)),"-")</f>
        <v>39.621951219512198</v>
      </c>
      <c r="J417" s="62" cm="1">
        <f t="array" ref="J417">IFERROR(
IFERROR(INDEX(Calc_CPI_2[[CPI uplift factor]:[CPI uplift factor]],MATCH($C417,Calc_CPI_2[[Cost item]:[Cost item]],0),1),0)+
INDEX(Input_ForRateCalc[[F-CurrentVDO_InputDate]:[F-NextVDO_Input]],MATCH(Calc_Retail_2[[#This Row],[Cost item]:[Cost item]],Input_ForRateCalc[[Cost item]:[Cost item]],0),MATCH($D$251,Inputs!$H$8:$Q$8,0)),"-")</f>
        <v>39.621951219512198</v>
      </c>
      <c r="K417" s="62" cm="1">
        <f t="array" ref="K417">IFERROR(
IFERROR(INDEX(Calc_CPI_2[[CPI uplift factor]:[CPI uplift factor]],MATCH($C417,Calc_CPI_2[[Cost item]:[Cost item]],0),1),0)+
INDEX(Input_ForRateCalc[[F-CurrentVDO_InputDate]:[F-NextVDO_Input]],MATCH(Calc_Retail_2[[#This Row],[Cost item]:[Cost item]],Input_ForRateCalc[[Cost item]:[Cost item]],0),MATCH($D$251,Inputs!$H$8:$Q$8,0)),"-")</f>
        <v>39.621951219512198</v>
      </c>
    </row>
    <row r="419" spans="1:16" ht="16.5" thickBot="1" x14ac:dyDescent="0.3">
      <c r="B419" s="9">
        <f ca="1">MAX(B$3:B418)+0.1</f>
        <v>13.099999999999996</v>
      </c>
      <c r="C419" s="29" t="s">
        <v>282</v>
      </c>
      <c r="D419" s="29"/>
      <c r="E419" s="29"/>
      <c r="F419" s="29"/>
      <c r="G419" s="29"/>
      <c r="H419" s="29"/>
      <c r="I419" s="29"/>
      <c r="J419" s="29"/>
      <c r="K419" s="29"/>
    </row>
    <row r="420" spans="1:16" outlineLevel="1" x14ac:dyDescent="0.25"/>
    <row r="421" spans="1:16" ht="15.75" outlineLevel="1" x14ac:dyDescent="0.25">
      <c r="C421" s="44" t="s">
        <v>54</v>
      </c>
      <c r="D421" s="44" t="s">
        <v>110</v>
      </c>
      <c r="E421" s="44" t="s">
        <v>111</v>
      </c>
      <c r="F421" s="44" t="s">
        <v>99</v>
      </c>
      <c r="G421" s="61" t="s">
        <v>277</v>
      </c>
      <c r="H421" s="61" t="s">
        <v>278</v>
      </c>
      <c r="I421" s="61" t="s">
        <v>279</v>
      </c>
      <c r="J421" s="61" t="s">
        <v>280</v>
      </c>
      <c r="K421" s="61" t="s">
        <v>281</v>
      </c>
    </row>
    <row r="422" spans="1:16" outlineLevel="1" x14ac:dyDescent="0.25">
      <c r="C422" s="24" t="s">
        <v>126</v>
      </c>
      <c r="D422" s="24" t="s">
        <v>117</v>
      </c>
      <c r="E422" s="24" t="s">
        <v>118</v>
      </c>
      <c r="F422" s="24" t="s">
        <v>119</v>
      </c>
      <c r="G422" s="288" cm="1">
        <f t="array" ref="G422">IFERROR(
IF(Calc_OtherCosts_2[[#This Row],[Fixed/Variable]:[Fixed/Variable]]="Fixed",
(IFERROR(INDEX(Calc_CPI_2[[CPI uplift factor]:[CPI uplift factor]],MATCH($C422,Calc_CPI_2[[Cost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factor]],MATCH($C422,Calc_CPI_2[[Cost item]:[Cost item]],0),1),0)+
INDEX(Input_ForRateCalc[[F-CurrentVDO_InputDate]:[F-NextVDO_Input]],MATCH(Calc_OtherCosts_2[[#This Row],[Cost item]:[Cost item]],Input_ForRateCalc[[Cost item]:[Cost item]],0),MATCH($D$251,Inputs!$H$8:$Q$8,0)))/1000),"-")</f>
        <v>2.1558125061118716</v>
      </c>
      <c r="H422" s="62" cm="1">
        <f t="array" ref="H422">IFERROR(
IF(Calc_OtherCosts_2[[#This Row],[Fixed/Variable]:[Fixed/Variable]]="Fixed",
(IFERROR(INDEX(Calc_CPI_2[[CPI uplift factor]:[CPI uplift factor]],MATCH($C422,Calc_CPI_2[[Cost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factor]],MATCH($C422,Calc_CPI_2[[Cost item]:[Cost item]],0),1),0)+
INDEX(Input_ForRateCalc[[F-CurrentVDO_InputDate]:[F-NextVDO_Input]],MATCH(Calc_OtherCosts_2[[#This Row],[Cost item]:[Cost item]],Input_ForRateCalc[[Cost item]:[Cost item]],0),MATCH($D$251,Inputs!$H$8:$Q$8,0)))/1000),"-")</f>
        <v>2.1558125061118716</v>
      </c>
      <c r="I422" s="62" cm="1">
        <f t="array" ref="I422">IFERROR(
IF(Calc_OtherCosts_2[[#This Row],[Fixed/Variable]:[Fixed/Variable]]="Fixed",
(IFERROR(INDEX(Calc_CPI_2[[CPI uplift factor]:[CPI uplift factor]],MATCH($C422,Calc_CPI_2[[Cost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factor]],MATCH($C422,Calc_CPI_2[[Cost item]:[Cost item]],0),1),0)+
INDEX(Input_ForRateCalc[[F-CurrentVDO_InputDate]:[F-NextVDO_Input]],MATCH(Calc_OtherCosts_2[[#This Row],[Cost item]:[Cost item]],Input_ForRateCalc[[Cost item]:[Cost item]],0),MATCH($D$251,Inputs!$H$8:$Q$8,0)))/1000),"-")</f>
        <v>2.1558125061118716</v>
      </c>
      <c r="J422" s="62" cm="1">
        <f t="array" ref="J422">IFERROR(
IF(Calc_OtherCosts_2[[#This Row],[Fixed/Variable]:[Fixed/Variable]]="Fixed",
(IFERROR(INDEX(Calc_CPI_2[[CPI uplift factor]:[CPI uplift factor]],MATCH($C422,Calc_CPI_2[[Cost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factor]],MATCH($C422,Calc_CPI_2[[Cost item]:[Cost item]],0),1),0)+
INDEX(Input_ForRateCalc[[F-CurrentVDO_InputDate]:[F-NextVDO_Input]],MATCH(Calc_OtherCosts_2[[#This Row],[Cost item]:[Cost item]],Input_ForRateCalc[[Cost item]:[Cost item]],0),MATCH($D$251,Inputs!$H$8:$Q$8,0)))/1000),"-")</f>
        <v>2.1558125061118716</v>
      </c>
      <c r="K422" s="62" cm="1">
        <f t="array" ref="K422">IFERROR(
IF(Calc_OtherCosts_2[[#This Row],[Fixed/Variable]:[Fixed/Variable]]="Fixed",
(IFERROR(INDEX(Calc_CPI_2[[CPI uplift factor]:[CPI uplift factor]],MATCH($C422,Calc_CPI_2[[Cost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factor]],MATCH($C422,Calc_CPI_2[[Cost item]:[Cost item]],0),1),0)+
INDEX(Input_ForRateCalc[[F-CurrentVDO_InputDate]:[F-NextVDO_Input]],MATCH(Calc_OtherCosts_2[[#This Row],[Cost item]:[Cost item]],Input_ForRateCalc[[Cost item]:[Cost item]],0),MATCH($D$251,Inputs!$H$8:$Q$8,0)))/1000),"-")</f>
        <v>2.1558125061118716</v>
      </c>
      <c r="M422" s="284"/>
      <c r="N422" s="88"/>
      <c r="P422" s="235"/>
    </row>
    <row r="423" spans="1:16" outlineLevel="1" x14ac:dyDescent="0.25">
      <c r="C423" s="24" t="s">
        <v>127</v>
      </c>
      <c r="D423" s="24" t="s">
        <v>117</v>
      </c>
      <c r="E423" s="24" t="s">
        <v>118</v>
      </c>
      <c r="F423" s="24" t="s">
        <v>119</v>
      </c>
      <c r="G423" s="288" cm="1">
        <f t="array" ref="G423">IFERROR(
IF(Calc_OtherCosts_2[[#This Row],[Fixed/Variable]:[Fixed/Variable]]="Fixed",
(IFERROR(INDEX(Calc_CPI_2[[CPI uplift factor]:[CPI uplift factor]],MATCH($C423,Calc_CPI_2[[Cost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factor]],MATCH($C423,Calc_CPI_2[[Cost item]:[Cost item]],0),1),0)+
INDEX(Input_ForRateCalc[[F-CurrentVDO_InputDate]:[F-NextVDO_Input]],MATCH(Calc_OtherCosts_2[[#This Row],[Cost item]:[Cost item]],Input_ForRateCalc[[Cost item]:[Cost item]],0),MATCH($D$251,Inputs!$H$8:$Q$8,0)))/1000),"-")</f>
        <v>0</v>
      </c>
      <c r="H423" s="62" cm="1">
        <f t="array" ref="H423">IFERROR(
IF(Calc_OtherCosts_2[[#This Row],[Fixed/Variable]:[Fixed/Variable]]="Fixed",
(IFERROR(INDEX(Calc_CPI_2[[CPI uplift factor]:[CPI uplift factor]],MATCH($C423,Calc_CPI_2[[Cost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factor]],MATCH($C423,Calc_CPI_2[[Cost item]:[Cost item]],0),1),0)+
INDEX(Input_ForRateCalc[[F-CurrentVDO_InputDate]:[F-NextVDO_Input]],MATCH(Calc_OtherCosts_2[[#This Row],[Cost item]:[Cost item]],Input_ForRateCalc[[Cost item]:[Cost item]],0),MATCH($D$251,Inputs!$H$8:$Q$8,0)))/1000),"-")</f>
        <v>0</v>
      </c>
      <c r="I423" s="62" cm="1">
        <f t="array" ref="I423">IFERROR(
IF(Calc_OtherCosts_2[[#This Row],[Fixed/Variable]:[Fixed/Variable]]="Fixed",
(IFERROR(INDEX(Calc_CPI_2[[CPI uplift factor]:[CPI uplift factor]],MATCH($C423,Calc_CPI_2[[Cost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factor]],MATCH($C423,Calc_CPI_2[[Cost item]:[Cost item]],0),1),0)+
INDEX(Input_ForRateCalc[[F-CurrentVDO_InputDate]:[F-NextVDO_Input]],MATCH(Calc_OtherCosts_2[[#This Row],[Cost item]:[Cost item]],Input_ForRateCalc[[Cost item]:[Cost item]],0),MATCH($D$251,Inputs!$H$8:$Q$8,0)))/1000),"-")</f>
        <v>0</v>
      </c>
      <c r="J423" s="62" cm="1">
        <f t="array" ref="J423">IFERROR(
IF(Calc_OtherCosts_2[[#This Row],[Fixed/Variable]:[Fixed/Variable]]="Fixed",
(IFERROR(INDEX(Calc_CPI_2[[CPI uplift factor]:[CPI uplift factor]],MATCH($C423,Calc_CPI_2[[Cost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factor]],MATCH($C423,Calc_CPI_2[[Cost item]:[Cost item]],0),1),0)+
INDEX(Input_ForRateCalc[[F-CurrentVDO_InputDate]:[F-NextVDO_Input]],MATCH(Calc_OtherCosts_2[[#This Row],[Cost item]:[Cost item]],Input_ForRateCalc[[Cost item]:[Cost item]],0),MATCH($D$251,Inputs!$H$8:$Q$8,0)))/1000),"-")</f>
        <v>0</v>
      </c>
      <c r="K423" s="62" cm="1">
        <f t="array" ref="K423">IFERROR(
IF(Calc_OtherCosts_2[[#This Row],[Fixed/Variable]:[Fixed/Variable]]="Fixed",
(IFERROR(INDEX(Calc_CPI_2[[CPI uplift factor]:[CPI uplift factor]],MATCH($C423,Calc_CPI_2[[Cost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factor]],MATCH($C423,Calc_CPI_2[[Cost item]:[Cost item]],0),1),0)+
INDEX(Input_ForRateCalc[[F-CurrentVDO_InputDate]:[F-NextVDO_Input]],MATCH(Calc_OtherCosts_2[[#This Row],[Cost item]:[Cost item]],Input_ForRateCalc[[Cost item]:[Cost item]],0),MATCH($D$251,Inputs!$H$8:$Q$8,0)))/1000),"-")</f>
        <v>0</v>
      </c>
      <c r="M423" s="284"/>
      <c r="N423" s="88"/>
      <c r="P423" s="235"/>
    </row>
    <row r="424" spans="1:16" outlineLevel="1" x14ac:dyDescent="0.25">
      <c r="C424" s="60" t="s">
        <v>633</v>
      </c>
      <c r="D424" s="24" t="s">
        <v>117</v>
      </c>
      <c r="E424" s="24" t="s">
        <v>128</v>
      </c>
      <c r="F424" s="24" t="s">
        <v>119</v>
      </c>
      <c r="G424" s="288" cm="1">
        <f t="array" ref="G424">IFERROR(
IF(Calc_OtherCosts_2[[#This Row],[Fixed/Variable]:[Fixed/Variable]]="Fixed",
(IFERROR(INDEX(Calc_CPI_2[[CPI uplift factor]:[CPI uplift factor]],MATCH($C424,Calc_CPI_2[[Cost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factor]],MATCH($C424,Calc_CPI_2[[Cost item]:[Cost item]],0),1),0)+
INDEX(Input_ForRateCalc[[F-CurrentVDO_InputDate]:[F-NextVDO_Input]],MATCH(Calc_OtherCosts_2[[#This Row],[Cost item]:[Cost item]],Input_ForRateCalc[[Cost item]:[Cost item]],0),MATCH($D$251,Inputs!$H$8:$Q$8,0)))/1000),"-")</f>
        <v>0.61619999999999997</v>
      </c>
      <c r="H424" s="62" cm="1">
        <f t="array" ref="H424">IFERROR(
IF(Calc_OtherCosts_2[[#This Row],[Fixed/Variable]:[Fixed/Variable]]="Fixed",
(IFERROR(INDEX(Calc_CPI_2[[CPI uplift factor]:[CPI uplift factor]],MATCH($C424,Calc_CPI_2[[Cost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factor]],MATCH($C424,Calc_CPI_2[[Cost item]:[Cost item]],0),1),0)+
INDEX(Input_ForRateCalc[[F-CurrentVDO_InputDate]:[F-NextVDO_Input]],MATCH(Calc_OtherCosts_2[[#This Row],[Cost item]:[Cost item]],Input_ForRateCalc[[Cost item]:[Cost item]],0),MATCH($D$251,Inputs!$H$8:$Q$8,0)))/1000),"-")</f>
        <v>0.61619999999999997</v>
      </c>
      <c r="I424" s="62" cm="1">
        <f t="array" ref="I424">IFERROR(
IF(Calc_OtherCosts_2[[#This Row],[Fixed/Variable]:[Fixed/Variable]]="Fixed",
(IFERROR(INDEX(Calc_CPI_2[[CPI uplift factor]:[CPI uplift factor]],MATCH($C424,Calc_CPI_2[[Cost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factor]],MATCH($C424,Calc_CPI_2[[Cost item]:[Cost item]],0),1),0)+
INDEX(Input_ForRateCalc[[F-CurrentVDO_InputDate]:[F-NextVDO_Input]],MATCH(Calc_OtherCosts_2[[#This Row],[Cost item]:[Cost item]],Input_ForRateCalc[[Cost item]:[Cost item]],0),MATCH($D$251,Inputs!$H$8:$Q$8,0)))/1000),"-")</f>
        <v>0.61619999999999997</v>
      </c>
      <c r="J424" s="62" cm="1">
        <f t="array" ref="J424">IFERROR(
IF(Calc_OtherCosts_2[[#This Row],[Fixed/Variable]:[Fixed/Variable]]="Fixed",
(IFERROR(INDEX(Calc_CPI_2[[CPI uplift factor]:[CPI uplift factor]],MATCH($C424,Calc_CPI_2[[Cost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factor]],MATCH($C424,Calc_CPI_2[[Cost item]:[Cost item]],0),1),0)+
INDEX(Input_ForRateCalc[[F-CurrentVDO_InputDate]:[F-NextVDO_Input]],MATCH(Calc_OtherCosts_2[[#This Row],[Cost item]:[Cost item]],Input_ForRateCalc[[Cost item]:[Cost item]],0),MATCH($D$251,Inputs!$H$8:$Q$8,0)))/1000),"-")</f>
        <v>0.61619999999999997</v>
      </c>
      <c r="K424" s="62" cm="1">
        <f t="array" ref="K424">IFERROR(
IF(Calc_OtherCosts_2[[#This Row],[Fixed/Variable]:[Fixed/Variable]]="Fixed",
(IFERROR(INDEX(Calc_CPI_2[[CPI uplift factor]:[CPI uplift factor]],MATCH($C424,Calc_CPI_2[[Cost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factor]],MATCH($C424,Calc_CPI_2[[Cost item]:[Cost item]],0),1),0)+
INDEX(Input_ForRateCalc[[F-CurrentVDO_InputDate]:[F-NextVDO_Input]],MATCH(Calc_OtherCosts_2[[#This Row],[Cost item]:[Cost item]],Input_ForRateCalc[[Cost item]:[Cost item]],0),MATCH($D$251,Inputs!$H$8:$Q$8,0)))/1000),"-")</f>
        <v>0.61619999999999997</v>
      </c>
      <c r="M424" s="284"/>
      <c r="N424" s="88"/>
      <c r="P424" s="235"/>
    </row>
    <row r="425" spans="1:16" outlineLevel="1" x14ac:dyDescent="0.25">
      <c r="C425" s="24" t="s">
        <v>129</v>
      </c>
      <c r="D425" s="24" t="s">
        <v>117</v>
      </c>
      <c r="E425" s="24" t="s">
        <v>128</v>
      </c>
      <c r="F425" s="24" t="s">
        <v>119</v>
      </c>
      <c r="G425" s="288" cm="1">
        <f t="array" ref="G425">IFERROR(
IF(Calc_OtherCosts_2[[#This Row],[Fixed/Variable]:[Fixed/Variable]]="Fixed",
(IFERROR(INDEX(Calc_CPI_2[[CPI uplift factor]:[CPI uplift factor]],MATCH($C425,Calc_CPI_2[[Cost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factor]],MATCH($C425,Calc_CPI_2[[Cost item]:[Cost item]],0),1),0)+
INDEX(Input_ForRateCalc[[F-CurrentVDO_InputDate]:[F-NextVDO_Input]],MATCH(Calc_OtherCosts_2[[#This Row],[Cost item]:[Cost item]],Input_ForRateCalc[[Cost item]:[Cost item]],0),MATCH($D$251,Inputs!$H$8:$Q$8,0)))/1000),"-")</f>
        <v>1.3478399999999999</v>
      </c>
      <c r="H425" s="62" cm="1">
        <f t="array" ref="H425">IFERROR(
IF(Calc_OtherCosts_2[[#This Row],[Fixed/Variable]:[Fixed/Variable]]="Fixed",
(IFERROR(INDEX(Calc_CPI_2[[CPI uplift factor]:[CPI uplift factor]],MATCH($C425,Calc_CPI_2[[Cost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factor]],MATCH($C425,Calc_CPI_2[[Cost item]:[Cost item]],0),1),0)+
INDEX(Input_ForRateCalc[[F-CurrentVDO_InputDate]:[F-NextVDO_Input]],MATCH(Calc_OtherCosts_2[[#This Row],[Cost item]:[Cost item]],Input_ForRateCalc[[Cost item]:[Cost item]],0),MATCH($D$251,Inputs!$H$8:$Q$8,0)))/1000),"-")</f>
        <v>1.3478399999999999</v>
      </c>
      <c r="I425" s="62" cm="1">
        <f t="array" ref="I425">IFERROR(
IF(Calc_OtherCosts_2[[#This Row],[Fixed/Variable]:[Fixed/Variable]]="Fixed",
(IFERROR(INDEX(Calc_CPI_2[[CPI uplift factor]:[CPI uplift factor]],MATCH($C425,Calc_CPI_2[[Cost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factor]],MATCH($C425,Calc_CPI_2[[Cost item]:[Cost item]],0),1),0)+
INDEX(Input_ForRateCalc[[F-CurrentVDO_InputDate]:[F-NextVDO_Input]],MATCH(Calc_OtherCosts_2[[#This Row],[Cost item]:[Cost item]],Input_ForRateCalc[[Cost item]:[Cost item]],0),MATCH($D$251,Inputs!$H$8:$Q$8,0)))/1000),"-")</f>
        <v>1.3478399999999999</v>
      </c>
      <c r="J425" s="62" cm="1">
        <f t="array" ref="J425">IFERROR(
IF(Calc_OtherCosts_2[[#This Row],[Fixed/Variable]:[Fixed/Variable]]="Fixed",
(IFERROR(INDEX(Calc_CPI_2[[CPI uplift factor]:[CPI uplift factor]],MATCH($C425,Calc_CPI_2[[Cost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factor]],MATCH($C425,Calc_CPI_2[[Cost item]:[Cost item]],0),1),0)+
INDEX(Input_ForRateCalc[[F-CurrentVDO_InputDate]:[F-NextVDO_Input]],MATCH(Calc_OtherCosts_2[[#This Row],[Cost item]:[Cost item]],Input_ForRateCalc[[Cost item]:[Cost item]],0),MATCH($D$251,Inputs!$H$8:$Q$8,0)))/1000),"-")</f>
        <v>1.3478399999999999</v>
      </c>
      <c r="K425" s="62" cm="1">
        <f t="array" ref="K425">IFERROR(
IF(Calc_OtherCosts_2[[#This Row],[Fixed/Variable]:[Fixed/Variable]]="Fixed",
(IFERROR(INDEX(Calc_CPI_2[[CPI uplift factor]:[CPI uplift factor]],MATCH($C425,Calc_CPI_2[[Cost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factor]],MATCH($C425,Calc_CPI_2[[Cost item]:[Cost item]],0),1),0)+
INDEX(Input_ForRateCalc[[F-CurrentVDO_InputDate]:[F-NextVDO_Input]],MATCH(Calc_OtherCosts_2[[#This Row],[Cost item]:[Cost item]],Input_ForRateCalc[[Cost item]:[Cost item]],0),MATCH($D$251,Inputs!$H$8:$Q$8,0)))/1000),"-")</f>
        <v>1.3478399999999999</v>
      </c>
      <c r="M425" s="284"/>
      <c r="N425" s="88"/>
      <c r="P425" s="235"/>
    </row>
    <row r="426" spans="1:16" ht="15.75" outlineLevel="1" collapsed="1" x14ac:dyDescent="0.25">
      <c r="A426" s="1" t="s">
        <v>30</v>
      </c>
      <c r="C426" s="24" t="s">
        <v>169</v>
      </c>
      <c r="D426" s="24" t="s">
        <v>139</v>
      </c>
      <c r="E426" s="24" t="s">
        <v>291</v>
      </c>
      <c r="F426" s="24" t="s">
        <v>119</v>
      </c>
      <c r="G426" s="288" cm="1">
        <f t="array" ref="G426">IFERROR(
IF(Calc_OtherCosts_2[[#This Row],[Fixed/Variable]:[Fixed/Variable]]="Fixed",
(IFERROR(INDEX(Calc_CPI_2[[CPI uplift factor]:[CPI uplift factor]],MATCH($C426,Calc_CPI_2[[Cost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factor]],MATCH($C426,Calc_CPI_2[[Cost item]:[Cost item]],0),1),0)+
INDEX(Input_ForRateCalc[[F-CurrentVDO_InputDate]:[F-NextVDO_Input]],MATCH(Calc_OtherCosts_2[[#This Row],[Cost item]:[Cost item]],Input_ForRateCalc[[Cost item]:[Cost item]],0),MATCH($D$251,Inputs!$H$8:$Q$8,0)))/1000),"-")</f>
        <v>4.0002000000000001E-4</v>
      </c>
      <c r="H426" s="62" cm="1">
        <f t="array" ref="H426">IFERROR(
IF(Calc_OtherCosts_2[[#This Row],[Fixed/Variable]:[Fixed/Variable]]="Fixed",
(IFERROR(INDEX(Calc_CPI_2[[CPI uplift factor]:[CPI uplift factor]],MATCH($C426,Calc_CPI_2[[Cost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factor]],MATCH($C426,Calc_CPI_2[[Cost item]:[Cost item]],0),1),0)+
INDEX(Input_ForRateCalc[[F-CurrentVDO_InputDate]:[F-NextVDO_Input]],MATCH(Calc_OtherCosts_2[[#This Row],[Cost item]:[Cost item]],Input_ForRateCalc[[Cost item]:[Cost item]],0),MATCH($D$251,Inputs!$H$8:$Q$8,0)))/1000),"-")</f>
        <v>4.0002000000000001E-4</v>
      </c>
      <c r="I426" s="62" cm="1">
        <f t="array" ref="I426">IFERROR(
IF(Calc_OtherCosts_2[[#This Row],[Fixed/Variable]:[Fixed/Variable]]="Fixed",
(IFERROR(INDEX(Calc_CPI_2[[CPI uplift factor]:[CPI uplift factor]],MATCH($C426,Calc_CPI_2[[Cost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factor]],MATCH($C426,Calc_CPI_2[[Cost item]:[Cost item]],0),1),0)+
INDEX(Input_ForRateCalc[[F-CurrentVDO_InputDate]:[F-NextVDO_Input]],MATCH(Calc_OtherCosts_2[[#This Row],[Cost item]:[Cost item]],Input_ForRateCalc[[Cost item]:[Cost item]],0),MATCH($D$251,Inputs!$H$8:$Q$8,0)))/1000),"-")</f>
        <v>4.0002000000000001E-4</v>
      </c>
      <c r="J426" s="62" cm="1">
        <f t="array" ref="J426">IFERROR(
IF(Calc_OtherCosts_2[[#This Row],[Fixed/Variable]:[Fixed/Variable]]="Fixed",
(IFERROR(INDEX(Calc_CPI_2[[CPI uplift factor]:[CPI uplift factor]],MATCH($C426,Calc_CPI_2[[Cost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factor]],MATCH($C426,Calc_CPI_2[[Cost item]:[Cost item]],0),1),0)+
INDEX(Input_ForRateCalc[[F-CurrentVDO_InputDate]:[F-NextVDO_Input]],MATCH(Calc_OtherCosts_2[[#This Row],[Cost item]:[Cost item]],Input_ForRateCalc[[Cost item]:[Cost item]],0),MATCH($D$251,Inputs!$H$8:$Q$8,0)))/1000),"-")</f>
        <v>4.0002000000000001E-4</v>
      </c>
      <c r="K426" s="62" cm="1">
        <f t="array" ref="K426">IFERROR(
IF(Calc_OtherCosts_2[[#This Row],[Fixed/Variable]:[Fixed/Variable]]="Fixed",
(IFERROR(INDEX(Calc_CPI_2[[CPI uplift factor]:[CPI uplift factor]],MATCH($C426,Calc_CPI_2[[Cost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factor]],MATCH($C426,Calc_CPI_2[[Cost item]:[Cost item]],0),1),0)+
INDEX(Input_ForRateCalc[[F-CurrentVDO_InputDate]:[F-NextVDO_Input]],MATCH(Calc_OtherCosts_2[[#This Row],[Cost item]:[Cost item]],Input_ForRateCalc[[Cost item]:[Cost item]],0),MATCH($D$251,Inputs!$H$8:$Q$8,0)))/1000),"-")</f>
        <v>4.0002000000000001E-4</v>
      </c>
      <c r="M426" s="284"/>
      <c r="N426" s="88"/>
      <c r="O426" s="88"/>
      <c r="P426" s="235"/>
    </row>
    <row r="427" spans="1:16" outlineLevel="1" x14ac:dyDescent="0.25">
      <c r="C427" s="24" t="s">
        <v>171</v>
      </c>
      <c r="D427" s="24" t="s">
        <v>139</v>
      </c>
      <c r="E427" s="24" t="s">
        <v>291</v>
      </c>
      <c r="F427" s="24" t="s">
        <v>119</v>
      </c>
      <c r="G427" s="288" cm="1">
        <f t="array" ref="G427">IFERROR(
IF(Calc_OtherCosts_2[[#This Row],[Fixed/Variable]:[Fixed/Variable]]="Fixed",
(IFERROR(INDEX(Calc_CPI_2[[CPI uplift factor]:[CPI uplift factor]],MATCH($C427,Calc_CPI_2[[Cost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factor]],MATCH($C427,Calc_CPI_2[[Cost item]:[Cost item]],0),1),0)+
INDEX(Input_ForRateCalc[[F-CurrentVDO_InputDate]:[F-NextVDO_Input]],MATCH(Calc_OtherCosts_2[[#This Row],[Cost item]:[Cost item]],Input_ForRateCalc[[Cost item]:[Cost item]],0),MATCH($D$251,Inputs!$H$8:$Q$8,0)))/1000),"-")</f>
        <v>0</v>
      </c>
      <c r="H427" s="62" cm="1">
        <f t="array" ref="H427">IFERROR(
IF(Calc_OtherCosts_2[[#This Row],[Fixed/Variable]:[Fixed/Variable]]="Fixed",
(IFERROR(INDEX(Calc_CPI_2[[CPI uplift factor]:[CPI uplift factor]],MATCH($C427,Calc_CPI_2[[Cost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factor]],MATCH($C427,Calc_CPI_2[[Cost item]:[Cost item]],0),1),0)+
INDEX(Input_ForRateCalc[[F-CurrentVDO_InputDate]:[F-NextVDO_Input]],MATCH(Calc_OtherCosts_2[[#This Row],[Cost item]:[Cost item]],Input_ForRateCalc[[Cost item]:[Cost item]],0),MATCH($D$251,Inputs!$H$8:$Q$8,0)))/1000),"-")</f>
        <v>0</v>
      </c>
      <c r="I427" s="62" cm="1">
        <f t="array" ref="I427">IFERROR(
IF(Calc_OtherCosts_2[[#This Row],[Fixed/Variable]:[Fixed/Variable]]="Fixed",
(IFERROR(INDEX(Calc_CPI_2[[CPI uplift factor]:[CPI uplift factor]],MATCH($C427,Calc_CPI_2[[Cost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factor]],MATCH($C427,Calc_CPI_2[[Cost item]:[Cost item]],0),1),0)+
INDEX(Input_ForRateCalc[[F-CurrentVDO_InputDate]:[F-NextVDO_Input]],MATCH(Calc_OtherCosts_2[[#This Row],[Cost item]:[Cost item]],Input_ForRateCalc[[Cost item]:[Cost item]],0),MATCH($D$251,Inputs!$H$8:$Q$8,0)))/1000),"-")</f>
        <v>0</v>
      </c>
      <c r="J427" s="62" cm="1">
        <f t="array" ref="J427">IFERROR(
IF(Calc_OtherCosts_2[[#This Row],[Fixed/Variable]:[Fixed/Variable]]="Fixed",
(IFERROR(INDEX(Calc_CPI_2[[CPI uplift factor]:[CPI uplift factor]],MATCH($C427,Calc_CPI_2[[Cost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factor]],MATCH($C427,Calc_CPI_2[[Cost item]:[Cost item]],0),1),0)+
INDEX(Input_ForRateCalc[[F-CurrentVDO_InputDate]:[F-NextVDO_Input]],MATCH(Calc_OtherCosts_2[[#This Row],[Cost item]:[Cost item]],Input_ForRateCalc[[Cost item]:[Cost item]],0),MATCH($D$251,Inputs!$H$8:$Q$8,0)))/1000),"-")</f>
        <v>0</v>
      </c>
      <c r="K427" s="62" cm="1">
        <f t="array" ref="K427">IFERROR(
IF(Calc_OtherCosts_2[[#This Row],[Fixed/Variable]:[Fixed/Variable]]="Fixed",
(IFERROR(INDEX(Calc_CPI_2[[CPI uplift factor]:[CPI uplift factor]],MATCH($C427,Calc_CPI_2[[Cost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factor]],MATCH($C427,Calc_CPI_2[[Cost item]:[Cost item]],0),1),0)+
INDEX(Input_ForRateCalc[[F-CurrentVDO_InputDate]:[F-NextVDO_Input]],MATCH(Calc_OtherCosts_2[[#This Row],[Cost item]:[Cost item]],Input_ForRateCalc[[Cost item]:[Cost item]],0),MATCH($D$251,Inputs!$H$8:$Q$8,0)))/1000),"-")</f>
        <v>0</v>
      </c>
      <c r="M427" s="284"/>
      <c r="N427" s="88"/>
      <c r="O427" s="88"/>
      <c r="P427" s="235"/>
    </row>
    <row r="428" spans="1:16" outlineLevel="1" x14ac:dyDescent="0.25">
      <c r="C428" s="24" t="s">
        <v>660</v>
      </c>
      <c r="D428" s="24" t="s">
        <v>139</v>
      </c>
      <c r="E428" s="24" t="s">
        <v>291</v>
      </c>
      <c r="F428" s="24" t="s">
        <v>119</v>
      </c>
      <c r="G428" s="288" cm="1">
        <f t="array" ref="G428">IFERROR(
IF(Calc_OtherCosts_2[[#This Row],[Fixed/Variable]:[Fixed/Variable]]="Fixed",
(IFERROR(INDEX(Calc_CPI_2[[CPI uplift factor]:[CPI uplift factor]],MATCH($C428,Calc_CPI_2[[Cost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factor]],MATCH($C428,Calc_CPI_2[[Cost item]:[Cost item]],0),1),0)+
INDEX(Input_ForRateCalc[[F-CurrentVDO_InputDate]:[F-NextVDO_Input]],MATCH(Calc_OtherCosts_2[[#This Row],[Cost item]:[Cost item]],Input_ForRateCalc[[Cost item]:[Cost item]],0),MATCH($D$251,Inputs!$H$8:$Q$8,0)))/1000),"-")</f>
        <v>1.2324999999999999E-4</v>
      </c>
      <c r="H428" s="62" cm="1">
        <f t="array" ref="H428">IFERROR(
IF(Calc_OtherCosts_2[[#This Row],[Fixed/Variable]:[Fixed/Variable]]="Fixed",
(IFERROR(INDEX(Calc_CPI_2[[CPI uplift factor]:[CPI uplift factor]],MATCH($C428,Calc_CPI_2[[Cost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factor]],MATCH($C428,Calc_CPI_2[[Cost item]:[Cost item]],0),1),0)+
INDEX(Input_ForRateCalc[[F-CurrentVDO_InputDate]:[F-NextVDO_Input]],MATCH(Calc_OtherCosts_2[[#This Row],[Cost item]:[Cost item]],Input_ForRateCalc[[Cost item]:[Cost item]],0),MATCH($D$251,Inputs!$H$8:$Q$8,0)))/1000),"-")</f>
        <v>1.2324999999999999E-4</v>
      </c>
      <c r="I428" s="62" cm="1">
        <f t="array" ref="I428">IFERROR(
IF(Calc_OtherCosts_2[[#This Row],[Fixed/Variable]:[Fixed/Variable]]="Fixed",
(IFERROR(INDEX(Calc_CPI_2[[CPI uplift factor]:[CPI uplift factor]],MATCH($C428,Calc_CPI_2[[Cost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factor]],MATCH($C428,Calc_CPI_2[[Cost item]:[Cost item]],0),1),0)+
INDEX(Input_ForRateCalc[[F-CurrentVDO_InputDate]:[F-NextVDO_Input]],MATCH(Calc_OtherCosts_2[[#This Row],[Cost item]:[Cost item]],Input_ForRateCalc[[Cost item]:[Cost item]],0),MATCH($D$251,Inputs!$H$8:$Q$8,0)))/1000),"-")</f>
        <v>1.2324999999999999E-4</v>
      </c>
      <c r="J428" s="62" cm="1">
        <f t="array" ref="J428">IFERROR(
IF(Calc_OtherCosts_2[[#This Row],[Fixed/Variable]:[Fixed/Variable]]="Fixed",
(IFERROR(INDEX(Calc_CPI_2[[CPI uplift factor]:[CPI uplift factor]],MATCH($C428,Calc_CPI_2[[Cost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factor]],MATCH($C428,Calc_CPI_2[[Cost item]:[Cost item]],0),1),0)+
INDEX(Input_ForRateCalc[[F-CurrentVDO_InputDate]:[F-NextVDO_Input]],MATCH(Calc_OtherCosts_2[[#This Row],[Cost item]:[Cost item]],Input_ForRateCalc[[Cost item]:[Cost item]],0),MATCH($D$251,Inputs!$H$8:$Q$8,0)))/1000),"-")</f>
        <v>1.2324999999999999E-4</v>
      </c>
      <c r="K428" s="62" cm="1">
        <f t="array" ref="K428">IFERROR(
IF(Calc_OtherCosts_2[[#This Row],[Fixed/Variable]:[Fixed/Variable]]="Fixed",
(IFERROR(INDEX(Calc_CPI_2[[CPI uplift factor]:[CPI uplift factor]],MATCH($C428,Calc_CPI_2[[Cost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factor]],MATCH($C428,Calc_CPI_2[[Cost item]:[Cost item]],0),1),0)+
INDEX(Input_ForRateCalc[[F-CurrentVDO_InputDate]:[F-NextVDO_Input]],MATCH(Calc_OtherCosts_2[[#This Row],[Cost item]:[Cost item]],Input_ForRateCalc[[Cost item]:[Cost item]],0),MATCH($D$251,Inputs!$H$8:$Q$8,0)))/1000),"-")</f>
        <v>1.2324999999999999E-4</v>
      </c>
      <c r="M428" s="284"/>
      <c r="N428" s="88"/>
      <c r="O428" s="88"/>
      <c r="P428" s="235"/>
    </row>
    <row r="429" spans="1:16" outlineLevel="1" x14ac:dyDescent="0.25">
      <c r="C429" s="24" t="s">
        <v>659</v>
      </c>
      <c r="D429" s="24" t="s">
        <v>139</v>
      </c>
      <c r="E429" s="24" t="s">
        <v>291</v>
      </c>
      <c r="F429" s="24" t="s">
        <v>119</v>
      </c>
      <c r="G429" s="288" cm="1">
        <f t="array" ref="G429">IFERROR(
IF(Calc_OtherCosts_2[[#This Row],[Fixed/Variable]:[Fixed/Variable]]="Fixed",
(IFERROR(INDEX(Calc_CPI_2[[CPI uplift factor]:[CPI uplift factor]],MATCH($C429,Calc_CPI_2[[Cost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factor]],MATCH($C429,Calc_CPI_2[[Cost item]:[Cost item]],0),1),0)+
INDEX(Input_ForRateCalc[[F-CurrentVDO_InputDate]:[F-NextVDO_Input]],MATCH(Calc_OtherCosts_2[[#This Row],[Cost item]:[Cost item]],Input_ForRateCalc[[Cost item]:[Cost item]],0),MATCH($D$251,Inputs!$H$8:$Q$8,0)))/1000),"-")</f>
        <v>2.6230000000000001E-5</v>
      </c>
      <c r="H429" s="62" cm="1">
        <f t="array" ref="H429">IFERROR(
IF(Calc_OtherCosts_2[[#This Row],[Fixed/Variable]:[Fixed/Variable]]="Fixed",
(IFERROR(INDEX(Calc_CPI_2[[CPI uplift factor]:[CPI uplift factor]],MATCH($C429,Calc_CPI_2[[Cost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factor]],MATCH($C429,Calc_CPI_2[[Cost item]:[Cost item]],0),1),0)+
INDEX(Input_ForRateCalc[[F-CurrentVDO_InputDate]:[F-NextVDO_Input]],MATCH(Calc_OtherCosts_2[[#This Row],[Cost item]:[Cost item]],Input_ForRateCalc[[Cost item]:[Cost item]],0),MATCH($D$251,Inputs!$H$8:$Q$8,0)))/1000),"-")</f>
        <v>2.6230000000000001E-5</v>
      </c>
      <c r="I429" s="62" cm="1">
        <f t="array" ref="I429">IFERROR(
IF(Calc_OtherCosts_2[[#This Row],[Fixed/Variable]:[Fixed/Variable]]="Fixed",
(IFERROR(INDEX(Calc_CPI_2[[CPI uplift factor]:[CPI uplift factor]],MATCH($C429,Calc_CPI_2[[Cost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factor]],MATCH($C429,Calc_CPI_2[[Cost item]:[Cost item]],0),1),0)+
INDEX(Input_ForRateCalc[[F-CurrentVDO_InputDate]:[F-NextVDO_Input]],MATCH(Calc_OtherCosts_2[[#This Row],[Cost item]:[Cost item]],Input_ForRateCalc[[Cost item]:[Cost item]],0),MATCH($D$251,Inputs!$H$8:$Q$8,0)))/1000),"-")</f>
        <v>2.6230000000000001E-5</v>
      </c>
      <c r="J429" s="62" cm="1">
        <f t="array" ref="J429">IFERROR(
IF(Calc_OtherCosts_2[[#This Row],[Fixed/Variable]:[Fixed/Variable]]="Fixed",
(IFERROR(INDEX(Calc_CPI_2[[CPI uplift factor]:[CPI uplift factor]],MATCH($C429,Calc_CPI_2[[Cost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factor]],MATCH($C429,Calc_CPI_2[[Cost item]:[Cost item]],0),1),0)+
INDEX(Input_ForRateCalc[[F-CurrentVDO_InputDate]:[F-NextVDO_Input]],MATCH(Calc_OtherCosts_2[[#This Row],[Cost item]:[Cost item]],Input_ForRateCalc[[Cost item]:[Cost item]],0),MATCH($D$251,Inputs!$H$8:$Q$8,0)))/1000),"-")</f>
        <v>2.6230000000000001E-5</v>
      </c>
      <c r="K429" s="62" cm="1">
        <f t="array" ref="K429">IFERROR(
IF(Calc_OtherCosts_2[[#This Row],[Fixed/Variable]:[Fixed/Variable]]="Fixed",
(IFERROR(INDEX(Calc_CPI_2[[CPI uplift factor]:[CPI uplift factor]],MATCH($C429,Calc_CPI_2[[Cost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factor]],MATCH($C429,Calc_CPI_2[[Cost item]:[Cost item]],0),1),0)+
INDEX(Input_ForRateCalc[[F-CurrentVDO_InputDate]:[F-NextVDO_Input]],MATCH(Calc_OtherCosts_2[[#This Row],[Cost item]:[Cost item]],Input_ForRateCalc[[Cost item]:[Cost item]],0),MATCH($D$251,Inputs!$H$8:$Q$8,0)))/1000),"-")</f>
        <v>2.6230000000000001E-5</v>
      </c>
      <c r="M429" s="284"/>
      <c r="N429" s="88"/>
      <c r="O429" s="88"/>
      <c r="P429" s="235"/>
    </row>
    <row r="430" spans="1:16" outlineLevel="1" x14ac:dyDescent="0.25">
      <c r="C430" s="45" t="s">
        <v>172</v>
      </c>
      <c r="D430" s="45" t="s">
        <v>139</v>
      </c>
      <c r="E430" s="24" t="s">
        <v>291</v>
      </c>
      <c r="F430" s="24" t="s">
        <v>119</v>
      </c>
      <c r="G430" s="288" cm="1">
        <f t="array" ref="G430">IFERROR(
IF(Calc_OtherCosts_2[[#This Row],[Fixed/Variable]:[Fixed/Variable]]="Fixed",
(IFERROR(INDEX(Calc_CPI_2[[CPI uplift factor]:[CPI uplift factor]],MATCH($C430,Calc_CPI_2[[Cost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factor]],MATCH($C430,Calc_CPI_2[[Cost item]:[Cost item]],0),1),0)+
INDEX(Input_ForRateCalc[[F-CurrentVDO_InputDate]:[F-NextVDO_Input]],MATCH(Calc_OtherCosts_2[[#This Row],[Cost item]:[Cost item]],Input_ForRateCalc[[Cost item]:[Cost item]],0),MATCH($D$251,Inputs!$H$8:$Q$8,0)))/1000),"-")</f>
        <v>3.2597970254075734E-4</v>
      </c>
      <c r="H430" s="62" cm="1">
        <f t="array" ref="H430">IFERROR(
IF(Calc_OtherCosts_2[[#This Row],[Fixed/Variable]:[Fixed/Variable]]="Fixed",
(IFERROR(INDEX(Calc_CPI_2[[CPI uplift factor]:[CPI uplift factor]],MATCH($C430,Calc_CPI_2[[Cost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factor]],MATCH($C430,Calc_CPI_2[[Cost item]:[Cost item]],0),1),0)+
INDEX(Input_ForRateCalc[[F-CurrentVDO_InputDate]:[F-NextVDO_Input]],MATCH(Calc_OtherCosts_2[[#This Row],[Cost item]:[Cost item]],Input_ForRateCalc[[Cost item]:[Cost item]],0),MATCH($D$251,Inputs!$H$8:$Q$8,0)))/1000),"-")</f>
        <v>3.2597970254075734E-4</v>
      </c>
      <c r="I430" s="62" cm="1">
        <f t="array" ref="I430">IFERROR(
IF(Calc_OtherCosts_2[[#This Row],[Fixed/Variable]:[Fixed/Variable]]="Fixed",
(IFERROR(INDEX(Calc_CPI_2[[CPI uplift factor]:[CPI uplift factor]],MATCH($C430,Calc_CPI_2[[Cost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factor]],MATCH($C430,Calc_CPI_2[[Cost item]:[Cost item]],0),1),0)+
INDEX(Input_ForRateCalc[[F-CurrentVDO_InputDate]:[F-NextVDO_Input]],MATCH(Calc_OtherCosts_2[[#This Row],[Cost item]:[Cost item]],Input_ForRateCalc[[Cost item]:[Cost item]],0),MATCH($D$251,Inputs!$H$8:$Q$8,0)))/1000),"-")</f>
        <v>3.2597970254075734E-4</v>
      </c>
      <c r="J430" s="62" cm="1">
        <f t="array" ref="J430">IFERROR(
IF(Calc_OtherCosts_2[[#This Row],[Fixed/Variable]:[Fixed/Variable]]="Fixed",
(IFERROR(INDEX(Calc_CPI_2[[CPI uplift factor]:[CPI uplift factor]],MATCH($C430,Calc_CPI_2[[Cost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factor]],MATCH($C430,Calc_CPI_2[[Cost item]:[Cost item]],0),1),0)+
INDEX(Input_ForRateCalc[[F-CurrentVDO_InputDate]:[F-NextVDO_Input]],MATCH(Calc_OtherCosts_2[[#This Row],[Cost item]:[Cost item]],Input_ForRateCalc[[Cost item]:[Cost item]],0),MATCH($D$251,Inputs!$H$8:$Q$8,0)))/1000),"-")</f>
        <v>3.2597970254075734E-4</v>
      </c>
      <c r="K430" s="62" cm="1">
        <f t="array" ref="K430">IFERROR(
IF(Calc_OtherCosts_2[[#This Row],[Fixed/Variable]:[Fixed/Variable]]="Fixed",
(IFERROR(INDEX(Calc_CPI_2[[CPI uplift factor]:[CPI uplift factor]],MATCH($C430,Calc_CPI_2[[Cost item]:[Cost item]],0),1),0)+
INDEX(Input_ForRateCalc[[F-CurrentVDO_InputDate]:[F-NextVDO_Input]],MATCH(Calc_OtherCosts_2[[#This Row],[Cost item]:[Cost item]],Input_ForRateCalc[[Cost item]:[Cost item]],0),MATCH($D$251,Inputs!$H$8:$Q$8,0)))*IF(Calc_OtherCosts_2[[#This Row],[Unit]:[Unit]]="$",1,IF(Calc_OtherCosts_2[[#This Row],[Unit]:[Unit]]="$/week",WiY)),
(IFERROR(INDEX(Calc_CPI_2[[CPI uplift factor]:[CPI uplift factor]],MATCH($C430,Calc_CPI_2[[Cost item]:[Cost item]],0),1),0)+
INDEX(Input_ForRateCalc[[F-CurrentVDO_InputDate]:[F-NextVDO_Input]],MATCH(Calc_OtherCosts_2[[#This Row],[Cost item]:[Cost item]],Input_ForRateCalc[[Cost item]:[Cost item]],0),MATCH($D$251,Inputs!$H$8:$Q$8,0)))/1000),"-")</f>
        <v>3.2597970254075734E-4</v>
      </c>
      <c r="M430" s="284"/>
      <c r="N430" s="88"/>
      <c r="O430" s="88"/>
      <c r="P430" s="235"/>
    </row>
    <row r="432" spans="1:16" ht="16.5" thickBot="1" x14ac:dyDescent="0.3">
      <c r="B432" s="9">
        <f ca="1">MAX(B$3:B431)+0.1</f>
        <v>13.199999999999996</v>
      </c>
      <c r="C432" s="29" t="s">
        <v>130</v>
      </c>
      <c r="D432" s="29"/>
      <c r="E432" s="29"/>
      <c r="F432" s="29"/>
      <c r="G432" s="29"/>
      <c r="H432" s="29"/>
      <c r="I432" s="29"/>
      <c r="J432" s="29"/>
      <c r="K432" s="29"/>
      <c r="N432" s="88"/>
    </row>
    <row r="433" spans="3:11" outlineLevel="1" x14ac:dyDescent="0.25"/>
    <row r="434" spans="3:11" ht="15.75" outlineLevel="1" x14ac:dyDescent="0.25">
      <c r="C434" s="30" t="s">
        <v>306</v>
      </c>
    </row>
    <row r="435" spans="3:11" ht="15.75" outlineLevel="1" x14ac:dyDescent="0.25">
      <c r="C435" s="44" t="s">
        <v>54</v>
      </c>
      <c r="D435" s="44" t="s">
        <v>110</v>
      </c>
      <c r="E435" s="44" t="s">
        <v>111</v>
      </c>
      <c r="F435" s="44" t="s">
        <v>99</v>
      </c>
      <c r="G435" s="61" t="s">
        <v>277</v>
      </c>
      <c r="H435" s="61" t="s">
        <v>278</v>
      </c>
      <c r="I435" s="61" t="s">
        <v>279</v>
      </c>
      <c r="J435" s="61" t="s">
        <v>280</v>
      </c>
      <c r="K435" s="61" t="s">
        <v>281</v>
      </c>
    </row>
    <row r="436" spans="3:11" outlineLevel="1" x14ac:dyDescent="0.25">
      <c r="C436" s="24" t="s">
        <v>509</v>
      </c>
      <c r="D436" s="24" t="s">
        <v>117</v>
      </c>
      <c r="E436" s="24" t="s">
        <v>132</v>
      </c>
      <c r="F436" s="24" t="s">
        <v>100</v>
      </c>
      <c r="G436" s="285" cm="1">
        <f t="array" ref="G436">IFERROR(
IFERROR(INDEX(Calc_CPI_2[[CPI uplift factor]:[CPI uplift factor]],MATCH($C436,Calc_CPI_2[[Cost item]:[Cost item]],0),1),0)+
INDEX(Input_ForRateCalc[[F-CurrentVDO_InputDate]:[F-NextVDO_Input]],MATCH(
IF(Calc_NetworkF_2[[#This Row],[Cost item]:[Cost item]]="Metering",
Calc_NetworkF_2[[#This Row],[Cost item]:[Cost item]]&amp;" - "&amp;Calc_NetworkF_2[[#Headers],[Ausnet]],
Calc_NetworkF_2[[#This Row],[Cost item]:[Cost item]]&amp;" charge - "&amp;IF(Calc_NetworkF_2[[#This Row],[Customer type]:[Customer type]]="Residential","RES - ","SME - ")&amp;Calc_NetworkF_2[[#Headers],[Ausnet]]),Input_ForRateCalc[[Cost item]:[Cost item]],0),MATCH($D$251,Inputs!$H$8:$Q$8,0)),"-")</f>
        <v>111.11</v>
      </c>
      <c r="H436" s="285" cm="1">
        <f t="array" ref="H436">IFERROR(
IFERROR(INDEX(Calc_CPI_2[[CPI uplift factor]:[CPI uplift factor]],MATCH($C436,Calc_CPI_2[[Cost item]:[Cost item]],0),1),0)+
INDEX(Input_ForRateCalc[[F-CurrentVDO_InputDate]:[F-NextVDO_Input]],MATCH(
IF(Calc_NetworkF_2[[#This Row],[Cost item]:[Cost item]]="Metering",
Calc_NetworkF_2[[#This Row],[Cost item]:[Cost item]]&amp;" - "&amp;Calc_NetworkF_2[[#Headers],[Citipower]],
Calc_NetworkF_2[[#This Row],[Cost item]:[Cost item]]&amp;" charge - "&amp;IF(Calc_NetworkF_2[[#This Row],[Customer type]:[Customer type]]="Residential","RES - ","SME - ")&amp;Calc_NetworkF_2[[#Headers],[Citipower]]),Input_ForRateCalc[[Cost item]:[Cost item]],0),MATCH($D$251,Inputs!$H$8:$Q$8,0)),"-")</f>
        <v>90.009</v>
      </c>
      <c r="I436" s="285" cm="1">
        <f t="array" ref="I436">IFERROR(
IFERROR(INDEX(Calc_CPI_2[[CPI uplift factor]:[CPI uplift factor]],MATCH($C436,Calc_CPI_2[[Cost item]:[Cost item]],0),1),0)+
INDEX(Input_ForRateCalc[[F-CurrentVDO_InputDate]:[F-NextVDO_Input]],MATCH(
IF(Calc_NetworkF_2[[#This Row],[Cost item]:[Cost item]]="Metering",
Calc_NetworkF_2[[#This Row],[Cost item]:[Cost item]]&amp;" - "&amp;Calc_NetworkF_2[[#Headers],[Jemena]],
Calc_NetworkF_2[[#This Row],[Cost item]:[Cost item]]&amp;" charge - "&amp;IF(Calc_NetworkF_2[[#This Row],[Customer type]:[Customer type]]="Residential","RES - ","SME - ")&amp;Calc_NetworkF_2[[#Headers],[Jemena]]),Input_ForRateCalc[[Cost item]:[Cost item]],0),MATCH($D$251,Inputs!$H$8:$Q$8,0)),"-")</f>
        <v>82.195999999999998</v>
      </c>
      <c r="J436" s="285" cm="1">
        <f t="array" ref="J436">IFERROR(
IFERROR(INDEX(Calc_CPI_2[[CPI uplift factor]:[CPI uplift factor]],MATCH($C436,Calc_CPI_2[[Cost item]:[Cost item]],0),1),0)+
INDEX(Input_ForRateCalc[[F-CurrentVDO_InputDate]:[F-NextVDO_Input]],MATCH(
IF(Calc_NetworkF_2[[#This Row],[Cost item]:[Cost item]]="Metering",
Calc_NetworkF_2[[#This Row],[Cost item]:[Cost item]]&amp;" - "&amp;Calc_NetworkF_2[[#Headers],[Powercor]],
Calc_NetworkF_2[[#This Row],[Cost item]:[Cost item]]&amp;" charge - "&amp;IF(Calc_NetworkF_2[[#This Row],[Customer type]:[Customer type]]="Residential","RES - ","SME - ")&amp;Calc_NetworkF_2[[#Headers],[Powercor]]),Input_ForRateCalc[[Cost item]:[Cost item]],0),MATCH($D$251,Inputs!$H$8:$Q$8,0)),"-")</f>
        <v>139.97749999999999</v>
      </c>
      <c r="K436" s="285" cm="1">
        <f t="array" ref="K436">IFERROR(
IFERROR(INDEX(Calc_CPI_2[[CPI uplift factor]:[CPI uplift factor]],MATCH($C436,Calc_CPI_2[[Cost item]:[Cost item]],0),1),0)+
INDEX(Input_ForRateCalc[[F-CurrentVDO_InputDate]:[F-NextVDO_Input]],MATCH(
IF(Calc_NetworkF_2[[#This Row],[Cost item]:[Cost item]]="Metering",
Calc_NetworkF_2[[#This Row],[Cost item]:[Cost item]]&amp;" - "&amp;Calc_NetworkF_2[[#Headers],[United Energy]],
Calc_NetworkF_2[[#This Row],[Cost item]:[Cost item]]&amp;" charge - "&amp;IF(Calc_NetworkF_2[[#This Row],[Customer type]:[Customer type]]="Residential","RES - ","SME - ")&amp;Calc_NetworkF_2[[#Headers],[United Energy]]),Input_ForRateCalc[[Cost item]:[Cost item]],0),MATCH($D$251,Inputs!$H$8:$Q$8,0)),"-")</f>
        <v>80.007999999999996</v>
      </c>
    </row>
    <row r="437" spans="3:11" outlineLevel="1" x14ac:dyDescent="0.25">
      <c r="C437" s="24" t="s">
        <v>509</v>
      </c>
      <c r="D437" s="24" t="s">
        <v>117</v>
      </c>
      <c r="E437" s="24" t="s">
        <v>132</v>
      </c>
      <c r="F437" s="24" t="s">
        <v>101</v>
      </c>
      <c r="G437" s="285" cm="1">
        <f t="array" ref="G437">IFERROR(
IFERROR(INDEX(Calc_CPI_2[[CPI uplift factor]:[CPI uplift factor]],MATCH($C437,Calc_CPI_2[[Cost item]:[Cost item]],0),1),0)+
INDEX(Input_ForRateCalc[[F-CurrentVDO_InputDate]:[F-NextVDO_Input]],MATCH(
IF(Calc_NetworkF_2[[#This Row],[Cost item]:[Cost item]]="Metering",
Calc_NetworkF_2[[#This Row],[Cost item]:[Cost item]]&amp;" - "&amp;Calc_NetworkF_2[[#Headers],[Ausnet]],
Calc_NetworkF_2[[#This Row],[Cost item]:[Cost item]]&amp;" charge - "&amp;IF(Calc_NetworkF_2[[#This Row],[Customer type]:[Customer type]]="Residential","RES - ","SME - ")&amp;Calc_NetworkF_2[[#Headers],[Ausnet]]),Input_ForRateCalc[[Cost item]:[Cost item]],0),MATCH($D$251,Inputs!$H$8:$Q$8,0)),"-")</f>
        <v>111.11</v>
      </c>
      <c r="H437" s="285" cm="1">
        <f t="array" ref="H437">IFERROR(
IFERROR(INDEX(Calc_CPI_2[[CPI uplift factor]:[CPI uplift factor]],MATCH($C437,Calc_CPI_2[[Cost item]:[Cost item]],0),1),0)+
INDEX(Input_ForRateCalc[[F-CurrentVDO_InputDate]:[F-NextVDO_Input]],MATCH(
IF(Calc_NetworkF_2[[#This Row],[Cost item]:[Cost item]]="Metering",
Calc_NetworkF_2[[#This Row],[Cost item]:[Cost item]]&amp;" - "&amp;Calc_NetworkF_2[[#Headers],[Citipower]],
Calc_NetworkF_2[[#This Row],[Cost item]:[Cost item]]&amp;" charge - "&amp;IF(Calc_NetworkF_2[[#This Row],[Customer type]:[Customer type]]="Residential","RES - ","SME - ")&amp;Calc_NetworkF_2[[#Headers],[Citipower]]),Input_ForRateCalc[[Cost item]:[Cost item]],0),MATCH($D$251,Inputs!$H$8:$Q$8,0)),"-")</f>
        <v>160.01599999999999</v>
      </c>
      <c r="I437" s="285" cm="1">
        <f t="array" ref="I437">IFERROR(
IFERROR(INDEX(Calc_CPI_2[[CPI uplift factor]:[CPI uplift factor]],MATCH($C437,Calc_CPI_2[[Cost item]:[Cost item]],0),1),0)+
INDEX(Input_ForRateCalc[[F-CurrentVDO_InputDate]:[F-NextVDO_Input]],MATCH(
IF(Calc_NetworkF_2[[#This Row],[Cost item]:[Cost item]]="Metering",
Calc_NetworkF_2[[#This Row],[Cost item]:[Cost item]]&amp;" - "&amp;Calc_NetworkF_2[[#Headers],[Jemena]],
Calc_NetworkF_2[[#This Row],[Cost item]:[Cost item]]&amp;" charge - "&amp;IF(Calc_NetworkF_2[[#This Row],[Customer type]:[Customer type]]="Residential","RES - ","SME - ")&amp;Calc_NetworkF_2[[#Headers],[Jemena]]),Input_ForRateCalc[[Cost item]:[Cost item]],0),MATCH($D$251,Inputs!$H$8:$Q$8,0)),"-")</f>
        <v>134.46600000000001</v>
      </c>
      <c r="J437" s="285" cm="1">
        <f t="array" ref="J437">IFERROR(
IFERROR(INDEX(Calc_CPI_2[[CPI uplift factor]:[CPI uplift factor]],MATCH($C437,Calc_CPI_2[[Cost item]:[Cost item]],0),1),0)+
INDEX(Input_ForRateCalc[[F-CurrentVDO_InputDate]:[F-NextVDO_Input]],MATCH(
IF(Calc_NetworkF_2[[#This Row],[Cost item]:[Cost item]]="Metering",
Calc_NetworkF_2[[#This Row],[Cost item]:[Cost item]]&amp;" - "&amp;Calc_NetworkF_2[[#Headers],[Powercor]],
Calc_NetworkF_2[[#This Row],[Cost item]:[Cost item]]&amp;" charge - "&amp;IF(Calc_NetworkF_2[[#This Row],[Customer type]:[Customer type]]="Residential","RES - ","SME - ")&amp;Calc_NetworkF_2[[#Headers],[Powercor]]),Input_ForRateCalc[[Cost item]:[Cost item]],0),MATCH($D$251,Inputs!$H$8:$Q$8,0)),"-")</f>
        <v>179.98150000000001</v>
      </c>
      <c r="K437" s="285" cm="1">
        <f t="array" ref="K437">IFERROR(
IFERROR(INDEX(Calc_CPI_2[[CPI uplift factor]:[CPI uplift factor]],MATCH($C437,Calc_CPI_2[[Cost item]:[Cost item]],0),1),0)+
INDEX(Input_ForRateCalc[[F-CurrentVDO_InputDate]:[F-NextVDO_Input]],MATCH(
IF(Calc_NetworkF_2[[#This Row],[Cost item]:[Cost item]]="Metering",
Calc_NetworkF_2[[#This Row],[Cost item]:[Cost item]]&amp;" - "&amp;Calc_NetworkF_2[[#Headers],[United Energy]],
Calc_NetworkF_2[[#This Row],[Cost item]:[Cost item]]&amp;" charge - "&amp;IF(Calc_NetworkF_2[[#This Row],[Customer type]:[Customer type]]="Residential","RES - ","SME - ")&amp;Calc_NetworkF_2[[#Headers],[United Energy]]),Input_ForRateCalc[[Cost item]:[Cost item]],0),MATCH($D$251,Inputs!$H$8:$Q$8,0)),"-")</f>
        <v>120.01199999999999</v>
      </c>
    </row>
    <row r="438" spans="3:11" outlineLevel="1" x14ac:dyDescent="0.25">
      <c r="C438" s="24" t="s">
        <v>510</v>
      </c>
      <c r="D438" s="24" t="s">
        <v>117</v>
      </c>
      <c r="E438" s="24" t="s">
        <v>132</v>
      </c>
      <c r="F438" s="24" t="s">
        <v>100</v>
      </c>
      <c r="G438" s="285" cm="1">
        <f t="array" ref="G438">IFERROR(
IFERROR(INDEX(Calc_CPI_2[[CPI uplift factor]:[CPI uplift factor]],MATCH($C438,Calc_CPI_2[[Cost item]:[Cost item]],0),1),0)+
INDEX(Input_ForRateCalc[[F-CurrentVDO_InputDate]:[F-NextVDO_Input]],MATCH(
IF(Calc_NetworkF_2[[#This Row],[Cost item]:[Cost item]]="Metering",
Calc_NetworkF_2[[#This Row],[Cost item]:[Cost item]]&amp;" - "&amp;Calc_NetworkF_2[[#Headers],[Ausnet]],
Calc_NetworkF_2[[#This Row],[Cost item]:[Cost item]]&amp;" charge - "&amp;IF(Calc_NetworkF_2[[#This Row],[Customer type]:[Customer type]]="Residential","RES - ","SME - ")&amp;Calc_NetworkF_2[[#Headers],[Ausnet]]),Input_ForRateCalc[[Cost item]:[Cost item]],0),MATCH($D$251,Inputs!$H$8:$Q$8,0)),"-")</f>
        <v>111.11</v>
      </c>
      <c r="H438" s="285" cm="1">
        <f t="array" ref="H438">IFERROR(
IFERROR(INDEX(Calc_CPI_2[[CPI uplift factor]:[CPI uplift factor]],MATCH($C438,Calc_CPI_2[[Cost item]:[Cost item]],0),1),0)+
INDEX(Input_ForRateCalc[[F-CurrentVDO_InputDate]:[F-NextVDO_Input]],MATCH(
IF(Calc_NetworkF_2[[#This Row],[Cost item]:[Cost item]]="Metering",
Calc_NetworkF_2[[#This Row],[Cost item]:[Cost item]]&amp;" - "&amp;Calc_NetworkF_2[[#Headers],[Citipower]],
Calc_NetworkF_2[[#This Row],[Cost item]:[Cost item]]&amp;" charge - "&amp;IF(Calc_NetworkF_2[[#This Row],[Customer type]:[Customer type]]="Residential","RES - ","SME - ")&amp;Calc_NetworkF_2[[#Headers],[Citipower]]),Input_ForRateCalc[[Cost item]:[Cost item]],0),MATCH($D$251,Inputs!$H$8:$Q$8,0)),"-")</f>
        <v>90.009</v>
      </c>
      <c r="I438" s="285" cm="1">
        <f t="array" ref="I438">IFERROR(
IFERROR(INDEX(Calc_CPI_2[[CPI uplift factor]:[CPI uplift factor]],MATCH($C438,Calc_CPI_2[[Cost item]:[Cost item]],0),1),0)+
INDEX(Input_ForRateCalc[[F-CurrentVDO_InputDate]:[F-NextVDO_Input]],MATCH(
IF(Calc_NetworkF_2[[#This Row],[Cost item]:[Cost item]]="Metering",
Calc_NetworkF_2[[#This Row],[Cost item]:[Cost item]]&amp;" - "&amp;Calc_NetworkF_2[[#Headers],[Jemena]],
Calc_NetworkF_2[[#This Row],[Cost item]:[Cost item]]&amp;" charge - "&amp;IF(Calc_NetworkF_2[[#This Row],[Customer type]:[Customer type]]="Residential","RES - ","SME - ")&amp;Calc_NetworkF_2[[#Headers],[Jemena]]),Input_ForRateCalc[[Cost item]:[Cost item]],0),MATCH($D$251,Inputs!$H$8:$Q$8,0)),"-")</f>
        <v>82.195999999999998</v>
      </c>
      <c r="J438" s="285" cm="1">
        <f t="array" ref="J438">IFERROR(
IFERROR(INDEX(Calc_CPI_2[[CPI uplift factor]:[CPI uplift factor]],MATCH($C438,Calc_CPI_2[[Cost item]:[Cost item]],0),1),0)+
INDEX(Input_ForRateCalc[[F-CurrentVDO_InputDate]:[F-NextVDO_Input]],MATCH(
IF(Calc_NetworkF_2[[#This Row],[Cost item]:[Cost item]]="Metering",
Calc_NetworkF_2[[#This Row],[Cost item]:[Cost item]]&amp;" - "&amp;Calc_NetworkF_2[[#Headers],[Powercor]],
Calc_NetworkF_2[[#This Row],[Cost item]:[Cost item]]&amp;" charge - "&amp;IF(Calc_NetworkF_2[[#This Row],[Customer type]:[Customer type]]="Residential","RES - ","SME - ")&amp;Calc_NetworkF_2[[#Headers],[Powercor]]),Input_ForRateCalc[[Cost item]:[Cost item]],0),MATCH($D$251,Inputs!$H$8:$Q$8,0)),"-")</f>
        <v>139.97749999999999</v>
      </c>
      <c r="K438" s="285" cm="1">
        <f t="array" ref="K438">IFERROR(
IFERROR(INDEX(Calc_CPI_2[[CPI uplift factor]:[CPI uplift factor]],MATCH($C438,Calc_CPI_2[[Cost item]:[Cost item]],0),1),0)+
INDEX(Input_ForRateCalc[[F-CurrentVDO_InputDate]:[F-NextVDO_Input]],MATCH(
IF(Calc_NetworkF_2[[#This Row],[Cost item]:[Cost item]]="Metering",
Calc_NetworkF_2[[#This Row],[Cost item]:[Cost item]]&amp;" - "&amp;Calc_NetworkF_2[[#Headers],[United Energy]],
Calc_NetworkF_2[[#This Row],[Cost item]:[Cost item]]&amp;" charge - "&amp;IF(Calc_NetworkF_2[[#This Row],[Customer type]:[Customer type]]="Residential","RES - ","SME - ")&amp;Calc_NetworkF_2[[#Headers],[United Energy]]),Input_ForRateCalc[[Cost item]:[Cost item]],0),MATCH($D$251,Inputs!$H$8:$Q$8,0)),"-")</f>
        <v>80.007999999999996</v>
      </c>
    </row>
    <row r="439" spans="3:11" outlineLevel="1" x14ac:dyDescent="0.25">
      <c r="C439" s="24" t="s">
        <v>510</v>
      </c>
      <c r="D439" s="24" t="s">
        <v>117</v>
      </c>
      <c r="E439" s="24" t="s">
        <v>132</v>
      </c>
      <c r="F439" s="24" t="s">
        <v>101</v>
      </c>
      <c r="G439" s="285" cm="1">
        <f t="array" ref="G439">IFERROR(
IFERROR(INDEX(Calc_CPI_2[[CPI uplift factor]:[CPI uplift factor]],MATCH($C439,Calc_CPI_2[[Cost item]:[Cost item]],0),1),0)+
INDEX(Input_ForRateCalc[[F-CurrentVDO_InputDate]:[F-NextVDO_Input]],MATCH(
IF(Calc_NetworkF_2[[#This Row],[Cost item]:[Cost item]]="Metering",
Calc_NetworkF_2[[#This Row],[Cost item]:[Cost item]]&amp;" - "&amp;Calc_NetworkF_2[[#Headers],[Ausnet]],
Calc_NetworkF_2[[#This Row],[Cost item]:[Cost item]]&amp;" charge - "&amp;IF(Calc_NetworkF_2[[#This Row],[Customer type]:[Customer type]]="Residential","RES - ","SME - ")&amp;Calc_NetworkF_2[[#Headers],[Ausnet]]),Input_ForRateCalc[[Cost item]:[Cost item]],0),MATCH($D$251,Inputs!$H$8:$Q$8,0)),"-")</f>
        <v>111.11</v>
      </c>
      <c r="H439" s="285" cm="1">
        <f t="array" ref="H439">IFERROR(
IFERROR(INDEX(Calc_CPI_2[[CPI uplift factor]:[CPI uplift factor]],MATCH($C439,Calc_CPI_2[[Cost item]:[Cost item]],0),1),0)+
INDEX(Input_ForRateCalc[[F-CurrentVDO_InputDate]:[F-NextVDO_Input]],MATCH(
IF(Calc_NetworkF_2[[#This Row],[Cost item]:[Cost item]]="Metering",
Calc_NetworkF_2[[#This Row],[Cost item]:[Cost item]]&amp;" - "&amp;Calc_NetworkF_2[[#Headers],[Citipower]],
Calc_NetworkF_2[[#This Row],[Cost item]:[Cost item]]&amp;" charge - "&amp;IF(Calc_NetworkF_2[[#This Row],[Customer type]:[Customer type]]="Residential","RES - ","SME - ")&amp;Calc_NetworkF_2[[#Headers],[Citipower]]),Input_ForRateCalc[[Cost item]:[Cost item]],0),MATCH($D$251,Inputs!$H$8:$Q$8,0)),"-")</f>
        <v>160.01599999999999</v>
      </c>
      <c r="I439" s="285" cm="1">
        <f t="array" ref="I439">IFERROR(
IFERROR(INDEX(Calc_CPI_2[[CPI uplift factor]:[CPI uplift factor]],MATCH($C439,Calc_CPI_2[[Cost item]:[Cost item]],0),1),0)+
INDEX(Input_ForRateCalc[[F-CurrentVDO_InputDate]:[F-NextVDO_Input]],MATCH(
IF(Calc_NetworkF_2[[#This Row],[Cost item]:[Cost item]]="Metering",
Calc_NetworkF_2[[#This Row],[Cost item]:[Cost item]]&amp;" - "&amp;Calc_NetworkF_2[[#Headers],[Jemena]],
Calc_NetworkF_2[[#This Row],[Cost item]:[Cost item]]&amp;" charge - "&amp;IF(Calc_NetworkF_2[[#This Row],[Customer type]:[Customer type]]="Residential","RES - ","SME - ")&amp;Calc_NetworkF_2[[#Headers],[Jemena]]),Input_ForRateCalc[[Cost item]:[Cost item]],0),MATCH($D$251,Inputs!$H$8:$Q$8,0)),"-")</f>
        <v>242.124</v>
      </c>
      <c r="J439" s="285" cm="1">
        <f t="array" ref="J439">IFERROR(
IFERROR(INDEX(Calc_CPI_2[[CPI uplift factor]:[CPI uplift factor]],MATCH($C439,Calc_CPI_2[[Cost item]:[Cost item]],0),1),0)+
INDEX(Input_ForRateCalc[[F-CurrentVDO_InputDate]:[F-NextVDO_Input]],MATCH(
IF(Calc_NetworkF_2[[#This Row],[Cost item]:[Cost item]]="Metering",
Calc_NetworkF_2[[#This Row],[Cost item]:[Cost item]]&amp;" - "&amp;Calc_NetworkF_2[[#Headers],[Powercor]],
Calc_NetworkF_2[[#This Row],[Cost item]:[Cost item]]&amp;" charge - "&amp;IF(Calc_NetworkF_2[[#This Row],[Customer type]:[Customer type]]="Residential","RES - ","SME - ")&amp;Calc_NetworkF_2[[#Headers],[Powercor]]),Input_ForRateCalc[[Cost item]:[Cost item]],0),MATCH($D$251,Inputs!$H$8:$Q$8,0)),"-")</f>
        <v>179.98150000000001</v>
      </c>
      <c r="K439" s="285" cm="1">
        <f t="array" ref="K439">IFERROR(
IFERROR(INDEX(Calc_CPI_2[[CPI uplift factor]:[CPI uplift factor]],MATCH($C439,Calc_CPI_2[[Cost item]:[Cost item]],0),1),0)+
INDEX(Input_ForRateCalc[[F-CurrentVDO_InputDate]:[F-NextVDO_Input]],MATCH(
IF(Calc_NetworkF_2[[#This Row],[Cost item]:[Cost item]]="Metering",
Calc_NetworkF_2[[#This Row],[Cost item]:[Cost item]]&amp;" - "&amp;Calc_NetworkF_2[[#Headers],[United Energy]],
Calc_NetworkF_2[[#This Row],[Cost item]:[Cost item]]&amp;" charge - "&amp;IF(Calc_NetworkF_2[[#This Row],[Customer type]:[Customer type]]="Residential","RES - ","SME - ")&amp;Calc_NetworkF_2[[#Headers],[United Energy]]),Input_ForRateCalc[[Cost item]:[Cost item]],0),MATCH($D$251,Inputs!$H$8:$Q$8,0)),"-")</f>
        <v>120.01199999999999</v>
      </c>
    </row>
    <row r="440" spans="3:11" outlineLevel="1" x14ac:dyDescent="0.25">
      <c r="C440" s="45" t="s">
        <v>284</v>
      </c>
      <c r="D440" s="45" t="s">
        <v>117</v>
      </c>
      <c r="E440" s="24" t="s">
        <v>132</v>
      </c>
      <c r="F440" s="24" t="s">
        <v>119</v>
      </c>
      <c r="G440" s="285" cm="1">
        <f t="array" ref="G440">IFERROR(
IFERROR(INDEX(Calc_CPI_2[[CPI uplift factor]:[CPI uplift factor]],MATCH($C440,Calc_CPI_2[[Cost item]:[Cost item]],0),1),0)+
INDEX(Input_ForRateCalc[[F-CurrentVDO_InputDate]:[F-NextVDO_Input]],MATCH(
IF(Calc_NetworkF_2[[#This Row],[Cost item]:[Cost item]]="Metering",
Calc_NetworkF_2[[#This Row],[Cost item]:[Cost item]]&amp;" - "&amp;Calc_NetworkF_2[[#Headers],[Ausnet]],
Calc_NetworkF_2[[#This Row],[Cost item]:[Cost item]]&amp;" charge - "&amp;IF(Calc_NetworkF_2[[#This Row],[Customer type]:[Customer type]]="Residential","RES - ","SME - ")&amp;Calc_NetworkF_2[[#Headers],[Ausnet]]),Input_ForRateCalc[[Cost item]:[Cost item]],0),MATCH($D$251,Inputs!$H$8:$Q$8,0)),"-")</f>
        <v>63.7</v>
      </c>
      <c r="H440" s="285" cm="1">
        <f t="array" ref="H440">IFERROR(
IFERROR(INDEX(Calc_CPI_2[[CPI uplift factor]:[CPI uplift factor]],MATCH($C440,Calc_CPI_2[[Cost item]:[Cost item]],0),1),0)+
INDEX(Input_ForRateCalc[[F-CurrentVDO_InputDate]:[F-NextVDO_Input]],MATCH(
IF(Calc_NetworkF_2[[#This Row],[Cost item]:[Cost item]]="Metering",
Calc_NetworkF_2[[#This Row],[Cost item]:[Cost item]]&amp;" - "&amp;Calc_NetworkF_2[[#Headers],[Citipower]],
Calc_NetworkF_2[[#This Row],[Cost item]:[Cost item]]&amp;" charge - "&amp;IF(Calc_NetworkF_2[[#This Row],[Customer type]:[Customer type]]="Residential","RES - ","SME - ")&amp;Calc_NetworkF_2[[#Headers],[Citipower]]),Input_ForRateCalc[[Cost item]:[Cost item]],0),MATCH($D$251,Inputs!$H$8:$Q$8,0)),"-")</f>
        <v>59.4</v>
      </c>
      <c r="I440" s="285" cm="1">
        <f t="array" ref="I440">IFERROR(
IFERROR(INDEX(Calc_CPI_2[[CPI uplift factor]:[CPI uplift factor]],MATCH($C440,Calc_CPI_2[[Cost item]:[Cost item]],0),1),0)+
INDEX(Input_ForRateCalc[[F-CurrentVDO_InputDate]:[F-NextVDO_Input]],MATCH(
IF(Calc_NetworkF_2[[#This Row],[Cost item]:[Cost item]]="Metering",
Calc_NetworkF_2[[#This Row],[Cost item]:[Cost item]]&amp;" - "&amp;Calc_NetworkF_2[[#Headers],[Jemena]],
Calc_NetworkF_2[[#This Row],[Cost item]:[Cost item]]&amp;" charge - "&amp;IF(Calc_NetworkF_2[[#This Row],[Customer type]:[Customer type]]="Residential","RES - ","SME - ")&amp;Calc_NetworkF_2[[#Headers],[Jemena]]),Input_ForRateCalc[[Cost item]:[Cost item]],0),MATCH($D$251,Inputs!$H$8:$Q$8,0)),"-")</f>
        <v>54.19</v>
      </c>
      <c r="J440" s="285" cm="1">
        <f t="array" ref="J440">IFERROR(
IFERROR(INDEX(Calc_CPI_2[[CPI uplift factor]:[CPI uplift factor]],MATCH($C440,Calc_CPI_2[[Cost item]:[Cost item]],0),1),0)+
INDEX(Input_ForRateCalc[[F-CurrentVDO_InputDate]:[F-NextVDO_Input]],MATCH(
IF(Calc_NetworkF_2[[#This Row],[Cost item]:[Cost item]]="Metering",
Calc_NetworkF_2[[#This Row],[Cost item]:[Cost item]]&amp;" - "&amp;Calc_NetworkF_2[[#Headers],[Powercor]],
Calc_NetworkF_2[[#This Row],[Cost item]:[Cost item]]&amp;" charge - "&amp;IF(Calc_NetworkF_2[[#This Row],[Customer type]:[Customer type]]="Residential","RES - ","SME - ")&amp;Calc_NetworkF_2[[#Headers],[Powercor]]),Input_ForRateCalc[[Cost item]:[Cost item]],0),MATCH($D$251,Inputs!$H$8:$Q$8,0)),"-")</f>
        <v>58</v>
      </c>
      <c r="K440" s="285" cm="1">
        <f t="array" ref="K440">IFERROR(
IFERROR(INDEX(Calc_CPI_2[[CPI uplift factor]:[CPI uplift factor]],MATCH($C440,Calc_CPI_2[[Cost item]:[Cost item]],0),1),0)+
INDEX(Input_ForRateCalc[[F-CurrentVDO_InputDate]:[F-NextVDO_Input]],MATCH(
IF(Calc_NetworkF_2[[#This Row],[Cost item]:[Cost item]]="Metering",
Calc_NetworkF_2[[#This Row],[Cost item]:[Cost item]]&amp;" - "&amp;Calc_NetworkF_2[[#Headers],[United Energy]],
Calc_NetworkF_2[[#This Row],[Cost item]:[Cost item]]&amp;" charge - "&amp;IF(Calc_NetworkF_2[[#This Row],[Customer type]:[Customer type]]="Residential","RES - ","SME - ")&amp;Calc_NetworkF_2[[#Headers],[United Energy]]),Input_ForRateCalc[[Cost item]:[Cost item]],0),MATCH($D$251,Inputs!$H$8:$Q$8,0)),"-")</f>
        <v>42.92</v>
      </c>
    </row>
    <row r="441" spans="3:11" outlineLevel="1" x14ac:dyDescent="0.25"/>
    <row r="442" spans="3:11" ht="15.75" outlineLevel="1" x14ac:dyDescent="0.25">
      <c r="C442" s="30" t="s">
        <v>307</v>
      </c>
    </row>
    <row r="443" spans="3:11" ht="15.75" outlineLevel="1" x14ac:dyDescent="0.25">
      <c r="C443" s="44" t="s">
        <v>54</v>
      </c>
      <c r="D443" s="44" t="s">
        <v>110</v>
      </c>
      <c r="E443" s="44" t="s">
        <v>111</v>
      </c>
      <c r="F443" s="44" t="s">
        <v>99</v>
      </c>
      <c r="G443" s="61" t="s">
        <v>277</v>
      </c>
      <c r="H443" s="61" t="s">
        <v>278</v>
      </c>
      <c r="I443" s="61" t="s">
        <v>279</v>
      </c>
      <c r="J443" s="61" t="s">
        <v>280</v>
      </c>
      <c r="K443" s="61" t="s">
        <v>281</v>
      </c>
    </row>
    <row r="444" spans="3:11" outlineLevel="1" x14ac:dyDescent="0.25">
      <c r="C444" s="24" t="s">
        <v>230</v>
      </c>
      <c r="D444" s="24" t="s">
        <v>139</v>
      </c>
      <c r="E444" s="24" t="s">
        <v>291</v>
      </c>
      <c r="F444" s="24" t="s">
        <v>100</v>
      </c>
      <c r="G444" s="62" cm="1">
        <f t="array" ref="G444">IFERROR(
(IFERROR(INDEX(Calc_CPI_2[[CPI uplift factor]:[CPI uplift factor]],MATCH($C444,Calc_CPI_2[[Cost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MATCH($D$251,Inputs!$H$8:$Q$8,0)))/100,"-")</f>
        <v>0.11450300000000001</v>
      </c>
      <c r="H444" s="62" t="str" cm="1">
        <f t="array" ref="H444">IFERROR(
(IFERROR(INDEX(Calc_CPI_2[[CPI uplift factor]:[CPI uplift factor]],MATCH($C444,Calc_CPI_2[[Cost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MATCH($D$251,Inputs!$H$8:$Q$8,0)))/100,"-")</f>
        <v>-</v>
      </c>
      <c r="I444" s="62" t="str" cm="1">
        <f t="array" ref="I444">IFERROR(
(IFERROR(INDEX(Calc_CPI_2[[CPI uplift factor]:[CPI uplift factor]],MATCH($C444,Calc_CPI_2[[Cost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MATCH($D$251,Inputs!$H$8:$Q$8,0)))/100,"-")</f>
        <v>-</v>
      </c>
      <c r="J444" s="62" t="str" cm="1">
        <f t="array" ref="J444">IFERROR(
(IFERROR(INDEX(Calc_CPI_2[[CPI uplift factor]:[CPI uplift factor]],MATCH($C444,Calc_CPI_2[[Cost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MATCH($D$251,Inputs!$H$8:$Q$8,0)))/100,"-")</f>
        <v>-</v>
      </c>
      <c r="K444" s="62" t="str" cm="1">
        <f t="array" ref="K444">IFERROR(
(IFERROR(INDEX(Calc_CPI_2[[CPI uplift factor]:[CPI uplift factor]],MATCH($C444,Calc_CPI_2[[Cost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MATCH($D$251,Inputs!$H$8:$Q$8,0)))/100,"-")</f>
        <v>-</v>
      </c>
    </row>
    <row r="445" spans="3:11" outlineLevel="1" x14ac:dyDescent="0.25">
      <c r="C445" s="24" t="s">
        <v>237</v>
      </c>
      <c r="D445" s="24" t="s">
        <v>139</v>
      </c>
      <c r="E445" s="24" t="s">
        <v>291</v>
      </c>
      <c r="F445" s="24" t="s">
        <v>100</v>
      </c>
      <c r="G445" s="62" cm="1">
        <f t="array" ref="G445">IFERROR(
(IFERROR(INDEX(Calc_CPI_2[[CPI uplift factor]:[CPI uplift factor]],MATCH($C445,Calc_CPI_2[[Cost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MATCH($D$251,Inputs!$H$8:$Q$8,0)))/100,"-")</f>
        <v>0.128382</v>
      </c>
      <c r="H445" s="62" t="str" cm="1">
        <f t="array" ref="H445">IFERROR(
(IFERROR(INDEX(Calc_CPI_2[[CPI uplift factor]:[CPI uplift factor]],MATCH($C445,Calc_CPI_2[[Cost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MATCH($D$251,Inputs!$H$8:$Q$8,0)))/100,"-")</f>
        <v>-</v>
      </c>
      <c r="I445" s="62" t="str" cm="1">
        <f t="array" ref="I445">IFERROR(
(IFERROR(INDEX(Calc_CPI_2[[CPI uplift factor]:[CPI uplift factor]],MATCH($C445,Calc_CPI_2[[Cost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MATCH($D$251,Inputs!$H$8:$Q$8,0)))/100,"-")</f>
        <v>-</v>
      </c>
      <c r="J445" s="62" t="str" cm="1">
        <f t="array" ref="J445">IFERROR(
(IFERROR(INDEX(Calc_CPI_2[[CPI uplift factor]:[CPI uplift factor]],MATCH($C445,Calc_CPI_2[[Cost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MATCH($D$251,Inputs!$H$8:$Q$8,0)))/100,"-")</f>
        <v>-</v>
      </c>
      <c r="K445" s="62" t="str" cm="1">
        <f t="array" ref="K445">IFERROR(
(IFERROR(INDEX(Calc_CPI_2[[CPI uplift factor]:[CPI uplift factor]],MATCH($C445,Calc_CPI_2[[Cost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MATCH($D$251,Inputs!$H$8:$Q$8,0)))/100,"-")</f>
        <v>-</v>
      </c>
    </row>
    <row r="446" spans="3:11" outlineLevel="1" x14ac:dyDescent="0.25">
      <c r="C446" s="24" t="s">
        <v>508</v>
      </c>
      <c r="D446" s="24" t="s">
        <v>139</v>
      </c>
      <c r="E446" s="24" t="s">
        <v>291</v>
      </c>
      <c r="F446" s="24" t="s">
        <v>100</v>
      </c>
      <c r="G446" s="62" t="str" cm="1">
        <f t="array" ref="G446">IFERROR(
(IFERROR(INDEX(Calc_CPI_2[[CPI uplift factor]:[CPI uplift factor]],MATCH($C446,Calc_CPI_2[[Cost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MATCH($D$251,Inputs!$H$8:$Q$8,0)))/100,"-")</f>
        <v>-</v>
      </c>
      <c r="H446" s="62" cm="1">
        <f t="array" ref="H446">IFERROR(
(IFERROR(INDEX(Calc_CPI_2[[CPI uplift factor]:[CPI uplift factor]],MATCH($C446,Calc_CPI_2[[Cost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MATCH($D$251,Inputs!$H$8:$Q$8,0)))/100,"-")</f>
        <v>8.0500000000000002E-2</v>
      </c>
      <c r="I446" s="62" cm="1">
        <f t="array" ref="I446">IFERROR(
(IFERROR(INDEX(Calc_CPI_2[[CPI uplift factor]:[CPI uplift factor]],MATCH($C446,Calc_CPI_2[[Cost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MATCH($D$251,Inputs!$H$8:$Q$8,0)))/100,"-")</f>
        <v>8.6699999999999999E-2</v>
      </c>
      <c r="J446" s="62" cm="1">
        <f t="array" ref="J446">IFERROR(
(IFERROR(INDEX(Calc_CPI_2[[CPI uplift factor]:[CPI uplift factor]],MATCH($C446,Calc_CPI_2[[Cost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MATCH($D$251,Inputs!$H$8:$Q$8,0)))/100,"-")</f>
        <v>8.1500000000000003E-2</v>
      </c>
      <c r="K446" s="62" cm="1">
        <f t="array" ref="K446">IFERROR(
(IFERROR(INDEX(Calc_CPI_2[[CPI uplift factor]:[CPI uplift factor]],MATCH($C446,Calc_CPI_2[[Cost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MATCH($D$251,Inputs!$H$8:$Q$8,0)))/100,"-")</f>
        <v>7.9899999999999999E-2</v>
      </c>
    </row>
    <row r="447" spans="3:11" outlineLevel="1" x14ac:dyDescent="0.25">
      <c r="C447" s="24" t="s">
        <v>239</v>
      </c>
      <c r="D447" s="24" t="s">
        <v>139</v>
      </c>
      <c r="E447" s="24" t="s">
        <v>291</v>
      </c>
      <c r="F447" s="24" t="s">
        <v>100</v>
      </c>
      <c r="G447" s="62" cm="1">
        <f t="array" ref="G447">IFERROR(
(IFERROR(INDEX(Calc_CPI_2[[CPI uplift factor]:[CPI uplift factor]],MATCH($C447,Calc_CPI_2[[Cost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MATCH($D$251,Inputs!$H$8:$Q$8,0)))/100,"-")</f>
        <v>0.20853200000000002</v>
      </c>
      <c r="H447" s="62" cm="1">
        <f t="array" ref="H447">IFERROR(
(IFERROR(INDEX(Calc_CPI_2[[CPI uplift factor]:[CPI uplift factor]],MATCH($C447,Calc_CPI_2[[Cost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MATCH($D$251,Inputs!$H$8:$Q$8,0)))/100,"-")</f>
        <v>0.15939999999999999</v>
      </c>
      <c r="I447" s="62" cm="1">
        <f t="array" ref="I447">IFERROR(
(IFERROR(INDEX(Calc_CPI_2[[CPI uplift factor]:[CPI uplift factor]],MATCH($C447,Calc_CPI_2[[Cost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MATCH($D$251,Inputs!$H$8:$Q$8,0)))/100,"-")</f>
        <v>0.13492000000000001</v>
      </c>
      <c r="J447" s="62" cm="1">
        <f t="array" ref="J447">IFERROR(
(IFERROR(INDEX(Calc_CPI_2[[CPI uplift factor]:[CPI uplift factor]],MATCH($C447,Calc_CPI_2[[Cost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MATCH($D$251,Inputs!$H$8:$Q$8,0)))/100,"-")</f>
        <v>0.15869999999999998</v>
      </c>
      <c r="K447" s="62" cm="1">
        <f t="array" ref="K447">IFERROR(
(IFERROR(INDEX(Calc_CPI_2[[CPI uplift factor]:[CPI uplift factor]],MATCH($C447,Calc_CPI_2[[Cost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MATCH($D$251,Inputs!$H$8:$Q$8,0)))/100,"-")</f>
        <v>0.15789999999999998</v>
      </c>
    </row>
    <row r="448" spans="3:11" outlineLevel="1" x14ac:dyDescent="0.25">
      <c r="C448" s="24" t="s">
        <v>538</v>
      </c>
      <c r="D448" s="24" t="s">
        <v>139</v>
      </c>
      <c r="E448" s="24" t="s">
        <v>291</v>
      </c>
      <c r="F448" s="24" t="s">
        <v>100</v>
      </c>
      <c r="G448" s="62" cm="1">
        <f t="array" ref="G448">IFERROR(
(IFERROR(INDEX(Calc_CPI_2[[CPI uplift factor]:[CPI uplift factor]],MATCH($C448,Calc_CPI_2[[Cost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MATCH($D$251,Inputs!$H$8:$Q$8,0)))/100,"-")</f>
        <v>4.3418999999999999E-2</v>
      </c>
      <c r="H448" s="62" cm="1">
        <f t="array" ref="H448">IFERROR(
(IFERROR(INDEX(Calc_CPI_2[[CPI uplift factor]:[CPI uplift factor]],MATCH($C448,Calc_CPI_2[[Cost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MATCH($D$251,Inputs!$H$8:$Q$8,0)))/100,"-")</f>
        <v>3.9800000000000002E-2</v>
      </c>
      <c r="I448" s="62" cm="1">
        <f t="array" ref="I448">IFERROR(
(IFERROR(INDEX(Calc_CPI_2[[CPI uplift factor]:[CPI uplift factor]],MATCH($C448,Calc_CPI_2[[Cost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MATCH($D$251,Inputs!$H$8:$Q$8,0)))/100,"-")</f>
        <v>3.8900000000000004E-2</v>
      </c>
      <c r="J448" s="62" cm="1">
        <f t="array" ref="J448">IFERROR(
(IFERROR(INDEX(Calc_CPI_2[[CPI uplift factor]:[CPI uplift factor]],MATCH($C448,Calc_CPI_2[[Cost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MATCH($D$251,Inputs!$H$8:$Q$8,0)))/100,"-")</f>
        <v>3.9599999999999996E-2</v>
      </c>
      <c r="K448" s="62" cm="1">
        <f t="array" ref="K448">IFERROR(
(IFERROR(INDEX(Calc_CPI_2[[CPI uplift factor]:[CPI uplift factor]],MATCH($C448,Calc_CPI_2[[Cost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MATCH($D$251,Inputs!$H$8:$Q$8,0)))/100,"-")</f>
        <v>3.95E-2</v>
      </c>
    </row>
    <row r="449" spans="1:19" outlineLevel="1" x14ac:dyDescent="0.25">
      <c r="C449" s="24" t="s">
        <v>296</v>
      </c>
      <c r="D449" s="24" t="s">
        <v>139</v>
      </c>
      <c r="E449" s="24" t="s">
        <v>291</v>
      </c>
      <c r="F449" s="24" t="s">
        <v>100</v>
      </c>
      <c r="G449" s="62" cm="1">
        <f t="array" ref="G449">IFERROR(
(IFERROR(INDEX(Calc_CPI_2[[CPI uplift factor]:[CPI uplift factor]],MATCH($C449,Calc_CPI_2[[Cost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MATCH($D$251,Inputs!$H$8:$Q$8,0)))/100,"-")</f>
        <v>4.2622999999999994E-2</v>
      </c>
      <c r="H449" s="62" cm="1">
        <f t="array" ref="H449">IFERROR(
(IFERROR(INDEX(Calc_CPI_2[[CPI uplift factor]:[CPI uplift factor]],MATCH($C449,Calc_CPI_2[[Cost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MATCH($D$251,Inputs!$H$8:$Q$8,0)))/100,"-")</f>
        <v>2.4700000000000003E-2</v>
      </c>
      <c r="I449" s="62" cm="1">
        <f t="array" ref="I449">IFERROR(
(IFERROR(INDEX(Calc_CPI_2[[CPI uplift factor]:[CPI uplift factor]],MATCH($C449,Calc_CPI_2[[Cost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MATCH($D$251,Inputs!$H$8:$Q$8,0)))/100,"-")</f>
        <v>3.5990000000000001E-2</v>
      </c>
      <c r="J449" s="62" cm="1">
        <f t="array" ref="J449">IFERROR(
(IFERROR(INDEX(Calc_CPI_2[[CPI uplift factor]:[CPI uplift factor]],MATCH($C449,Calc_CPI_2[[Cost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MATCH($D$251,Inputs!$H$8:$Q$8,0)))/100,"-")</f>
        <v>2.3900000000000001E-2</v>
      </c>
      <c r="K449" s="62" cm="1">
        <f t="array" ref="K449">IFERROR(
(IFERROR(INDEX(Calc_CPI_2[[CPI uplift factor]:[CPI uplift factor]],MATCH($C449,Calc_CPI_2[[Cost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MATCH($D$251,Inputs!$H$8:$Q$8,0)))/100,"-")</f>
        <v>2.1700000000000001E-2</v>
      </c>
    </row>
    <row r="450" spans="1:19" outlineLevel="1" x14ac:dyDescent="0.25">
      <c r="C450" s="24" t="s">
        <v>230</v>
      </c>
      <c r="D450" s="24" t="s">
        <v>139</v>
      </c>
      <c r="E450" s="24" t="s">
        <v>291</v>
      </c>
      <c r="F450" s="24" t="s">
        <v>101</v>
      </c>
      <c r="G450" s="62" cm="1">
        <f t="array" ref="G450">IFERROR(
(IFERROR(INDEX(Calc_CPI_2[[CPI uplift factor]:[CPI uplift factor]],MATCH($C450,Calc_CPI_2[[Cost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MATCH($D$251,Inputs!$H$8:$Q$8,0)))/100,"-")</f>
        <v>0.155386</v>
      </c>
      <c r="H450" s="62" t="str" cm="1">
        <f t="array" ref="H450">IFERROR(
(IFERROR(INDEX(Calc_CPI_2[[CPI uplift factor]:[CPI uplift factor]],MATCH($C450,Calc_CPI_2[[Cost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MATCH($D$251,Inputs!$H$8:$Q$8,0)))/100,"-")</f>
        <v>-</v>
      </c>
      <c r="I450" s="62" t="str" cm="1">
        <f t="array" ref="I450">IFERROR(
(IFERROR(INDEX(Calc_CPI_2[[CPI uplift factor]:[CPI uplift factor]],MATCH($C450,Calc_CPI_2[[Cost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MATCH($D$251,Inputs!$H$8:$Q$8,0)))/100,"-")</f>
        <v>-</v>
      </c>
      <c r="J450" s="62" t="str" cm="1">
        <f t="array" ref="J450">IFERROR(
(IFERROR(INDEX(Calc_CPI_2[[CPI uplift factor]:[CPI uplift factor]],MATCH($C450,Calc_CPI_2[[Cost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MATCH($D$251,Inputs!$H$8:$Q$8,0)))/100,"-")</f>
        <v>-</v>
      </c>
      <c r="K450" s="62" t="str" cm="1">
        <f t="array" ref="K450">IFERROR(
(IFERROR(INDEX(Calc_CPI_2[[CPI uplift factor]:[CPI uplift factor]],MATCH($C450,Calc_CPI_2[[Cost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MATCH($D$251,Inputs!$H$8:$Q$8,0)))/100,"-")</f>
        <v>-</v>
      </c>
    </row>
    <row r="451" spans="1:19" outlineLevel="1" x14ac:dyDescent="0.25">
      <c r="C451" s="24" t="s">
        <v>237</v>
      </c>
      <c r="D451" s="24" t="s">
        <v>139</v>
      </c>
      <c r="E451" s="24" t="s">
        <v>291</v>
      </c>
      <c r="F451" s="24" t="s">
        <v>101</v>
      </c>
      <c r="G451" s="62" cm="1">
        <f t="array" ref="G451">IFERROR(
(IFERROR(INDEX(Calc_CPI_2[[CPI uplift factor]:[CPI uplift factor]],MATCH($C451,Calc_CPI_2[[Cost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MATCH($D$251,Inputs!$H$8:$Q$8,0)))/100,"-")</f>
        <v>0.182667</v>
      </c>
      <c r="H451" s="62" t="str" cm="1">
        <f t="array" ref="H451">IFERROR(
(IFERROR(INDEX(Calc_CPI_2[[CPI uplift factor]:[CPI uplift factor]],MATCH($C451,Calc_CPI_2[[Cost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MATCH($D$251,Inputs!$H$8:$Q$8,0)))/100,"-")</f>
        <v>-</v>
      </c>
      <c r="I451" s="62" t="str" cm="1">
        <f t="array" ref="I451">IFERROR(
(IFERROR(INDEX(Calc_CPI_2[[CPI uplift factor]:[CPI uplift factor]],MATCH($C451,Calc_CPI_2[[Cost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MATCH($D$251,Inputs!$H$8:$Q$8,0)))/100,"-")</f>
        <v>-</v>
      </c>
      <c r="J451" s="62" t="str" cm="1">
        <f t="array" ref="J451">IFERROR(
(IFERROR(INDEX(Calc_CPI_2[[CPI uplift factor]:[CPI uplift factor]],MATCH($C451,Calc_CPI_2[[Cost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MATCH($D$251,Inputs!$H$8:$Q$8,0)))/100,"-")</f>
        <v>-</v>
      </c>
      <c r="K451" s="62" t="str" cm="1">
        <f t="array" ref="K451">IFERROR(
(IFERROR(INDEX(Calc_CPI_2[[CPI uplift factor]:[CPI uplift factor]],MATCH($C451,Calc_CPI_2[[Cost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MATCH($D$251,Inputs!$H$8:$Q$8,0)))/100,"-")</f>
        <v>-</v>
      </c>
    </row>
    <row r="452" spans="1:19" ht="15.75" outlineLevel="1" collapsed="1" x14ac:dyDescent="0.25">
      <c r="A452" s="1" t="s">
        <v>30</v>
      </c>
      <c r="C452" s="24" t="s">
        <v>508</v>
      </c>
      <c r="D452" s="24" t="s">
        <v>139</v>
      </c>
      <c r="E452" s="24" t="s">
        <v>291</v>
      </c>
      <c r="F452" s="24" t="s">
        <v>101</v>
      </c>
      <c r="G452" s="62" t="str" cm="1">
        <f t="array" ref="G452">IFERROR(
(IFERROR(INDEX(Calc_CPI_2[[CPI uplift factor]:[CPI uplift factor]],MATCH($C452,Calc_CPI_2[[Cost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MATCH($D$251,Inputs!$H$8:$Q$8,0)))/100,"-")</f>
        <v>-</v>
      </c>
      <c r="H452" s="62" cm="1">
        <f t="array" ref="H452">IFERROR(
(IFERROR(INDEX(Calc_CPI_2[[CPI uplift factor]:[CPI uplift factor]],MATCH($C452,Calc_CPI_2[[Cost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MATCH($D$251,Inputs!$H$8:$Q$8,0)))/100,"-")</f>
        <v>8.2100000000000006E-2</v>
      </c>
      <c r="I452" s="62" cm="1">
        <f t="array" ref="I452">IFERROR(
(IFERROR(INDEX(Calc_CPI_2[[CPI uplift factor]:[CPI uplift factor]],MATCH($C452,Calc_CPI_2[[Cost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MATCH($D$251,Inputs!$H$8:$Q$8,0)))/100,"-")</f>
        <v>0.10973000000000001</v>
      </c>
      <c r="J452" s="62" cm="1">
        <f t="array" ref="J452">IFERROR(
(IFERROR(INDEX(Calc_CPI_2[[CPI uplift factor]:[CPI uplift factor]],MATCH($C452,Calc_CPI_2[[Cost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MATCH($D$251,Inputs!$H$8:$Q$8,0)))/100,"-")</f>
        <v>9.2899999999999996E-2</v>
      </c>
      <c r="K452" s="62" cm="1">
        <f t="array" ref="K452">IFERROR(
(IFERROR(INDEX(Calc_CPI_2[[CPI uplift factor]:[CPI uplift factor]],MATCH($C452,Calc_CPI_2[[Cost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MATCH($D$251,Inputs!$H$8:$Q$8,0)))/100,"-")</f>
        <v>8.7899999999999992E-2</v>
      </c>
    </row>
    <row r="453" spans="1:19" outlineLevel="1" x14ac:dyDescent="0.25">
      <c r="C453" s="24" t="s">
        <v>239</v>
      </c>
      <c r="D453" s="24" t="s">
        <v>139</v>
      </c>
      <c r="E453" s="24" t="s">
        <v>291</v>
      </c>
      <c r="F453" s="24" t="s">
        <v>101</v>
      </c>
      <c r="G453" s="62" cm="1">
        <f t="array" ref="G453">IFERROR(
(IFERROR(INDEX(Calc_CPI_2[[CPI uplift factor]:[CPI uplift factor]],MATCH($C453,Calc_CPI_2[[Cost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MATCH($D$251,Inputs!$H$8:$Q$8,0)))/100,"-")</f>
        <v>0.17508700000000002</v>
      </c>
      <c r="H453" s="62" cm="1">
        <f t="array" ref="H453">IFERROR(
(IFERROR(INDEX(Calc_CPI_2[[CPI uplift factor]:[CPI uplift factor]],MATCH($C453,Calc_CPI_2[[Cost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MATCH($D$251,Inputs!$H$8:$Q$8,0)))/100,"-")</f>
        <v>0.13019999999999998</v>
      </c>
      <c r="I453" s="62" cm="1">
        <f t="array" ref="I453">IFERROR(
(IFERROR(INDEX(Calc_CPI_2[[CPI uplift factor]:[CPI uplift factor]],MATCH($C453,Calc_CPI_2[[Cost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MATCH($D$251,Inputs!$H$8:$Q$8,0)))/100,"-")</f>
        <v>0.14330999999999999</v>
      </c>
      <c r="J453" s="62" cm="1">
        <f t="array" ref="J453">IFERROR(
(IFERROR(INDEX(Calc_CPI_2[[CPI uplift factor]:[CPI uplift factor]],MATCH($C453,Calc_CPI_2[[Cost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MATCH($D$251,Inputs!$H$8:$Q$8,0)))/100,"-")</f>
        <v>0.14749999999999999</v>
      </c>
      <c r="K453" s="62" cm="1">
        <f t="array" ref="K453">IFERROR(
(IFERROR(INDEX(Calc_CPI_2[[CPI uplift factor]:[CPI uplift factor]],MATCH($C453,Calc_CPI_2[[Cost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MATCH($D$251,Inputs!$H$8:$Q$8,0)))/100,"-")</f>
        <v>0.1399</v>
      </c>
    </row>
    <row r="454" spans="1:19" outlineLevel="1" x14ac:dyDescent="0.25">
      <c r="C454" s="24" t="s">
        <v>538</v>
      </c>
      <c r="D454" s="45" t="s">
        <v>139</v>
      </c>
      <c r="E454" s="24" t="s">
        <v>291</v>
      </c>
      <c r="F454" s="24" t="s">
        <v>101</v>
      </c>
      <c r="G454" s="62" cm="1">
        <f t="array" ref="G454">IFERROR(
(IFERROR(INDEX(Calc_CPI_2[[CPI uplift factor]:[CPI uplift factor]],MATCH($C454,Calc_CPI_2[[Cost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MATCH($D$251,Inputs!$H$8:$Q$8,0)))/100,"-")</f>
        <v>4.2655999999999999E-2</v>
      </c>
      <c r="H454" s="62" cm="1">
        <f t="array" ref="H454">IFERROR(
(IFERROR(INDEX(Calc_CPI_2[[CPI uplift factor]:[CPI uplift factor]],MATCH($C454,Calc_CPI_2[[Cost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MATCH($D$251,Inputs!$H$8:$Q$8,0)))/100,"-")</f>
        <v>2.8900000000000002E-2</v>
      </c>
      <c r="I454" s="62" cm="1">
        <f t="array" ref="I454">IFERROR(
(IFERROR(INDEX(Calc_CPI_2[[CPI uplift factor]:[CPI uplift factor]],MATCH($C454,Calc_CPI_2[[Cost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MATCH($D$251,Inputs!$H$8:$Q$8,0)))/100,"-")</f>
        <v>3.0520000000000002E-2</v>
      </c>
      <c r="J454" s="62" cm="1">
        <f t="array" ref="J454">IFERROR(
(IFERROR(INDEX(Calc_CPI_2[[CPI uplift factor]:[CPI uplift factor]],MATCH($C454,Calc_CPI_2[[Cost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MATCH($D$251,Inputs!$H$8:$Q$8,0)))/100,"-")</f>
        <v>3.2799999999999996E-2</v>
      </c>
      <c r="K454" s="62" cm="1">
        <f t="array" ref="K454">IFERROR(
(IFERROR(INDEX(Calc_CPI_2[[CPI uplift factor]:[CPI uplift factor]],MATCH($C454,Calc_CPI_2[[Cost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MATCH($D$251,Inputs!$H$8:$Q$8,0)))/100,"-")</f>
        <v>3.1099999999999999E-2</v>
      </c>
    </row>
    <row r="455" spans="1:19" x14ac:dyDescent="0.25">
      <c r="N455" s="88"/>
    </row>
    <row r="456" spans="1:19" ht="16.5" thickBot="1" x14ac:dyDescent="0.3">
      <c r="B456" s="9">
        <f ca="1">MAX(B$3:B455)+0.1</f>
        <v>13.299999999999995</v>
      </c>
      <c r="C456" s="29" t="s">
        <v>137</v>
      </c>
      <c r="D456" s="29"/>
      <c r="E456" s="29"/>
      <c r="F456" s="29"/>
      <c r="G456" s="29"/>
      <c r="H456" s="29"/>
      <c r="I456" s="29"/>
      <c r="J456" s="29"/>
      <c r="K456" s="29"/>
    </row>
    <row r="457" spans="1:19" outlineLevel="1" x14ac:dyDescent="0.25"/>
    <row r="458" spans="1:19" ht="15.75" outlineLevel="1" x14ac:dyDescent="0.25">
      <c r="C458" s="30" t="s">
        <v>308</v>
      </c>
    </row>
    <row r="459" spans="1:19" ht="15.75" outlineLevel="1" x14ac:dyDescent="0.25">
      <c r="C459" s="44" t="s">
        <v>54</v>
      </c>
      <c r="D459" s="44" t="s">
        <v>110</v>
      </c>
      <c r="E459" s="44" t="s">
        <v>111</v>
      </c>
      <c r="F459" s="44" t="s">
        <v>99</v>
      </c>
      <c r="G459" s="61" t="s">
        <v>277</v>
      </c>
      <c r="H459" s="61" t="s">
        <v>278</v>
      </c>
      <c r="I459" s="61" t="s">
        <v>279</v>
      </c>
      <c r="J459" s="61" t="s">
        <v>280</v>
      </c>
      <c r="K459" s="61" t="s">
        <v>281</v>
      </c>
    </row>
    <row r="460" spans="1:19" outlineLevel="1" x14ac:dyDescent="0.25">
      <c r="C460" s="24" t="s">
        <v>309</v>
      </c>
      <c r="D460" s="24" t="s">
        <v>139</v>
      </c>
      <c r="E460" s="24" t="s">
        <v>291</v>
      </c>
      <c r="F460" s="24" t="s">
        <v>100</v>
      </c>
      <c r="G460" s="287" cm="1">
        <f t="array" ref="G460">IFERROR(
(IFERROR(INDEX(Calc_CPI_2[[CPI uplift factor]:[CPI uplift factor]],MATCH($C460,Calc_CPI_2[[Cost item]:[Cost item]],0),1),0)+
INDEX(Input_ForRateCalc[[F-CurrentVDO_InputDate]:[F-NextVDO_Input]],MATCH(Calc_WholesaleRES_2[[#This Row],[Cost item]:[Cost item]]&amp;" - "&amp;Calc_WholesaleRES_2[[#Headers],[Ausnet]],Input_ForRateCalc[[Cost item]:[Cost item]],0),MATCH($D$251,Inputs!$H$8:$Q$8,0)))/1000,"-")</f>
        <v>7.1419999999999997E-2</v>
      </c>
      <c r="H460" s="287" cm="1">
        <f t="array" ref="H460">IFERROR(
(IFERROR(INDEX(Calc_CPI_2[[CPI uplift factor]:[CPI uplift factor]],MATCH($C460,Calc_CPI_2[[Cost item]:[Cost item]],0),1),0)+
INDEX(Input_ForRateCalc[[F-CurrentVDO_InputDate]:[F-NextVDO_Input]],MATCH(Calc_WholesaleRES_2[[#This Row],[Cost item]:[Cost item]]&amp;" - "&amp;Calc_WholesaleRES_2[[#Headers],[Citipower]],Input_ForRateCalc[[Cost item]:[Cost item]],0),MATCH($D$251,Inputs!$H$8:$Q$8,0)))/1000,"-")</f>
        <v>6.7799999999999999E-2</v>
      </c>
      <c r="I460" s="287" cm="1">
        <f t="array" ref="I460">IFERROR(
(IFERROR(INDEX(Calc_CPI_2[[CPI uplift factor]:[CPI uplift factor]],MATCH($C460,Calc_CPI_2[[Cost item]:[Cost item]],0),1),0)+
INDEX(Input_ForRateCalc[[F-CurrentVDO_InputDate]:[F-NextVDO_Input]],MATCH(Calc_WholesaleRES_2[[#This Row],[Cost item]:[Cost item]]&amp;" - "&amp;Calc_WholesaleRES_2[[#Headers],[Jemena]],Input_ForRateCalc[[Cost item]:[Cost item]],0),MATCH($D$251,Inputs!$H$8:$Q$8,0)))/1000,"-")</f>
        <v>7.3680000000000009E-2</v>
      </c>
      <c r="J460" s="287" cm="1">
        <f t="array" ref="J460">IFERROR(
(IFERROR(INDEX(Calc_CPI_2[[CPI uplift factor]:[CPI uplift factor]],MATCH($C460,Calc_CPI_2[[Cost item]:[Cost item]],0),1),0)+
INDEX(Input_ForRateCalc[[F-CurrentVDO_InputDate]:[F-NextVDO_Input]],MATCH(Calc_WholesaleRES_2[[#This Row],[Cost item]:[Cost item]]&amp;" - "&amp;Calc_WholesaleRES_2[[#Headers],[Powercor]],Input_ForRateCalc[[Cost item]:[Cost item]],0),MATCH($D$251,Inputs!$H$8:$Q$8,0)))/1000,"-")</f>
        <v>6.9779999999999995E-2</v>
      </c>
      <c r="K460" s="287" cm="1">
        <f t="array" ref="K460">IFERROR(
(IFERROR(INDEX(Calc_CPI_2[[CPI uplift factor]:[CPI uplift factor]],MATCH($C460,Calc_CPI_2[[Cost item]:[Cost item]],0),1),0)+
INDEX(Input_ForRateCalc[[F-CurrentVDO_InputDate]:[F-NextVDO_Input]],MATCH(Calc_WholesaleRES_2[[#This Row],[Cost item]:[Cost item]]&amp;" - "&amp;Calc_WholesaleRES_2[[#Headers],[United Energy]],Input_ForRateCalc[[Cost item]:[Cost item]],0),MATCH($D$251,Inputs!$H$8:$Q$8,0)))/1000,"-")</f>
        <v>7.4189999999999992E-2</v>
      </c>
      <c r="N460" s="79"/>
      <c r="O460" s="79"/>
      <c r="P460" s="79"/>
      <c r="Q460" s="79"/>
      <c r="R460" s="79"/>
      <c r="S460" s="79"/>
    </row>
    <row r="461" spans="1:19" outlineLevel="1" x14ac:dyDescent="0.25">
      <c r="C461" s="24" t="s">
        <v>310</v>
      </c>
      <c r="D461" s="24" t="s">
        <v>139</v>
      </c>
      <c r="E461" s="24" t="s">
        <v>291</v>
      </c>
      <c r="F461" s="24" t="s">
        <v>100</v>
      </c>
      <c r="G461" s="287" cm="1">
        <f t="array" ref="G461">IFERROR(
(IFERROR(INDEX(Calc_CPI_2[[CPI uplift factor]:[CPI uplift factor]],MATCH($C461,Calc_CPI_2[[Cost item]:[Cost item]],0),1),0)+
INDEX(Input_ForRateCalc[[F-CurrentVDO_InputDate]:[F-NextVDO_Input]],MATCH(Calc_WholesaleRES_2[[#This Row],[Cost item]:[Cost item]]&amp;" - "&amp;Calc_WholesaleRES_2[[#Headers],[Ausnet]],Input_ForRateCalc[[Cost item]:[Cost item]],0),MATCH($D$251,Inputs!$H$8:$Q$8,0)))/1000,"-")</f>
        <v>2.7E-4</v>
      </c>
      <c r="H461" s="287" cm="1">
        <f t="array" ref="H461">IFERROR(
(IFERROR(INDEX(Calc_CPI_2[[CPI uplift factor]:[CPI uplift factor]],MATCH($C461,Calc_CPI_2[[Cost item]:[Cost item]],0),1),0)+
INDEX(Input_ForRateCalc[[F-CurrentVDO_InputDate]:[F-NextVDO_Input]],MATCH(Calc_WholesaleRES_2[[#This Row],[Cost item]:[Cost item]]&amp;" - "&amp;Calc_WholesaleRES_2[[#Headers],[Citipower]],Input_ForRateCalc[[Cost item]:[Cost item]],0),MATCH($D$251,Inputs!$H$8:$Q$8,0)))/1000,"-")</f>
        <v>2.8000000000000003E-4</v>
      </c>
      <c r="I461" s="287" cm="1">
        <f t="array" ref="I461">IFERROR(
(IFERROR(INDEX(Calc_CPI_2[[CPI uplift factor]:[CPI uplift factor]],MATCH($C461,Calc_CPI_2[[Cost item]:[Cost item]],0),1),0)+
INDEX(Input_ForRateCalc[[F-CurrentVDO_InputDate]:[F-NextVDO_Input]],MATCH(Calc_WholesaleRES_2[[#This Row],[Cost item]:[Cost item]]&amp;" - "&amp;Calc_WholesaleRES_2[[#Headers],[Jemena]],Input_ForRateCalc[[Cost item]:[Cost item]],0),MATCH($D$251,Inputs!$H$8:$Q$8,0)))/1000,"-")</f>
        <v>2.7E-4</v>
      </c>
      <c r="J461" s="287" cm="1">
        <f t="array" ref="J461">IFERROR(
(IFERROR(INDEX(Calc_CPI_2[[CPI uplift factor]:[CPI uplift factor]],MATCH($C461,Calc_CPI_2[[Cost item]:[Cost item]],0),1),0)+
INDEX(Input_ForRateCalc[[F-CurrentVDO_InputDate]:[F-NextVDO_Input]],MATCH(Calc_WholesaleRES_2[[#This Row],[Cost item]:[Cost item]]&amp;" - "&amp;Calc_WholesaleRES_2[[#Headers],[Powercor]],Input_ForRateCalc[[Cost item]:[Cost item]],0),MATCH($D$251,Inputs!$H$8:$Q$8,0)))/1000,"-")</f>
        <v>2.8000000000000003E-4</v>
      </c>
      <c r="K461" s="287" cm="1">
        <f t="array" ref="K461">IFERROR(
(IFERROR(INDEX(Calc_CPI_2[[CPI uplift factor]:[CPI uplift factor]],MATCH($C461,Calc_CPI_2[[Cost item]:[Cost item]],0),1),0)+
INDEX(Input_ForRateCalc[[F-CurrentVDO_InputDate]:[F-NextVDO_Input]],MATCH(Calc_WholesaleRES_2[[#This Row],[Cost item]:[Cost item]]&amp;" - "&amp;Calc_WholesaleRES_2[[#Headers],[United Energy]],Input_ForRateCalc[[Cost item]:[Cost item]],0),MATCH($D$251,Inputs!$H$8:$Q$8,0)))/1000,"-")</f>
        <v>2.9999999999999997E-4</v>
      </c>
    </row>
    <row r="462" spans="1:19" outlineLevel="1" x14ac:dyDescent="0.25">
      <c r="C462" s="45" t="s">
        <v>292</v>
      </c>
      <c r="D462" s="45" t="s">
        <v>139</v>
      </c>
      <c r="E462" s="45" t="s">
        <v>291</v>
      </c>
      <c r="F462" s="24" t="s">
        <v>100</v>
      </c>
      <c r="G462" s="289">
        <f>IFERROR(G460+G461,"-")</f>
        <v>7.1690000000000004E-2</v>
      </c>
      <c r="H462" s="289">
        <f t="shared" ref="H462:K462" si="104">IFERROR(H460+H461,"-")</f>
        <v>6.8080000000000002E-2</v>
      </c>
      <c r="I462" s="289">
        <f t="shared" si="104"/>
        <v>7.3950000000000016E-2</v>
      </c>
      <c r="J462" s="289">
        <f t="shared" si="104"/>
        <v>7.0059999999999997E-2</v>
      </c>
      <c r="K462" s="289">
        <f t="shared" si="104"/>
        <v>7.4489999999999987E-2</v>
      </c>
    </row>
    <row r="463" spans="1:19" outlineLevel="1" x14ac:dyDescent="0.25"/>
    <row r="464" spans="1:19" ht="15.75" outlineLevel="1" x14ac:dyDescent="0.25">
      <c r="C464" s="30" t="s">
        <v>311</v>
      </c>
    </row>
    <row r="465" spans="1:18" ht="15.75" outlineLevel="1" x14ac:dyDescent="0.25">
      <c r="C465" s="44" t="s">
        <v>54</v>
      </c>
      <c r="D465" s="44" t="s">
        <v>110</v>
      </c>
      <c r="E465" s="44" t="s">
        <v>111</v>
      </c>
      <c r="F465" s="44" t="s">
        <v>99</v>
      </c>
      <c r="G465" s="61" t="s">
        <v>277</v>
      </c>
      <c r="H465" s="61" t="s">
        <v>278</v>
      </c>
      <c r="I465" s="61" t="s">
        <v>279</v>
      </c>
      <c r="J465" s="61" t="s">
        <v>280</v>
      </c>
      <c r="K465" s="61" t="s">
        <v>281</v>
      </c>
    </row>
    <row r="466" spans="1:18" ht="15.75" outlineLevel="1" collapsed="1" x14ac:dyDescent="0.25">
      <c r="A466" s="1" t="s">
        <v>30</v>
      </c>
      <c r="C466" s="24" t="s">
        <v>312</v>
      </c>
      <c r="D466" s="24" t="s">
        <v>139</v>
      </c>
      <c r="E466" s="24" t="s">
        <v>291</v>
      </c>
      <c r="F466" s="24" t="s">
        <v>101</v>
      </c>
      <c r="G466" s="287" cm="1">
        <f t="array" ref="G466">IFERROR(
(IFERROR(INDEX(Calc_CPI_2[[CPI uplift factor]:[CPI uplift factor]],MATCH($C466,Calc_CPI_2[[Cost item]:[Cost item]],0),1),0)+
INDEX(Input_ForRateCalc[[F-CurrentVDO_InputDate]:[F-NextVDO_Input]],MATCH(Calc_WholesaleSME_2[[#This Row],[Cost item]:[Cost item]]&amp;" - "&amp;Calc_WholesaleSME_2[[#Headers],[Ausnet]],Input_ForRateCalc[[Cost item]:[Cost item]],0),MATCH($D$251,Inputs!$H$8:$Q$8,0)))/1000,"-")</f>
        <v>6.2759999999999996E-2</v>
      </c>
      <c r="H466" s="287" cm="1">
        <f t="array" ref="H466">IFERROR(
(IFERROR(INDEX(Calc_CPI_2[[CPI uplift factor]:[CPI uplift factor]],MATCH($C466,Calc_CPI_2[[Cost item]:[Cost item]],0),1),0)+
INDEX(Input_ForRateCalc[[F-CurrentVDO_InputDate]:[F-NextVDO_Input]],MATCH(Calc_WholesaleSME_2[[#This Row],[Cost item]:[Cost item]]&amp;" - "&amp;Calc_WholesaleSME_2[[#Headers],[Citipower]],Input_ForRateCalc[[Cost item]:[Cost item]],0),MATCH($D$251,Inputs!$H$8:$Q$8,0)))/1000,"-")</f>
        <v>6.3890000000000002E-2</v>
      </c>
      <c r="I466" s="287" cm="1">
        <f t="array" ref="I466">IFERROR(
(IFERROR(INDEX(Calc_CPI_2[[CPI uplift factor]:[CPI uplift factor]],MATCH($C466,Calc_CPI_2[[Cost item]:[Cost item]],0),1),0)+
INDEX(Input_ForRateCalc[[F-CurrentVDO_InputDate]:[F-NextVDO_Input]],MATCH(Calc_WholesaleSME_2[[#This Row],[Cost item]:[Cost item]]&amp;" - "&amp;Calc_WholesaleSME_2[[#Headers],[Jemena]],Input_ForRateCalc[[Cost item]:[Cost item]],0),MATCH($D$251,Inputs!$H$8:$Q$8,0)))/1000,"-")</f>
        <v>6.3960000000000003E-2</v>
      </c>
      <c r="J466" s="287" cm="1">
        <f t="array" ref="J466">IFERROR(
(IFERROR(INDEX(Calc_CPI_2[[CPI uplift factor]:[CPI uplift factor]],MATCH($C466,Calc_CPI_2[[Cost item]:[Cost item]],0),1),0)+
INDEX(Input_ForRateCalc[[F-CurrentVDO_InputDate]:[F-NextVDO_Input]],MATCH(Calc_WholesaleSME_2[[#This Row],[Cost item]:[Cost item]]&amp;" - "&amp;Calc_WholesaleSME_2[[#Headers],[Powercor]],Input_ForRateCalc[[Cost item]:[Cost item]],0),MATCH($D$251,Inputs!$H$8:$Q$8,0)))/1000,"-")</f>
        <v>6.105E-2</v>
      </c>
      <c r="K466" s="287" cm="1">
        <f t="array" ref="K466">IFERROR(
(IFERROR(INDEX(Calc_CPI_2[[CPI uplift factor]:[CPI uplift factor]],MATCH($C466,Calc_CPI_2[[Cost item]:[Cost item]],0),1),0)+
INDEX(Input_ForRateCalc[[F-CurrentVDO_InputDate]:[F-NextVDO_Input]],MATCH(Calc_WholesaleSME_2[[#This Row],[Cost item]:[Cost item]]&amp;" - "&amp;Calc_WholesaleSME_2[[#Headers],[United Energy]],Input_ForRateCalc[[Cost item]:[Cost item]],0),MATCH($D$251,Inputs!$H$8:$Q$8,0)))/1000,"-")</f>
        <v>6.522E-2</v>
      </c>
      <c r="N466" s="79"/>
      <c r="O466" s="79"/>
      <c r="P466" s="79"/>
      <c r="Q466" s="79"/>
      <c r="R466" s="79"/>
    </row>
    <row r="467" spans="1:18" outlineLevel="1" x14ac:dyDescent="0.25">
      <c r="C467" s="24" t="s">
        <v>313</v>
      </c>
      <c r="D467" s="24" t="s">
        <v>139</v>
      </c>
      <c r="E467" s="24" t="s">
        <v>291</v>
      </c>
      <c r="F467" s="24" t="s">
        <v>101</v>
      </c>
      <c r="G467" s="287" cm="1">
        <f t="array" ref="G467">IFERROR(
(IFERROR(INDEX(Calc_CPI_2[[CPI uplift factor]:[CPI uplift factor]],MATCH($C467,Calc_CPI_2[[Cost item]:[Cost item]],0),1),0)+
INDEX(Input_ForRateCalc[[F-CurrentVDO_InputDate]:[F-NextVDO_Input]],MATCH(Calc_WholesaleSME_2[[#This Row],[Cost item]:[Cost item]]&amp;" - "&amp;Calc_WholesaleSME_2[[#Headers],[Ausnet]],Input_ForRateCalc[[Cost item]:[Cost item]],0),MATCH($D$251,Inputs!$H$8:$Q$8,0)))/1000,"-")</f>
        <v>2.3000000000000001E-4</v>
      </c>
      <c r="H467" s="287" cm="1">
        <f t="array" ref="H467">IFERROR(
(IFERROR(INDEX(Calc_CPI_2[[CPI uplift factor]:[CPI uplift factor]],MATCH($C467,Calc_CPI_2[[Cost item]:[Cost item]],0),1),0)+
INDEX(Input_ForRateCalc[[F-CurrentVDO_InputDate]:[F-NextVDO_Input]],MATCH(Calc_WholesaleSME_2[[#This Row],[Cost item]:[Cost item]]&amp;" - "&amp;Calc_WholesaleSME_2[[#Headers],[Citipower]],Input_ForRateCalc[[Cost item]:[Cost item]],0),MATCH($D$251,Inputs!$H$8:$Q$8,0)))/1000,"-")</f>
        <v>2.2000000000000001E-4</v>
      </c>
      <c r="I467" s="287" cm="1">
        <f t="array" ref="I467">IFERROR(
(IFERROR(INDEX(Calc_CPI_2[[CPI uplift factor]:[CPI uplift factor]],MATCH($C467,Calc_CPI_2[[Cost item]:[Cost item]],0),1),0)+
INDEX(Input_ForRateCalc[[F-CurrentVDO_InputDate]:[F-NextVDO_Input]],MATCH(Calc_WholesaleSME_2[[#This Row],[Cost item]:[Cost item]]&amp;" - "&amp;Calc_WholesaleSME_2[[#Headers],[Jemena]],Input_ForRateCalc[[Cost item]:[Cost item]],0),MATCH($D$251,Inputs!$H$8:$Q$8,0)))/1000,"-")</f>
        <v>2.2000000000000001E-4</v>
      </c>
      <c r="J467" s="287" cm="1">
        <f t="array" ref="J467">IFERROR(
(IFERROR(INDEX(Calc_CPI_2[[CPI uplift factor]:[CPI uplift factor]],MATCH($C467,Calc_CPI_2[[Cost item]:[Cost item]],0),1),0)+
INDEX(Input_ForRateCalc[[F-CurrentVDO_InputDate]:[F-NextVDO_Input]],MATCH(Calc_WholesaleSME_2[[#This Row],[Cost item]:[Cost item]]&amp;" - "&amp;Calc_WholesaleSME_2[[#Headers],[Powercor]],Input_ForRateCalc[[Cost item]:[Cost item]],0),MATCH($D$251,Inputs!$H$8:$Q$8,0)))/1000,"-")</f>
        <v>1.7999999999999998E-4</v>
      </c>
      <c r="K467" s="287" cm="1">
        <f t="array" ref="K467">IFERROR(
(IFERROR(INDEX(Calc_CPI_2[[CPI uplift factor]:[CPI uplift factor]],MATCH($C467,Calc_CPI_2[[Cost item]:[Cost item]],0),1),0)+
INDEX(Input_ForRateCalc[[F-CurrentVDO_InputDate]:[F-NextVDO_Input]],MATCH(Calc_WholesaleSME_2[[#This Row],[Cost item]:[Cost item]]&amp;" - "&amp;Calc_WholesaleSME_2[[#Headers],[United Energy]],Input_ForRateCalc[[Cost item]:[Cost item]],0),MATCH($D$251,Inputs!$H$8:$Q$8,0)))/1000,"-")</f>
        <v>2.3000000000000001E-4</v>
      </c>
    </row>
    <row r="468" spans="1:18" outlineLevel="1" x14ac:dyDescent="0.25">
      <c r="C468" s="45" t="s">
        <v>292</v>
      </c>
      <c r="D468" s="45" t="s">
        <v>139</v>
      </c>
      <c r="E468" s="45" t="s">
        <v>291</v>
      </c>
      <c r="F468" s="24" t="s">
        <v>101</v>
      </c>
      <c r="G468" s="289">
        <f>IFERROR(G466+G467,"-")</f>
        <v>6.298999999999999E-2</v>
      </c>
      <c r="H468" s="289">
        <f t="shared" ref="H468:K468" si="105">IFERROR(H466+H467,"-")</f>
        <v>6.411E-2</v>
      </c>
      <c r="I468" s="289">
        <f t="shared" si="105"/>
        <v>6.4180000000000001E-2</v>
      </c>
      <c r="J468" s="289">
        <f t="shared" si="105"/>
        <v>6.123E-2</v>
      </c>
      <c r="K468" s="289">
        <f t="shared" si="105"/>
        <v>6.5449999999999994E-2</v>
      </c>
    </row>
    <row r="470" spans="1:18" ht="16.5" thickBot="1" x14ac:dyDescent="0.3">
      <c r="B470" s="9">
        <f ca="1">MAX(B$3:B469)+0.1</f>
        <v>13.399999999999995</v>
      </c>
      <c r="C470" s="29" t="s">
        <v>314</v>
      </c>
      <c r="D470" s="29"/>
      <c r="E470" s="29"/>
      <c r="F470" s="29"/>
      <c r="G470" s="29"/>
      <c r="H470" s="29"/>
      <c r="I470" s="29"/>
      <c r="J470" s="29"/>
      <c r="K470" s="29"/>
    </row>
    <row r="471" spans="1:18" outlineLevel="1" x14ac:dyDescent="0.25"/>
    <row r="472" spans="1:18" ht="15.75" outlineLevel="1" x14ac:dyDescent="0.25">
      <c r="C472" s="30" t="s">
        <v>315</v>
      </c>
    </row>
    <row r="473" spans="1:18" ht="15.75" outlineLevel="1" x14ac:dyDescent="0.25">
      <c r="C473" s="44" t="s">
        <v>54</v>
      </c>
      <c r="D473" s="44" t="s">
        <v>110</v>
      </c>
      <c r="E473" s="44" t="s">
        <v>111</v>
      </c>
      <c r="F473" s="44" t="s">
        <v>99</v>
      </c>
      <c r="G473" s="61" t="s">
        <v>277</v>
      </c>
      <c r="H473" s="61" t="s">
        <v>278</v>
      </c>
      <c r="I473" s="61" t="s">
        <v>279</v>
      </c>
      <c r="J473" s="61" t="s">
        <v>280</v>
      </c>
      <c r="K473" s="61" t="s">
        <v>281</v>
      </c>
    </row>
    <row r="474" spans="1:18" outlineLevel="1" x14ac:dyDescent="0.25">
      <c r="C474" s="24" t="s">
        <v>161</v>
      </c>
      <c r="D474" s="24" t="s">
        <v>139</v>
      </c>
      <c r="E474" s="24" t="s">
        <v>162</v>
      </c>
      <c r="F474" s="24" t="s">
        <v>119</v>
      </c>
      <c r="G474" s="62" cm="1">
        <f t="array" ref="G474">IFERROR(
(IFERROR(INDEX(Calc_CPI_2[[CPI uplift factor]:[CPI uplift factor]],MATCH($C474,Calc_CPI_2[[Cost item]:[Cost item]],0),1),0)+
INDEX(Input_ForRateCalc[[F-CurrentVDO_InputDate]:[F-NextVDO_Input]],MATCH(Calc_EnviroVEU_2[[#This Row],[Cost item]:[Cost item]],Input_ForRateCalc[[Cost item]:[Cost item]],0),MATCH($D$251,Inputs!$H$8:$Q$8,0))),"-")</f>
        <v>56.939318273848677</v>
      </c>
      <c r="H474" s="62" cm="1">
        <f t="array" ref="H474">IFERROR(
(IFERROR(INDEX(Calc_CPI_2[[CPI uplift factor]:[CPI uplift factor]],MATCH($C474,Calc_CPI_2[[Cost item]:[Cost item]],0),1),0)+
INDEX(Input_ForRateCalc[[F-CurrentVDO_InputDate]:[F-NextVDO_Input]],MATCH(Calc_EnviroVEU_2[[#This Row],[Cost item]:[Cost item]],Input_ForRateCalc[[Cost item]:[Cost item]],0),MATCH($D$251,Inputs!$H$8:$Q$8,0))),"-")</f>
        <v>56.939318273848677</v>
      </c>
      <c r="I474" s="62" cm="1">
        <f t="array" ref="I474">IFERROR(
(IFERROR(INDEX(Calc_CPI_2[[CPI uplift factor]:[CPI uplift factor]],MATCH($C474,Calc_CPI_2[[Cost item]:[Cost item]],0),1),0)+
INDEX(Input_ForRateCalc[[F-CurrentVDO_InputDate]:[F-NextVDO_Input]],MATCH(Calc_EnviroVEU_2[[#This Row],[Cost item]:[Cost item]],Input_ForRateCalc[[Cost item]:[Cost item]],0),MATCH($D$251,Inputs!$H$8:$Q$8,0))),"-")</f>
        <v>56.939318273848677</v>
      </c>
      <c r="J474" s="62" cm="1">
        <f t="array" ref="J474">IFERROR(
(IFERROR(INDEX(Calc_CPI_2[[CPI uplift factor]:[CPI uplift factor]],MATCH($C474,Calc_CPI_2[[Cost item]:[Cost item]],0),1),0)+
INDEX(Input_ForRateCalc[[F-CurrentVDO_InputDate]:[F-NextVDO_Input]],MATCH(Calc_EnviroVEU_2[[#This Row],[Cost item]:[Cost item]],Input_ForRateCalc[[Cost item]:[Cost item]],0),MATCH($D$251,Inputs!$H$8:$Q$8,0))),"-")</f>
        <v>56.939318273848677</v>
      </c>
      <c r="K474" s="62" cm="1">
        <f t="array" ref="K474">IFERROR(
(IFERROR(INDEX(Calc_CPI_2[[CPI uplift factor]:[CPI uplift factor]],MATCH($C474,Calc_CPI_2[[Cost item]:[Cost item]],0),1),0)+
INDEX(Input_ForRateCalc[[F-CurrentVDO_InputDate]:[F-NextVDO_Input]],MATCH(Calc_EnviroVEU_2[[#This Row],[Cost item]:[Cost item]],Input_ForRateCalc[[Cost item]:[Cost item]],0),MATCH($D$251,Inputs!$H$8:$Q$8,0))),"-")</f>
        <v>56.939318273848677</v>
      </c>
    </row>
    <row r="475" spans="1:18" outlineLevel="1" x14ac:dyDescent="0.25">
      <c r="C475" s="24" t="s">
        <v>165</v>
      </c>
      <c r="D475" s="24" t="s">
        <v>139</v>
      </c>
      <c r="E475" s="24" t="s">
        <v>166</v>
      </c>
      <c r="F475" s="24" t="s">
        <v>119</v>
      </c>
      <c r="G475" s="286" cm="1">
        <f t="array" ref="G475">IFERROR(
(IFERROR(INDEX(Calc_CPI_2[[CPI uplift factor]:[CPI uplift factor]],MATCH($C475,Calc_CPI_2[[Cost item]:[Cost item]],0),1),0)+
INDEX(Input_ForRateCalc[[F-CurrentVDO_InputDate]:[F-NextVDO_Input]],MATCH(Calc_EnviroVEU_2[[#This Row],[Cost item]:[Cost item]],Input_ForRateCalc[[Cost item]:[Cost item]],0),MATCH($D$251,Inputs!$H$8:$Q$8,0))),"-")</f>
        <v>0.17255000000000001</v>
      </c>
      <c r="H475" s="286" cm="1">
        <f t="array" ref="H475">IFERROR(
(IFERROR(INDEX(Calc_CPI_2[[CPI uplift factor]:[CPI uplift factor]],MATCH($C475,Calc_CPI_2[[Cost item]:[Cost item]],0),1),0)+
INDEX(Input_ForRateCalc[[F-CurrentVDO_InputDate]:[F-NextVDO_Input]],MATCH(Calc_EnviroVEU_2[[#This Row],[Cost item]:[Cost item]],Input_ForRateCalc[[Cost item]:[Cost item]],0),MATCH($D$251,Inputs!$H$8:$Q$8,0))),"-")</f>
        <v>0.17255000000000001</v>
      </c>
      <c r="I475" s="286" cm="1">
        <f t="array" ref="I475">IFERROR(
(IFERROR(INDEX(Calc_CPI_2[[CPI uplift factor]:[CPI uplift factor]],MATCH($C475,Calc_CPI_2[[Cost item]:[Cost item]],0),1),0)+
INDEX(Input_ForRateCalc[[F-CurrentVDO_InputDate]:[F-NextVDO_Input]],MATCH(Calc_EnviroVEU_2[[#This Row],[Cost item]:[Cost item]],Input_ForRateCalc[[Cost item]:[Cost item]],0),MATCH($D$251,Inputs!$H$8:$Q$8,0))),"-")</f>
        <v>0.17255000000000001</v>
      </c>
      <c r="J475" s="286" cm="1">
        <f t="array" ref="J475">IFERROR(
(IFERROR(INDEX(Calc_CPI_2[[CPI uplift factor]:[CPI uplift factor]],MATCH($C475,Calc_CPI_2[[Cost item]:[Cost item]],0),1),0)+
INDEX(Input_ForRateCalc[[F-CurrentVDO_InputDate]:[F-NextVDO_Input]],MATCH(Calc_EnviroVEU_2[[#This Row],[Cost item]:[Cost item]],Input_ForRateCalc[[Cost item]:[Cost item]],0),MATCH($D$251,Inputs!$H$8:$Q$8,0))),"-")</f>
        <v>0.17255000000000001</v>
      </c>
      <c r="K475" s="286" cm="1">
        <f t="array" ref="K475">IFERROR(
(IFERROR(INDEX(Calc_CPI_2[[CPI uplift factor]:[CPI uplift factor]],MATCH($C475,Calc_CPI_2[[Cost item]:[Cost item]],0),1),0)+
INDEX(Input_ForRateCalc[[F-CurrentVDO_InputDate]:[F-NextVDO_Input]],MATCH(Calc_EnviroVEU_2[[#This Row],[Cost item]:[Cost item]],Input_ForRateCalc[[Cost item]:[Cost item]],0),MATCH($D$251,Inputs!$H$8:$Q$8,0))),"-")</f>
        <v>0.17255000000000001</v>
      </c>
    </row>
    <row r="476" spans="1:18" outlineLevel="1" x14ac:dyDescent="0.25">
      <c r="C476" s="45" t="s">
        <v>316</v>
      </c>
      <c r="D476" s="45" t="s">
        <v>139</v>
      </c>
      <c r="E476" s="45" t="s">
        <v>291</v>
      </c>
      <c r="F476" s="24" t="s">
        <v>119</v>
      </c>
      <c r="G476" s="73">
        <f>IFERROR(
IFERROR(INDEX(Calc_CPI_2[[CPI uplift factor]:[CPI uplift factor]],MATCH($C476,Calc_CPI_2[[Cost item]:[Cost item]],0),1),0)+(G474*G475)/1000,"-")</f>
        <v>9.8248793681525899E-3</v>
      </c>
      <c r="H476" s="73">
        <f>IFERROR(
IFERROR(INDEX(Calc_CPI_2[[CPI uplift factor]:[CPI uplift factor]],MATCH($C476,Calc_CPI_2[[Cost item]:[Cost item]],0),1),0)+(H474*H475)/1000,"-")</f>
        <v>9.8248793681525899E-3</v>
      </c>
      <c r="I476" s="73">
        <f>IFERROR(
IFERROR(INDEX(Calc_CPI_2[[CPI uplift factor]:[CPI uplift factor]],MATCH($C476,Calc_CPI_2[[Cost item]:[Cost item]],0),1),0)+(I474*I475)/1000,"-")</f>
        <v>9.8248793681525899E-3</v>
      </c>
      <c r="J476" s="73">
        <f>IFERROR(
IFERROR(INDEX(Calc_CPI_2[[CPI uplift factor]:[CPI uplift factor]],MATCH($C476,Calc_CPI_2[[Cost item]:[Cost item]],0),1),0)+(J474*J475)/1000,"-")</f>
        <v>9.8248793681525899E-3</v>
      </c>
      <c r="K476" s="73">
        <f>IFERROR(
IFERROR(INDEX(Calc_CPI_2[[CPI uplift factor]:[CPI uplift factor]],MATCH($C476,Calc_CPI_2[[Cost item]:[Cost item]],0),1),0)+(K474*K475)/1000,"-")</f>
        <v>9.8248793681525899E-3</v>
      </c>
      <c r="M476" s="79"/>
    </row>
    <row r="477" spans="1:18" outlineLevel="1" x14ac:dyDescent="0.25"/>
    <row r="478" spans="1:18" ht="15.75" outlineLevel="1" x14ac:dyDescent="0.25">
      <c r="C478" s="30" t="s">
        <v>317</v>
      </c>
      <c r="N478" s="79"/>
    </row>
    <row r="479" spans="1:18" ht="15.75" outlineLevel="1" x14ac:dyDescent="0.25">
      <c r="C479" s="44" t="s">
        <v>54</v>
      </c>
      <c r="D479" s="44" t="s">
        <v>110</v>
      </c>
      <c r="E479" s="44" t="s">
        <v>111</v>
      </c>
      <c r="F479" s="44" t="s">
        <v>99</v>
      </c>
      <c r="G479" s="61" t="s">
        <v>277</v>
      </c>
      <c r="H479" s="61" t="s">
        <v>278</v>
      </c>
      <c r="I479" s="61" t="s">
        <v>279</v>
      </c>
      <c r="J479" s="61" t="s">
        <v>280</v>
      </c>
      <c r="K479" s="61" t="s">
        <v>281</v>
      </c>
    </row>
    <row r="480" spans="1:18" outlineLevel="1" x14ac:dyDescent="0.25">
      <c r="C480" s="24" t="s">
        <v>163</v>
      </c>
      <c r="D480" s="24" t="s">
        <v>139</v>
      </c>
      <c r="E480" s="24" t="s">
        <v>162</v>
      </c>
      <c r="F480" s="24" t="s">
        <v>119</v>
      </c>
      <c r="G480" s="62" cm="1">
        <f t="array" ref="G480">IFERROR(
(IFERROR(INDEX(Calc_CPI_2[[CPI uplift factor]:[CPI uplift factor]],MATCH($C480,Calc_CPI_2[[Cost item]:[Cost item]],0),1),0)+
INDEX(Input_ForRateCalc[[F-CurrentVDO_InputDate]:[F-NextVDO_Input]],MATCH(Calc_EnviroLRET_2[[#This Row],[Cost item]:[Cost item]],Input_ForRateCalc[[Cost item]:[Cost item]],0),MATCH($D$251,Inputs!$H$8:$Q$8,0))),"-")</f>
        <v>34.44</v>
      </c>
      <c r="H480" s="62" cm="1">
        <f t="array" ref="H480">IFERROR(
(IFERROR(INDEX(Calc_CPI_2[[CPI uplift factor]:[CPI uplift factor]],MATCH($C480,Calc_CPI_2[[Cost item]:[Cost item]],0),1),0)+
INDEX(Input_ForRateCalc[[F-CurrentVDO_InputDate]:[F-NextVDO_Input]],MATCH(Calc_EnviroLRET_2[[#This Row],[Cost item]:[Cost item]],Input_ForRateCalc[[Cost item]:[Cost item]],0),MATCH($D$251,Inputs!$H$8:$Q$8,0))),"-")</f>
        <v>34.44</v>
      </c>
      <c r="I480" s="62" cm="1">
        <f t="array" ref="I480">IFERROR(
(IFERROR(INDEX(Calc_CPI_2[[CPI uplift factor]:[CPI uplift factor]],MATCH($C480,Calc_CPI_2[[Cost item]:[Cost item]],0),1),0)+
INDEX(Input_ForRateCalc[[F-CurrentVDO_InputDate]:[F-NextVDO_Input]],MATCH(Calc_EnviroLRET_2[[#This Row],[Cost item]:[Cost item]],Input_ForRateCalc[[Cost item]:[Cost item]],0),MATCH($D$251,Inputs!$H$8:$Q$8,0))),"-")</f>
        <v>34.44</v>
      </c>
      <c r="J480" s="62" cm="1">
        <f t="array" ref="J480">IFERROR(
(IFERROR(INDEX(Calc_CPI_2[[CPI uplift factor]:[CPI uplift factor]],MATCH($C480,Calc_CPI_2[[Cost item]:[Cost item]],0),1),0)+
INDEX(Input_ForRateCalc[[F-CurrentVDO_InputDate]:[F-NextVDO_Input]],MATCH(Calc_EnviroLRET_2[[#This Row],[Cost item]:[Cost item]],Input_ForRateCalc[[Cost item]:[Cost item]],0),MATCH($D$251,Inputs!$H$8:$Q$8,0))),"-")</f>
        <v>34.44</v>
      </c>
      <c r="K480" s="62" cm="1">
        <f t="array" ref="K480">IFERROR(
(IFERROR(INDEX(Calc_CPI_2[[CPI uplift factor]:[CPI uplift factor]],MATCH($C480,Calc_CPI_2[[Cost item]:[Cost item]],0),1),0)+
INDEX(Input_ForRateCalc[[F-CurrentVDO_InputDate]:[F-NextVDO_Input]],MATCH(Calc_EnviroLRET_2[[#This Row],[Cost item]:[Cost item]],Input_ForRateCalc[[Cost item]:[Cost item]],0),MATCH($D$251,Inputs!$H$8:$Q$8,0))),"-")</f>
        <v>34.44</v>
      </c>
    </row>
    <row r="481" spans="3:13" outlineLevel="1" x14ac:dyDescent="0.25">
      <c r="C481" s="24" t="s">
        <v>167</v>
      </c>
      <c r="D481" s="24" t="s">
        <v>139</v>
      </c>
      <c r="E481" s="24" t="s">
        <v>166</v>
      </c>
      <c r="F481" s="24" t="s">
        <v>119</v>
      </c>
      <c r="G481" s="57" cm="1">
        <f t="array" ref="G481">IFERROR(
(IFERROR(INDEX(Calc_CPI_2[[CPI uplift factor]:[CPI uplift factor]],MATCH($C481,Calc_CPI_2[[Cost item]:[Cost item]],0),1),0)+
IF(OR($D$251="VDO 2021 - Final",$D$251="VDO 2021 - Variation draft",$D$251="VDO 2021 - Variation final"),
INDEX(Input_ForRateCalc[[F-CurrentVDO_InputDate]:[F-NextVDO_Input]],MATCH(Calc_EnviroLRET_2[[#This Row],[Cost item]:[Cost item]]&amp;" true up (2021 only)",Input_ForRateCalc[[Cost item]:[Cost item]],0),MATCH($D$251,Inputs!$H$8:$Q$8,0))+
INDEX(Input_ForRateCalc[[F-CurrentVDO_InputDate]:[F-NextVDO_Input]],MATCH(Calc_EnviroLRET_2[[#This Row],[Cost item]:[Cost item]],Input_ForRateCalc[[Cost item]:[Cost item]],0),MATCH($D$251,Inputs!$H$8:$Q$8,0)),
INDEX(Input_ForRateCalc[[F-CurrentVDO_InputDate]:[F-NextVDO_Input]],MATCH(Calc_EnviroLRET_2[[#This Row],[Cost item]:[Cost item]],Input_ForRateCalc[[Cost item]:[Cost item]],0),MATCH($D$251,Inputs!$H$8:$Q$8,0)))),"-")</f>
        <v>0.18540000000000001</v>
      </c>
      <c r="H481" s="57" cm="1">
        <f t="array" ref="H481">IFERROR(
(IFERROR(INDEX(Calc_CPI_2[[CPI uplift factor]:[CPI uplift factor]],MATCH($C481,Calc_CPI_2[[Cost item]:[Cost item]],0),1),0)+
IF(OR($D$251="VDO 2021 - Final",$D$251="VDO 2021 - Variation draft",$D$251="VDO 2021 - Variation final"),
INDEX(Input_ForRateCalc[[F-CurrentVDO_InputDate]:[F-NextVDO_Input]],MATCH(Calc_EnviroLRET_2[[#This Row],[Cost item]:[Cost item]]&amp;" true up (2021 only)",Input_ForRateCalc[[Cost item]:[Cost item]],0),MATCH($D$251,Inputs!$H$8:$Q$8,0))+
INDEX(Input_ForRateCalc[[F-CurrentVDO_InputDate]:[F-NextVDO_Input]],MATCH(Calc_EnviroLRET_2[[#This Row],[Cost item]:[Cost item]],Input_ForRateCalc[[Cost item]:[Cost item]],0),MATCH($D$251,Inputs!$H$8:$Q$8,0)),
INDEX(Input_ForRateCalc[[F-CurrentVDO_InputDate]:[F-NextVDO_Input]],MATCH(Calc_EnviroLRET_2[[#This Row],[Cost item]:[Cost item]],Input_ForRateCalc[[Cost item]:[Cost item]],0),MATCH($D$251,Inputs!$H$8:$Q$8,0)))),"-")</f>
        <v>0.18540000000000001</v>
      </c>
      <c r="I481" s="57" cm="1">
        <f t="array" ref="I481">IFERROR(
(IFERROR(INDEX(Calc_CPI_2[[CPI uplift factor]:[CPI uplift factor]],MATCH($C481,Calc_CPI_2[[Cost item]:[Cost item]],0),1),0)+
IF(OR($D$251="VDO 2021 - Final",$D$251="VDO 2021 - Variation draft",$D$251="VDO 2021 - Variation final"),
INDEX(Input_ForRateCalc[[F-CurrentVDO_InputDate]:[F-NextVDO_Input]],MATCH(Calc_EnviroLRET_2[[#This Row],[Cost item]:[Cost item]]&amp;" true up (2021 only)",Input_ForRateCalc[[Cost item]:[Cost item]],0),MATCH($D$251,Inputs!$H$8:$Q$8,0))+
INDEX(Input_ForRateCalc[[F-CurrentVDO_InputDate]:[F-NextVDO_Input]],MATCH(Calc_EnviroLRET_2[[#This Row],[Cost item]:[Cost item]],Input_ForRateCalc[[Cost item]:[Cost item]],0),MATCH($D$251,Inputs!$H$8:$Q$8,0)),
INDEX(Input_ForRateCalc[[F-CurrentVDO_InputDate]:[F-NextVDO_Input]],MATCH(Calc_EnviroLRET_2[[#This Row],[Cost item]:[Cost item]],Input_ForRateCalc[[Cost item]:[Cost item]],0),MATCH($D$251,Inputs!$H$8:$Q$8,0)))),"-")</f>
        <v>0.18540000000000001</v>
      </c>
      <c r="J481" s="57" cm="1">
        <f t="array" ref="J481">IFERROR(
(IFERROR(INDEX(Calc_CPI_2[[CPI uplift factor]:[CPI uplift factor]],MATCH($C481,Calc_CPI_2[[Cost item]:[Cost item]],0),1),0)+
IF(OR($D$251="VDO 2021 - Final",$D$251="VDO 2021 - Variation draft",$D$251="VDO 2021 - Variation final"),
INDEX(Input_ForRateCalc[[F-CurrentVDO_InputDate]:[F-NextVDO_Input]],MATCH(Calc_EnviroLRET_2[[#This Row],[Cost item]:[Cost item]]&amp;" true up (2021 only)",Input_ForRateCalc[[Cost item]:[Cost item]],0),MATCH($D$251,Inputs!$H$8:$Q$8,0))+
INDEX(Input_ForRateCalc[[F-CurrentVDO_InputDate]:[F-NextVDO_Input]],MATCH(Calc_EnviroLRET_2[[#This Row],[Cost item]:[Cost item]],Input_ForRateCalc[[Cost item]:[Cost item]],0),MATCH($D$251,Inputs!$H$8:$Q$8,0)),
INDEX(Input_ForRateCalc[[F-CurrentVDO_InputDate]:[F-NextVDO_Input]],MATCH(Calc_EnviroLRET_2[[#This Row],[Cost item]:[Cost item]],Input_ForRateCalc[[Cost item]:[Cost item]],0),MATCH($D$251,Inputs!$H$8:$Q$8,0)))),"-")</f>
        <v>0.18540000000000001</v>
      </c>
      <c r="K481" s="57" cm="1">
        <f t="array" ref="K481">IFERROR(
(IFERROR(INDEX(Calc_CPI_2[[CPI uplift factor]:[CPI uplift factor]],MATCH($C481,Calc_CPI_2[[Cost item]:[Cost item]],0),1),0)+
IF(OR($D$251="VDO 2021 - Final",$D$251="VDO 2021 - Variation draft",$D$251="VDO 2021 - Variation final"),
INDEX(Input_ForRateCalc[[F-CurrentVDO_InputDate]:[F-NextVDO_Input]],MATCH(Calc_EnviroLRET_2[[#This Row],[Cost item]:[Cost item]]&amp;" true up (2021 only)",Input_ForRateCalc[[Cost item]:[Cost item]],0),MATCH($D$251,Inputs!$H$8:$Q$8,0))+
INDEX(Input_ForRateCalc[[F-CurrentVDO_InputDate]:[F-NextVDO_Input]],MATCH(Calc_EnviroLRET_2[[#This Row],[Cost item]:[Cost item]],Input_ForRateCalc[[Cost item]:[Cost item]],0),MATCH($D$251,Inputs!$H$8:$Q$8,0)),
INDEX(Input_ForRateCalc[[F-CurrentVDO_InputDate]:[F-NextVDO_Input]],MATCH(Calc_EnviroLRET_2[[#This Row],[Cost item]:[Cost item]],Input_ForRateCalc[[Cost item]:[Cost item]],0),MATCH($D$251,Inputs!$H$8:$Q$8,0)))),"-")</f>
        <v>0.18540000000000001</v>
      </c>
    </row>
    <row r="482" spans="3:13" outlineLevel="1" x14ac:dyDescent="0.25">
      <c r="C482" s="45" t="s">
        <v>318</v>
      </c>
      <c r="D482" s="45" t="s">
        <v>139</v>
      </c>
      <c r="E482" s="45" t="s">
        <v>291</v>
      </c>
      <c r="F482" s="24" t="s">
        <v>119</v>
      </c>
      <c r="G482" s="73">
        <f>IFERROR(
IFERROR(INDEX(Calc_CPI_2[[CPI uplift factor]:[CPI uplift factor]],MATCH($C482,Calc_CPI_2[[Cost item]:[Cost item]],0),1),0)+(G480*G481)/1000,"-")</f>
        <v>6.3851759999999994E-3</v>
      </c>
      <c r="H482" s="73">
        <f>IFERROR(
IFERROR(INDEX(Calc_CPI_2[[CPI uplift factor]:[CPI uplift factor]],MATCH($C482,Calc_CPI_2[[Cost item]:[Cost item]],0),1),0)+(H480*H481)/1000,"-")</f>
        <v>6.3851759999999994E-3</v>
      </c>
      <c r="I482" s="73">
        <f>IFERROR(
IFERROR(INDEX(Calc_CPI_2[[CPI uplift factor]:[CPI uplift factor]],MATCH($C482,Calc_CPI_2[[Cost item]:[Cost item]],0),1),0)+(I480*I481)/1000,"-")</f>
        <v>6.3851759999999994E-3</v>
      </c>
      <c r="J482" s="73">
        <f>IFERROR(
IFERROR(INDEX(Calc_CPI_2[[CPI uplift factor]:[CPI uplift factor]],MATCH($C482,Calc_CPI_2[[Cost item]:[Cost item]],0),1),0)+(J480*J481)/1000,"-")</f>
        <v>6.3851759999999994E-3</v>
      </c>
      <c r="K482" s="73">
        <f>IFERROR(
IFERROR(INDEX(Calc_CPI_2[[CPI uplift factor]:[CPI uplift factor]],MATCH($C482,Calc_CPI_2[[Cost item]:[Cost item]],0),1),0)+(K480*K481)/1000,"-")</f>
        <v>6.3851759999999994E-3</v>
      </c>
      <c r="M482" s="79"/>
    </row>
    <row r="483" spans="3:13" outlineLevel="1" x14ac:dyDescent="0.25"/>
    <row r="484" spans="3:13" ht="15.75" outlineLevel="1" x14ac:dyDescent="0.25">
      <c r="C484" s="30" t="s">
        <v>319</v>
      </c>
    </row>
    <row r="485" spans="3:13" ht="15.75" outlineLevel="1" x14ac:dyDescent="0.25">
      <c r="C485" s="44" t="s">
        <v>54</v>
      </c>
      <c r="D485" s="44" t="s">
        <v>110</v>
      </c>
      <c r="E485" s="44" t="s">
        <v>111</v>
      </c>
      <c r="F485" s="44" t="s">
        <v>99</v>
      </c>
      <c r="G485" s="61" t="s">
        <v>277</v>
      </c>
      <c r="H485" s="61" t="s">
        <v>278</v>
      </c>
      <c r="I485" s="61" t="s">
        <v>279</v>
      </c>
      <c r="J485" s="61" t="s">
        <v>280</v>
      </c>
      <c r="K485" s="61" t="s">
        <v>281</v>
      </c>
    </row>
    <row r="486" spans="3:13" outlineLevel="1" x14ac:dyDescent="0.25">
      <c r="C486" s="24" t="s">
        <v>164</v>
      </c>
      <c r="D486" s="24" t="s">
        <v>139</v>
      </c>
      <c r="E486" s="24" t="s">
        <v>162</v>
      </c>
      <c r="F486" s="24" t="s">
        <v>119</v>
      </c>
      <c r="G486" s="62" cm="1">
        <f t="array" ref="G486">IFERROR(
(IFERROR(INDEX(Calc_CPI_2[[CPI uplift factor]:[CPI uplift factor]],MATCH($C486,Calc_CPI_2[[Cost item]:[Cost item]],0),1),0)+
INDEX(Input_ForRateCalc[[F-CurrentVDO_InputDate]:[F-NextVDO_Input]],MATCH(Calc_EnviroSRES_2[[#This Row],[Cost item]:[Cost item]],Input_ForRateCalc[[Cost item]:[Cost item]],0),MATCH($D$251,Inputs!$H$8:$Q$8,0))),"-")</f>
        <v>40</v>
      </c>
      <c r="H486" s="62" cm="1">
        <f t="array" ref="H486">IFERROR(
(IFERROR(INDEX(Calc_CPI_2[[CPI uplift factor]:[CPI uplift factor]],MATCH($C486,Calc_CPI_2[[Cost item]:[Cost item]],0),1),0)+
INDEX(Input_ForRateCalc[[F-CurrentVDO_InputDate]:[F-NextVDO_Input]],MATCH(Calc_EnviroSRES_2[[#This Row],[Cost item]:[Cost item]],Input_ForRateCalc[[Cost item]:[Cost item]],0),MATCH($D$251,Inputs!$H$8:$Q$8,0))),"-")</f>
        <v>40</v>
      </c>
      <c r="I486" s="62" cm="1">
        <f t="array" ref="I486">IFERROR(
(IFERROR(INDEX(Calc_CPI_2[[CPI uplift factor]:[CPI uplift factor]],MATCH($C486,Calc_CPI_2[[Cost item]:[Cost item]],0),1),0)+
INDEX(Input_ForRateCalc[[F-CurrentVDO_InputDate]:[F-NextVDO_Input]],MATCH(Calc_EnviroSRES_2[[#This Row],[Cost item]:[Cost item]],Input_ForRateCalc[[Cost item]:[Cost item]],0),MATCH($D$251,Inputs!$H$8:$Q$8,0))),"-")</f>
        <v>40</v>
      </c>
      <c r="J486" s="62" cm="1">
        <f t="array" ref="J486">IFERROR(
(IFERROR(INDEX(Calc_CPI_2[[CPI uplift factor]:[CPI uplift factor]],MATCH($C486,Calc_CPI_2[[Cost item]:[Cost item]],0),1),0)+
INDEX(Input_ForRateCalc[[F-CurrentVDO_InputDate]:[F-NextVDO_Input]],MATCH(Calc_EnviroSRES_2[[#This Row],[Cost item]:[Cost item]],Input_ForRateCalc[[Cost item]:[Cost item]],0),MATCH($D$251,Inputs!$H$8:$Q$8,0))),"-")</f>
        <v>40</v>
      </c>
      <c r="K486" s="62" cm="1">
        <f t="array" ref="K486">IFERROR(
(IFERROR(INDEX(Calc_CPI_2[[CPI uplift factor]:[CPI uplift factor]],MATCH($C486,Calc_CPI_2[[Cost item]:[Cost item]],0),1),0)+
INDEX(Input_ForRateCalc[[F-CurrentVDO_InputDate]:[F-NextVDO_Input]],MATCH(Calc_EnviroSRES_2[[#This Row],[Cost item]:[Cost item]],Input_ForRateCalc[[Cost item]:[Cost item]],0),MATCH($D$251,Inputs!$H$8:$Q$8,0))),"-")</f>
        <v>40</v>
      </c>
    </row>
    <row r="487" spans="3:13" outlineLevel="1" x14ac:dyDescent="0.25">
      <c r="C487" s="24" t="s">
        <v>168</v>
      </c>
      <c r="D487" s="24" t="s">
        <v>139</v>
      </c>
      <c r="E487" s="24" t="s">
        <v>166</v>
      </c>
      <c r="F487" s="24" t="s">
        <v>119</v>
      </c>
      <c r="G487" s="57" cm="1">
        <f t="array" ref="G487">IFERROR(
(IFERROR(INDEX(Calc_CPI_2[[CPI uplift factor]:[CPI uplift factor]],MATCH($C487,Calc_CPI_2[[Cost item]:[Cost item]],0),1),0)+
IF(OR($D$251="VDO 2021 - Final",$D$251="VDO 2021 - Variation draft",$D$251="VDO 2021 - Variation final"),
INDEX(Input_ForRateCalc[[F-CurrentVDO_InputDate]:[F-NextVDO_Input]],MATCH(Calc_EnviroSRES_2[[#This Row],[Cost item]:[Cost item]]&amp;" true up (2021 only)",Input_ForRateCalc[[Cost item]:[Cost item]],0),MATCH($D$251,Inputs!$H$8:$Q$8,0))+
INDEX(Input_ForRateCalc[[F-CurrentVDO_InputDate]:[F-NextVDO_Input]],MATCH(Calc_EnviroSRES_2[[#This Row],[Cost item]:[Cost item]],Input_ForRateCalc[[Cost item]:[Cost item]],0),MATCH($D$251,Inputs!$H$8:$Q$8,0)),
INDEX(Input_ForRateCalc[[F-CurrentVDO_InputDate]:[F-NextVDO_Input]],MATCH(Calc_EnviroSRES_2[[#This Row],[Cost item]:[Cost item]],Input_ForRateCalc[[Cost item]:[Cost item]],0),MATCH($D$251,Inputs!$H$8:$Q$8,0)))),"-")</f>
        <v>0.25600000000000001</v>
      </c>
      <c r="H487" s="57" cm="1">
        <f t="array" ref="H487">IFERROR(
(IFERROR(INDEX(Calc_CPI_2[[CPI uplift factor]:[CPI uplift factor]],MATCH($C487,Calc_CPI_2[[Cost item]:[Cost item]],0),1),0)+
IF(OR($D$251="VDO 2021 - Final",$D$251="VDO 2021 - Variation draft",$D$251="VDO 2021 - Variation final"),
INDEX(Input_ForRateCalc[[F-CurrentVDO_InputDate]:[F-NextVDO_Input]],MATCH(Calc_EnviroSRES_2[[#This Row],[Cost item]:[Cost item]]&amp;" true up (2021 only)",Input_ForRateCalc[[Cost item]:[Cost item]],0),MATCH($D$251,Inputs!$H$8:$Q$8,0))+
INDEX(Input_ForRateCalc[[F-CurrentVDO_InputDate]:[F-NextVDO_Input]],MATCH(Calc_EnviroSRES_2[[#This Row],[Cost item]:[Cost item]],Input_ForRateCalc[[Cost item]:[Cost item]],0),MATCH($D$251,Inputs!$H$8:$Q$8,0)),
INDEX(Input_ForRateCalc[[F-CurrentVDO_InputDate]:[F-NextVDO_Input]],MATCH(Calc_EnviroSRES_2[[#This Row],[Cost item]:[Cost item]],Input_ForRateCalc[[Cost item]:[Cost item]],0),MATCH($D$251,Inputs!$H$8:$Q$8,0)))),"-")</f>
        <v>0.25600000000000001</v>
      </c>
      <c r="I487" s="57" cm="1">
        <f t="array" ref="I487">IFERROR(
(IFERROR(INDEX(Calc_CPI_2[[CPI uplift factor]:[CPI uplift factor]],MATCH($C487,Calc_CPI_2[[Cost item]:[Cost item]],0),1),0)+
IF(OR($D$251="VDO 2021 - Final",$D$251="VDO 2021 - Variation draft",$D$251="VDO 2021 - Variation final"),
INDEX(Input_ForRateCalc[[F-CurrentVDO_InputDate]:[F-NextVDO_Input]],MATCH(Calc_EnviroSRES_2[[#This Row],[Cost item]:[Cost item]]&amp;" true up (2021 only)",Input_ForRateCalc[[Cost item]:[Cost item]],0),MATCH($D$251,Inputs!$H$8:$Q$8,0))+
INDEX(Input_ForRateCalc[[F-CurrentVDO_InputDate]:[F-NextVDO_Input]],MATCH(Calc_EnviroSRES_2[[#This Row],[Cost item]:[Cost item]],Input_ForRateCalc[[Cost item]:[Cost item]],0),MATCH($D$251,Inputs!$H$8:$Q$8,0)),
INDEX(Input_ForRateCalc[[F-CurrentVDO_InputDate]:[F-NextVDO_Input]],MATCH(Calc_EnviroSRES_2[[#This Row],[Cost item]:[Cost item]],Input_ForRateCalc[[Cost item]:[Cost item]],0),MATCH($D$251,Inputs!$H$8:$Q$8,0)))),"-")</f>
        <v>0.25600000000000001</v>
      </c>
      <c r="J487" s="57" cm="1">
        <f t="array" ref="J487">IFERROR(
(IFERROR(INDEX(Calc_CPI_2[[CPI uplift factor]:[CPI uplift factor]],MATCH($C487,Calc_CPI_2[[Cost item]:[Cost item]],0),1),0)+
IF(OR($D$251="VDO 2021 - Final",$D$251="VDO 2021 - Variation draft",$D$251="VDO 2021 - Variation final"),
INDEX(Input_ForRateCalc[[F-CurrentVDO_InputDate]:[F-NextVDO_Input]],MATCH(Calc_EnviroSRES_2[[#This Row],[Cost item]:[Cost item]]&amp;" true up (2021 only)",Input_ForRateCalc[[Cost item]:[Cost item]],0),MATCH($D$251,Inputs!$H$8:$Q$8,0))+
INDEX(Input_ForRateCalc[[F-CurrentVDO_InputDate]:[F-NextVDO_Input]],MATCH(Calc_EnviroSRES_2[[#This Row],[Cost item]:[Cost item]],Input_ForRateCalc[[Cost item]:[Cost item]],0),MATCH($D$251,Inputs!$H$8:$Q$8,0)),
INDEX(Input_ForRateCalc[[F-CurrentVDO_InputDate]:[F-NextVDO_Input]],MATCH(Calc_EnviroSRES_2[[#This Row],[Cost item]:[Cost item]],Input_ForRateCalc[[Cost item]:[Cost item]],0),MATCH($D$251,Inputs!$H$8:$Q$8,0)))),"-")</f>
        <v>0.25600000000000001</v>
      </c>
      <c r="K487" s="57" cm="1">
        <f t="array" ref="K487">IFERROR(
(IFERROR(INDEX(Calc_CPI_2[[CPI uplift factor]:[CPI uplift factor]],MATCH($C487,Calc_CPI_2[[Cost item]:[Cost item]],0),1),0)+
IF(OR($D$251="VDO 2021 - Final",$D$251="VDO 2021 - Variation draft",$D$251="VDO 2021 - Variation final"),
INDEX(Input_ForRateCalc[[F-CurrentVDO_InputDate]:[F-NextVDO_Input]],MATCH(Calc_EnviroSRES_2[[#This Row],[Cost item]:[Cost item]]&amp;" true up (2021 only)",Input_ForRateCalc[[Cost item]:[Cost item]],0),MATCH($D$251,Inputs!$H$8:$Q$8,0))+
INDEX(Input_ForRateCalc[[F-CurrentVDO_InputDate]:[F-NextVDO_Input]],MATCH(Calc_EnviroSRES_2[[#This Row],[Cost item]:[Cost item]],Input_ForRateCalc[[Cost item]:[Cost item]],0),MATCH($D$251,Inputs!$H$8:$Q$8,0)),
INDEX(Input_ForRateCalc[[F-CurrentVDO_InputDate]:[F-NextVDO_Input]],MATCH(Calc_EnviroSRES_2[[#This Row],[Cost item]:[Cost item]],Input_ForRateCalc[[Cost item]:[Cost item]],0),MATCH($D$251,Inputs!$H$8:$Q$8,0)))),"-")</f>
        <v>0.25600000000000001</v>
      </c>
    </row>
    <row r="488" spans="3:13" outlineLevel="1" x14ac:dyDescent="0.25">
      <c r="C488" s="45" t="s">
        <v>320</v>
      </c>
      <c r="D488" s="45" t="s">
        <v>139</v>
      </c>
      <c r="E488" s="45" t="s">
        <v>291</v>
      </c>
      <c r="F488" s="24" t="s">
        <v>119</v>
      </c>
      <c r="G488" s="73">
        <f>IFERROR(
IFERROR(INDEX(Calc_CPI_2[[CPI uplift factor]:[CPI uplift factor]],MATCH($C488,Calc_CPI_2[[Cost item]:[Cost item]],0),1),0)+(G486*G487)/1000,"-")</f>
        <v>1.0240000000000001E-2</v>
      </c>
      <c r="H488" s="73">
        <f>IFERROR(
IFERROR(INDEX(Calc_CPI_2[[CPI uplift factor]:[CPI uplift factor]],MATCH($C488,Calc_CPI_2[[Cost item]:[Cost item]],0),1),0)+(H486*H487)/1000,"-")</f>
        <v>1.0240000000000001E-2</v>
      </c>
      <c r="I488" s="73">
        <f>IFERROR(
IFERROR(INDEX(Calc_CPI_2[[CPI uplift factor]:[CPI uplift factor]],MATCH($C488,Calc_CPI_2[[Cost item]:[Cost item]],0),1),0)+(I486*I487)/1000,"-")</f>
        <v>1.0240000000000001E-2</v>
      </c>
      <c r="J488" s="73">
        <f>IFERROR(
IFERROR(INDEX(Calc_CPI_2[[CPI uplift factor]:[CPI uplift factor]],MATCH($C488,Calc_CPI_2[[Cost item]:[Cost item]],0),1),0)+(J486*J487)/1000,"-")</f>
        <v>1.0240000000000001E-2</v>
      </c>
      <c r="K488" s="73">
        <f>IFERROR(
IFERROR(INDEX(Calc_CPI_2[[CPI uplift factor]:[CPI uplift factor]],MATCH($C488,Calc_CPI_2[[Cost item]:[Cost item]],0),1),0)+(K486*K487)/1000,"-")</f>
        <v>1.0240000000000001E-2</v>
      </c>
      <c r="M488" s="79"/>
    </row>
    <row r="489" spans="3:13" outlineLevel="1" x14ac:dyDescent="0.25"/>
    <row r="490" spans="3:13" ht="15.75" outlineLevel="1" collapsed="1" x14ac:dyDescent="0.25">
      <c r="C490" s="30" t="s">
        <v>321</v>
      </c>
    </row>
    <row r="491" spans="3:13" ht="15.75" outlineLevel="1" x14ac:dyDescent="0.25">
      <c r="C491" s="44" t="s">
        <v>54</v>
      </c>
      <c r="D491" s="44" t="s">
        <v>110</v>
      </c>
      <c r="E491" s="44" t="s">
        <v>111</v>
      </c>
      <c r="F491" s="44" t="s">
        <v>99</v>
      </c>
      <c r="G491" s="61" t="s">
        <v>277</v>
      </c>
      <c r="H491" s="61" t="s">
        <v>278</v>
      </c>
      <c r="I491" s="61" t="s">
        <v>279</v>
      </c>
      <c r="J491" s="61" t="s">
        <v>280</v>
      </c>
      <c r="K491" s="61" t="s">
        <v>281</v>
      </c>
    </row>
    <row r="492" spans="3:13" outlineLevel="1" x14ac:dyDescent="0.25">
      <c r="C492" s="45" t="s">
        <v>125</v>
      </c>
      <c r="D492" s="45" t="s">
        <v>117</v>
      </c>
      <c r="E492" s="24" t="s">
        <v>118</v>
      </c>
      <c r="F492" s="24" t="s">
        <v>119</v>
      </c>
      <c r="G492" s="62" cm="1">
        <f t="array" ref="G492">IFERROR(
(IFERROR(INDEX(Calc_CPI_2[[CPI uplift factor]:[CPI uplift factor]],MATCH($C492,Calc_CPI_2[[Cost item]:[Cost item]],0),1),0)+
INDEX(Input_ForRateCalc[[F-CurrentVDO_InputDate]:[F-NextVDO_Input]],MATCH(Calc_FiT_2[[#This Row],[Cost item]:[Cost item]],Input_ForRateCalc[[Cost item]:[Cost item]],0),MATCH($D$251,Inputs!$H$8:$Q$8,0))),"-")</f>
        <v>13.337821545021233</v>
      </c>
      <c r="H492" s="62" cm="1">
        <f t="array" ref="H492">IFERROR(
(IFERROR(INDEX(Calc_CPI_2[[CPI uplift factor]:[CPI uplift factor]],MATCH($C492,Calc_CPI_2[[Cost item]:[Cost item]],0),1),0)+
INDEX(Input_ForRateCalc[[F-CurrentVDO_InputDate]:[F-NextVDO_Input]],MATCH(Calc_FiT_2[[#This Row],[Cost item]:[Cost item]],Input_ForRateCalc[[Cost item]:[Cost item]],0),MATCH($D$251,Inputs!$H$8:$Q$8,0))),"-")</f>
        <v>13.337821545021233</v>
      </c>
      <c r="I492" s="62" cm="1">
        <f t="array" ref="I492">IFERROR(
(IFERROR(INDEX(Calc_CPI_2[[CPI uplift factor]:[CPI uplift factor]],MATCH($C492,Calc_CPI_2[[Cost item]:[Cost item]],0),1),0)+
INDEX(Input_ForRateCalc[[F-CurrentVDO_InputDate]:[F-NextVDO_Input]],MATCH(Calc_FiT_2[[#This Row],[Cost item]:[Cost item]],Input_ForRateCalc[[Cost item]:[Cost item]],0),MATCH($D$251,Inputs!$H$8:$Q$8,0))),"-")</f>
        <v>13.337821545021233</v>
      </c>
      <c r="J492" s="62" cm="1">
        <f t="array" ref="J492">IFERROR(
(IFERROR(INDEX(Calc_CPI_2[[CPI uplift factor]:[CPI uplift factor]],MATCH($C492,Calc_CPI_2[[Cost item]:[Cost item]],0),1),0)+
INDEX(Input_ForRateCalc[[F-CurrentVDO_InputDate]:[F-NextVDO_Input]],MATCH(Calc_FiT_2[[#This Row],[Cost item]:[Cost item]],Input_ForRateCalc[[Cost item]:[Cost item]],0),MATCH($D$251,Inputs!$H$8:$Q$8,0))),"-")</f>
        <v>13.337821545021233</v>
      </c>
      <c r="K492" s="62" cm="1">
        <f t="array" ref="K492">IFERROR(
(IFERROR(INDEX(Calc_CPI_2[[CPI uplift factor]:[CPI uplift factor]],MATCH($C492,Calc_CPI_2[[Cost item]:[Cost item]],0),1),0)+
INDEX(Input_ForRateCalc[[F-CurrentVDO_InputDate]:[F-NextVDO_Input]],MATCH(Calc_FiT_2[[#This Row],[Cost item]:[Cost item]],Input_ForRateCalc[[Cost item]:[Cost item]],0),MATCH($D$251,Inputs!$H$8:$Q$8,0))),"-")</f>
        <v>13.337821545021233</v>
      </c>
    </row>
    <row r="496" spans="3:13" x14ac:dyDescent="0.25">
      <c r="G496" s="284"/>
      <c r="H496" s="284"/>
      <c r="I496" s="284"/>
      <c r="J496" s="284"/>
      <c r="K496" s="284"/>
    </row>
    <row r="497" spans="4:11" x14ac:dyDescent="0.25">
      <c r="G497" s="284"/>
      <c r="H497" s="284"/>
      <c r="I497" s="284"/>
      <c r="J497" s="284"/>
      <c r="K497" s="284"/>
    </row>
    <row r="498" spans="4:11" x14ac:dyDescent="0.25">
      <c r="G498" s="284"/>
      <c r="H498" s="284"/>
      <c r="I498" s="284"/>
      <c r="J498" s="284"/>
      <c r="K498" s="284"/>
    </row>
    <row r="499" spans="4:11" x14ac:dyDescent="0.25">
      <c r="G499" s="242"/>
      <c r="H499" s="242"/>
      <c r="I499" s="242"/>
      <c r="J499" s="242"/>
      <c r="K499" s="242"/>
    </row>
    <row r="500" spans="4:11" x14ac:dyDescent="0.25">
      <c r="G500" s="242"/>
      <c r="H500" s="242"/>
      <c r="I500" s="242"/>
      <c r="J500" s="242"/>
      <c r="K500" s="242"/>
    </row>
    <row r="501" spans="4:11" x14ac:dyDescent="0.25">
      <c r="D501" s="147"/>
      <c r="G501" s="242"/>
      <c r="H501" s="242"/>
      <c r="I501" s="242"/>
      <c r="J501" s="242"/>
      <c r="K501" s="242"/>
    </row>
    <row r="502" spans="4:11" x14ac:dyDescent="0.25">
      <c r="G502" s="284"/>
      <c r="H502" s="284"/>
      <c r="I502" s="284"/>
      <c r="J502" s="284"/>
      <c r="K502" s="284"/>
    </row>
    <row r="503" spans="4:11" x14ac:dyDescent="0.25">
      <c r="G503" s="284"/>
      <c r="H503" s="284"/>
      <c r="I503" s="284"/>
      <c r="J503" s="284"/>
      <c r="K503" s="284"/>
    </row>
    <row r="504" spans="4:11" x14ac:dyDescent="0.25">
      <c r="G504" s="284"/>
      <c r="H504" s="284"/>
      <c r="I504" s="284"/>
      <c r="J504" s="284"/>
      <c r="K504" s="284"/>
    </row>
  </sheetData>
  <sheetProtection algorithmName="SHA-512" hashValue="DMvA8Mg1X31FUkCpvG4aErcMRlXa6gThNu4idHXrhAyvrYS2wLuskXVUr2u+iSvoDdMIkh5tlCxdS0iaD8r9yg==" saltValue="LJCtcyMbwuHLnKjDdtVveQ==" spinCount="100000" sheet="1" objects="1" scenarios="1"/>
  <mergeCells count="1">
    <mergeCell ref="A2:A3"/>
  </mergeCells>
  <phoneticPr fontId="30" type="noConversion"/>
  <pageMargins left="0.7" right="0.7" top="0.75" bottom="0.75" header="0.3" footer="0.3"/>
  <pageSetup paperSize="9" orientation="portrait" r:id="rId1"/>
  <legacyDrawing r:id="rId2"/>
  <tableParts count="30">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s>
  <extLst>
    <ext xmlns:x14="http://schemas.microsoft.com/office/spreadsheetml/2009/9/main" uri="{CCE6A557-97BC-4b89-ADB6-D9C93CAAB3DF}">
      <x14:dataValidations xmlns:xm="http://schemas.microsoft.com/office/excel/2006/main" count="4">
        <x14:dataValidation type="list" allowBlank="1" showInputMessage="1" showErrorMessage="1" xr:uid="{C269C7C9-C23E-4503-AA68-2E4DCB6653BB}">
          <x14:formula1>
            <xm:f>'Lookup refs'!$C$8:$C$10</xm:f>
          </x14:formula1>
          <xm:sqref>D170:D171 D148:D153 D214:D216 D198:D209 E209 D164 D82:D87 E223 D220:D223 D246 D24:D30 D58:D65 D422:D430 D158:D160 D67:D72 D89:D94 D96:D101 D103:D110 D112:D117 D119:D124 D127:D132 D74:D79 D416:D417 D460:D462 D444:D455 E455 D240:D242 D328:D333 E469 D466:D469 D41:D47 D492 D436:D442 D270:D276 D304:D311 D176:D184 D297:D302 D404:D406 D313:D318 D335:D340 D342:D347 D349:D356 D358:D363 D365:D370 D373:D378 D320:D325 D134:D139 D380:D385 D190:D196 D32:D39 D256:D268 D278:D285 D287:D293 D51:D56 D228:D232 D234:D238 D410:D412 D166 D486:D488 D480:D484 D474:D478 D10:D22 D394:D400</xm:sqref>
        </x14:dataValidation>
        <x14:dataValidation type="list" allowBlank="1" showInputMessage="1" showErrorMessage="1" xr:uid="{33FF5899-A62D-484E-AA27-47145712B4A0}">
          <x14:formula1>
            <xm:f>'Lookup refs'!$E$8:$E$20</xm:f>
          </x14:formula1>
          <xm:sqref>E246 E380:E385 E158:E160 E164 E170:E171 E214:E216 E67:E72 E176:E184 E24:E30 E365:E370 E198:E208 E220:E222 E74:E79 E82:E87 E89:E94 E96:E101 E103:E110 E112:E117 E58:E65 E119:E124 E41:E47 E304:E311 E492 E373:E378 E404:E406 E416:E417 E460:E462 E313:E318 E10:E22 E270:E276 E436:E442 E127:E132 E444:E454 E297:E302 E466:E468 E134:E139 E320:E325 E328:E333 E335:E340 E342:E347 E349:E356 E358:E363 E474:E478 E480:E484 E486:E488 E228:E232 E234:E238 E240:E242 E190:E196 E32:E39 E256:E268 E278:E285 E287:E293 E51:E56 E410:E412 E166 E422:E430 E394:E400</xm:sqref>
        </x14:dataValidation>
        <x14:dataValidation type="list" allowBlank="1" showInputMessage="1" showErrorMessage="1" xr:uid="{DAD79D20-6C02-417F-980C-C7F87801265D}">
          <x14:formula1>
            <xm:f>'Lookup refs'!$G$8:$G$10</xm:f>
          </x14:formula1>
          <xm:sqref>F422:F430 F158:F160 F164 F170:F171 F198:F208 F246 F214:F216 F24:F30 F220:F222 F313:F318 F349:F356 F74:F79 F58:F65 F82:F87 F103:F110 F89:F94 F119:F124 F127:F132 F112:F117 F67:F72 F96:F101 F10:F22 F404:F406 F240:F242 F416:F417 F444:F454 F492 F460:F462 F41:F47 F270:F276 F466:F468 F436:F440 F134:F139 F342:F347 F297:F302 F320:F325 F304:F311 F328:F333 F358:F363 F335:F340 F373:F378 F365:F370 F380:F385 F190:F194 F32:F39 F256:F268 F278:F285 F287:F293 F51:F56 F228:F230 F234:F236 F410:F412 F166 F486:F488 F480:F482 F474:F476 F176:F184</xm:sqref>
        </x14:dataValidation>
        <x14:dataValidation type="list" allowBlank="1" showInputMessage="1" showErrorMessage="1" xr:uid="{56A8F8AC-D35F-4FA4-B420-2499072F1B02}">
          <x14:formula1>
            <xm:f>Inputs!$I$133:$M$133</xm:f>
          </x14:formula1>
          <xm:sqref>D5 D251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68B75-F4F5-4252-87E0-2C383E67EA33}">
  <sheetPr>
    <tabColor rgb="FF236192"/>
    <outlinePr summaryBelow="0"/>
  </sheetPr>
  <dimension ref="A1:T472"/>
  <sheetViews>
    <sheetView showGridLines="0" topLeftCell="B1" zoomScale="70" zoomScaleNormal="70" workbookViewId="0">
      <pane ySplit="3" topLeftCell="A4" activePane="bottomLeft" state="frozen"/>
      <selection pane="bottomLeft" activeCell="F241" sqref="F241"/>
    </sheetView>
  </sheetViews>
  <sheetFormatPr defaultColWidth="9.140625" defaultRowHeight="15" outlineLevelRow="1" outlineLevelCol="1" x14ac:dyDescent="0.25"/>
  <cols>
    <col min="1" max="1" width="100.7109375" hidden="1" customWidth="1" outlineLevel="1"/>
    <col min="2" max="2" width="10.7109375" style="6" customWidth="1" collapsed="1"/>
    <col min="3" max="3" width="53.28515625" bestFit="1" customWidth="1"/>
    <col min="4" max="17" width="20.5703125" customWidth="1"/>
  </cols>
  <sheetData>
    <row r="1" spans="1:17" ht="15" customHeight="1" x14ac:dyDescent="0.25">
      <c r="A1" s="1" t="s">
        <v>27</v>
      </c>
      <c r="B1" s="22"/>
      <c r="C1" s="23"/>
      <c r="D1" s="23"/>
      <c r="E1" s="23"/>
      <c r="F1" s="23"/>
      <c r="G1" s="23"/>
      <c r="H1" s="23"/>
      <c r="I1" s="23"/>
      <c r="J1" s="23"/>
      <c r="K1" s="23"/>
      <c r="L1" s="23"/>
      <c r="M1" s="23"/>
      <c r="N1" s="23"/>
      <c r="O1" s="23"/>
      <c r="P1" s="23"/>
      <c r="Q1" s="23"/>
    </row>
    <row r="2" spans="1:17" s="4" customFormat="1" ht="50.1" customHeight="1" x14ac:dyDescent="0.25">
      <c r="A2" s="293" t="s">
        <v>28</v>
      </c>
      <c r="B2" s="26"/>
      <c r="C2" s="26" t="str">
        <f>Disclaimer!$B$1</f>
        <v>VDO calculation model</v>
      </c>
      <c r="D2" s="26"/>
      <c r="E2" s="26"/>
      <c r="F2" s="26"/>
      <c r="G2" s="26"/>
      <c r="H2" s="26"/>
      <c r="I2" s="26"/>
      <c r="J2" s="26"/>
      <c r="K2" s="26"/>
      <c r="L2" s="26"/>
      <c r="M2" s="26"/>
      <c r="N2" s="26"/>
      <c r="O2" s="26"/>
      <c r="P2" s="26"/>
      <c r="Q2" s="26"/>
    </row>
    <row r="3" spans="1:17" s="4" customFormat="1" ht="30" customHeight="1" x14ac:dyDescent="0.25">
      <c r="A3" s="293"/>
      <c r="B3" s="28">
        <f ca="1">_xlfn.SHEET()</f>
        <v>13</v>
      </c>
      <c r="C3" s="27" t="s">
        <v>322</v>
      </c>
      <c r="D3" s="27"/>
      <c r="E3" s="27"/>
      <c r="F3" s="27"/>
      <c r="G3" s="27"/>
      <c r="H3" s="27"/>
      <c r="I3" s="27"/>
      <c r="J3" s="27"/>
      <c r="K3" s="27"/>
      <c r="L3" s="27"/>
      <c r="M3" s="27"/>
      <c r="N3" s="27"/>
      <c r="O3" s="27"/>
      <c r="P3" s="27"/>
      <c r="Q3" s="27"/>
    </row>
    <row r="4" spans="1:17" x14ac:dyDescent="0.25">
      <c r="B4"/>
    </row>
    <row r="5" spans="1:17" ht="15.75" hidden="1" x14ac:dyDescent="0.25">
      <c r="B5"/>
      <c r="C5" s="55" t="s">
        <v>109</v>
      </c>
      <c r="D5" s="42" t="str">
        <f>Calc_Rates!$D$5</f>
        <v>VDO 2021 - Variation final</v>
      </c>
    </row>
    <row r="6" spans="1:17" hidden="1" x14ac:dyDescent="0.25">
      <c r="B6"/>
    </row>
    <row r="7" spans="1:17" ht="16.5" hidden="1" thickBot="1" x14ac:dyDescent="0.3">
      <c r="B7" s="9">
        <f ca="1">MAX(B$3:B4)+0.1</f>
        <v>13.1</v>
      </c>
      <c r="C7" s="29" t="s">
        <v>323</v>
      </c>
      <c r="D7" s="29"/>
      <c r="E7" s="29"/>
      <c r="F7" s="29"/>
      <c r="G7" s="29"/>
      <c r="H7" s="29"/>
      <c r="I7" s="29"/>
      <c r="J7" s="29"/>
      <c r="K7" s="29"/>
      <c r="L7" s="29"/>
      <c r="M7" s="29"/>
      <c r="N7" s="29"/>
      <c r="O7" s="29"/>
      <c r="P7" s="29"/>
      <c r="Q7" s="29"/>
    </row>
    <row r="8" spans="1:17" hidden="1" x14ac:dyDescent="0.25"/>
    <row r="9" spans="1:17" ht="15.75" hidden="1" x14ac:dyDescent="0.25">
      <c r="C9" s="55" t="s">
        <v>475</v>
      </c>
      <c r="D9" s="156">
        <v>12</v>
      </c>
      <c r="H9" s="43" t="s">
        <v>54</v>
      </c>
      <c r="I9" s="208" t="s">
        <v>111</v>
      </c>
      <c r="J9" s="208" t="s">
        <v>99</v>
      </c>
      <c r="K9" s="158" t="s">
        <v>277</v>
      </c>
      <c r="L9" s="158" t="s">
        <v>278</v>
      </c>
      <c r="M9" s="158" t="s">
        <v>279</v>
      </c>
      <c r="N9" s="158" t="s">
        <v>280</v>
      </c>
      <c r="O9" s="158" t="s">
        <v>281</v>
      </c>
      <c r="P9" s="51" t="s">
        <v>539</v>
      </c>
    </row>
    <row r="10" spans="1:17" ht="15.75" hidden="1" x14ac:dyDescent="0.25">
      <c r="C10" s="55" t="s">
        <v>474</v>
      </c>
      <c r="D10" s="157">
        <f>D9/MiY</f>
        <v>1</v>
      </c>
      <c r="H10" s="60" t="s">
        <v>331</v>
      </c>
      <c r="I10" s="24" t="s">
        <v>140</v>
      </c>
      <c r="J10" s="60" t="s">
        <v>119</v>
      </c>
      <c r="K10" s="236" t="str">
        <f>IF(OR($D$5="VDO 2021 - Final",$D$5="VDO 2021 - Variation final"),"-",
INDEX(Calc_TUV_Env_1[[Ausnet]:[United Energy]],MATCH($H10,Calc_TUV_Env_1[[Cost item]:[Cost item]],0),MATCH(K$239,Calc_TUV_Env_1[[#Headers],[Ausnet]:[United Energy]],0))*1000)</f>
        <v>-</v>
      </c>
      <c r="L10" s="236" t="str">
        <f>IF(OR($D$5="VDO 2021 - Final",$D$5="VDO 2021 - Variation final"),"-",
INDEX(Calc_TUV_Env_1[[Ausnet]:[United Energy]],MATCH($H10,Calc_TUV_Env_1[[Cost item]:[Cost item]],0),MATCH(L$239,Calc_TUV_Env_1[[#Headers],[Ausnet]:[United Energy]],0))*1000)</f>
        <v>-</v>
      </c>
      <c r="M10" s="236" t="str">
        <f>IF(OR($D$5="VDO 2021 - Final",$D$5="VDO 2021 - Variation final"),"-",
INDEX(Calc_TUV_Env_1[[Ausnet]:[United Energy]],MATCH($H10,Calc_TUV_Env_1[[Cost item]:[Cost item]],0),MATCH(M$239,Calc_TUV_Env_1[[#Headers],[Ausnet]:[United Energy]],0))*1000)</f>
        <v>-</v>
      </c>
      <c r="N10" s="236" t="str">
        <f>IF(OR($D$5="VDO 2021 - Final",$D$5="VDO 2021 - Variation final"),"-",
INDEX(Calc_TUV_Env_1[[Ausnet]:[United Energy]],MATCH($H10,Calc_TUV_Env_1[[Cost item]:[Cost item]],0),MATCH(N$239,Calc_TUV_Env_1[[#Headers],[Ausnet]:[United Energy]],0))*1000)</f>
        <v>-</v>
      </c>
      <c r="O10" s="236" t="str">
        <f>IF(OR($D$5="VDO 2021 - Final",$D$5="VDO 2021 - Variation final"),"-",
INDEX(Calc_TUV_Env_1[[Ausnet]:[United Energy]],MATCH($H10,Calc_TUV_Env_1[[Cost item]:[Cost item]],0),MATCH(O$239,Calc_TUV_Env_1[[#Headers],[Ausnet]:[United Energy]],0))*1000)</f>
        <v>-</v>
      </c>
      <c r="P10" s="236" t="str">
        <f>IFERROR(AVERAGE(K10:O10),"-")</f>
        <v>-</v>
      </c>
    </row>
    <row r="11" spans="1:17" ht="15.75" hidden="1" x14ac:dyDescent="0.25">
      <c r="C11" s="55" t="s">
        <v>435</v>
      </c>
      <c r="D11" s="156" t="s">
        <v>326</v>
      </c>
      <c r="H11" s="60" t="s">
        <v>333</v>
      </c>
      <c r="I11" s="24" t="s">
        <v>140</v>
      </c>
      <c r="J11" s="60" t="s">
        <v>119</v>
      </c>
      <c r="K11" s="236" t="str">
        <f>IF(OR($D$5="VDO 2021 - Final",$D$5="VDO 2021 - Variation final"),"-",
INDEX(Calc_TUV_Env_1[[Ausnet]:[United Energy]],MATCH($H11,Calc_TUV_Env_1[[Cost item]:[Cost item]],0),MATCH(K$239,Calc_TUV_Env_1[[#Headers],[Ausnet]:[United Energy]],0))*1000)</f>
        <v>-</v>
      </c>
      <c r="L11" s="236" t="str">
        <f>IF(OR($D$5="VDO 2021 - Final",$D$5="VDO 2021 - Variation final"),"-",
INDEX(Calc_TUV_Env_1[[Ausnet]:[United Energy]],MATCH($H11,Calc_TUV_Env_1[[Cost item]:[Cost item]],0),MATCH(L$239,Calc_TUV_Env_1[[#Headers],[Ausnet]:[United Energy]],0))*1000)</f>
        <v>-</v>
      </c>
      <c r="M11" s="236" t="str">
        <f>IF(OR($D$5="VDO 2021 - Final",$D$5="VDO 2021 - Variation final"),"-",
INDEX(Calc_TUV_Env_1[[Ausnet]:[United Energy]],MATCH($H11,Calc_TUV_Env_1[[Cost item]:[Cost item]],0),MATCH(M$239,Calc_TUV_Env_1[[#Headers],[Ausnet]:[United Energy]],0))*1000)</f>
        <v>-</v>
      </c>
      <c r="N11" s="236" t="str">
        <f>IF(OR($D$5="VDO 2021 - Final",$D$5="VDO 2021 - Variation final"),"-",
INDEX(Calc_TUV_Env_1[[Ausnet]:[United Energy]],MATCH($H11,Calc_TUV_Env_1[[Cost item]:[Cost item]],0),MATCH(N$239,Calc_TUV_Env_1[[#Headers],[Ausnet]:[United Energy]],0))*1000)</f>
        <v>-</v>
      </c>
      <c r="O11" s="236" t="str">
        <f>IF(OR($D$5="VDO 2021 - Final",$D$5="VDO 2021 - Variation final"),"-",
INDEX(Calc_TUV_Env_1[[Ausnet]:[United Energy]],MATCH($H11,Calc_TUV_Env_1[[Cost item]:[Cost item]],0),MATCH(O$239,Calc_TUV_Env_1[[#Headers],[Ausnet]:[United Energy]],0))*1000)</f>
        <v>-</v>
      </c>
      <c r="P11" s="236" t="str">
        <f t="shared" ref="P11:P12" si="0">IFERROR(AVERAGE(K11:O11),"-")</f>
        <v>-</v>
      </c>
    </row>
    <row r="12" spans="1:17" ht="15.75" hidden="1" x14ac:dyDescent="0.25">
      <c r="C12" s="55" t="s">
        <v>517</v>
      </c>
      <c r="D12" s="157">
        <f>(1+WACC)^(1/1)-1</f>
        <v>6.5500000000000114E-2</v>
      </c>
      <c r="H12" s="149" t="s">
        <v>335</v>
      </c>
      <c r="I12" s="24" t="s">
        <v>140</v>
      </c>
      <c r="J12" s="60" t="s">
        <v>119</v>
      </c>
      <c r="K12" s="236" t="str">
        <f>IF(OR($D$5="VDO 2021 - Final",$D$5="VDO 2021 - Variation final"),"-",
INDEX(Calc_TUV_Env_1[[Ausnet]:[United Energy]],MATCH($H12,Calc_TUV_Env_1[[Cost item]:[Cost item]],0),MATCH(K$239,Calc_TUV_Env_1[[#Headers],[Ausnet]:[United Energy]],0))*1000)</f>
        <v>-</v>
      </c>
      <c r="L12" s="236" t="str">
        <f>IF(OR($D$5="VDO 2021 - Final",$D$5="VDO 2021 - Variation final"),"-",
INDEX(Calc_TUV_Env_1[[Ausnet]:[United Energy]],MATCH($H12,Calc_TUV_Env_1[[Cost item]:[Cost item]],0),MATCH(L$239,Calc_TUV_Env_1[[#Headers],[Ausnet]:[United Energy]],0))*1000)</f>
        <v>-</v>
      </c>
      <c r="M12" s="236" t="str">
        <f>IF(OR($D$5="VDO 2021 - Final",$D$5="VDO 2021 - Variation final"),"-",
INDEX(Calc_TUV_Env_1[[Ausnet]:[United Energy]],MATCH($H12,Calc_TUV_Env_1[[Cost item]:[Cost item]],0),MATCH(M$239,Calc_TUV_Env_1[[#Headers],[Ausnet]:[United Energy]],0))*1000)</f>
        <v>-</v>
      </c>
      <c r="N12" s="236" t="str">
        <f>IF(OR($D$5="VDO 2021 - Final",$D$5="VDO 2021 - Variation final"),"-",
INDEX(Calc_TUV_Env_1[[Ausnet]:[United Energy]],MATCH($H12,Calc_TUV_Env_1[[Cost item]:[Cost item]],0),MATCH(N$239,Calc_TUV_Env_1[[#Headers],[Ausnet]:[United Energy]],0))*1000)</f>
        <v>-</v>
      </c>
      <c r="O12" s="236" t="str">
        <f>IF(OR($D$5="VDO 2021 - Final",$D$5="VDO 2021 - Variation final"),"-",
INDEX(Calc_TUV_Env_1[[Ausnet]:[United Energy]],MATCH($H12,Calc_TUV_Env_1[[Cost item]:[Cost item]],0),MATCH(O$239,Calc_TUV_Env_1[[#Headers],[Ausnet]:[United Energy]],0))*1000)</f>
        <v>-</v>
      </c>
      <c r="P12" s="236" t="str">
        <f t="shared" si="0"/>
        <v>-</v>
      </c>
    </row>
    <row r="13" spans="1:17" ht="15.75" hidden="1" x14ac:dyDescent="0.25">
      <c r="C13" s="30"/>
    </row>
    <row r="14" spans="1:17" ht="15.75" hidden="1" x14ac:dyDescent="0.25">
      <c r="C14" s="30" t="s">
        <v>579</v>
      </c>
    </row>
    <row r="15" spans="1:17" ht="15.75" hidden="1" x14ac:dyDescent="0.25">
      <c r="C15" s="44" t="s">
        <v>54</v>
      </c>
      <c r="D15" s="44" t="s">
        <v>109</v>
      </c>
      <c r="E15" s="44" t="s">
        <v>523</v>
      </c>
      <c r="F15" s="44" t="s">
        <v>526</v>
      </c>
      <c r="G15" s="44" t="s">
        <v>324</v>
      </c>
      <c r="H15" s="44" t="s">
        <v>110</v>
      </c>
      <c r="I15" s="44" t="s">
        <v>111</v>
      </c>
      <c r="J15" s="43" t="s">
        <v>99</v>
      </c>
      <c r="K15" s="61" t="s">
        <v>277</v>
      </c>
      <c r="L15" s="61" t="s">
        <v>278</v>
      </c>
      <c r="M15" s="61" t="s">
        <v>279</v>
      </c>
      <c r="N15" s="61" t="s">
        <v>280</v>
      </c>
      <c r="O15" s="61" t="s">
        <v>281</v>
      </c>
    </row>
    <row r="16" spans="1:17" hidden="1" x14ac:dyDescent="0.25">
      <c r="C16" s="24"/>
      <c r="D16" s="24"/>
      <c r="E16" s="24"/>
      <c r="F16" s="24"/>
      <c r="G16" s="24"/>
      <c r="H16" s="24"/>
      <c r="I16" s="24"/>
      <c r="J16" s="24"/>
      <c r="K16" s="24"/>
      <c r="L16" s="24"/>
      <c r="M16" s="24"/>
      <c r="N16" s="24"/>
      <c r="O16" s="24"/>
    </row>
    <row r="17" spans="3:15" hidden="1" x14ac:dyDescent="0.25">
      <c r="C17" s="58" t="s">
        <v>325</v>
      </c>
      <c r="D17" s="58"/>
      <c r="E17" s="58"/>
      <c r="F17" s="58"/>
      <c r="G17" s="69" t="s">
        <v>326</v>
      </c>
      <c r="H17" s="69"/>
      <c r="I17" s="24"/>
      <c r="J17" s="24"/>
      <c r="K17" s="24"/>
      <c r="L17" s="24"/>
      <c r="M17" s="24"/>
      <c r="N17" s="24"/>
      <c r="O17" s="24"/>
    </row>
    <row r="18" spans="3:15" hidden="1" x14ac:dyDescent="0.25">
      <c r="C18" s="24" t="s">
        <v>163</v>
      </c>
      <c r="D18" s="83" t="str">
        <f>Calc_TU_values!$D$5</f>
        <v>VDO 2021 - Variation final</v>
      </c>
      <c r="E18" s="24" t="s">
        <v>524</v>
      </c>
      <c r="F18" s="83" t="str">
        <f>INDEX(Inputs!$H$10:$Q$10,1,MATCH($D18,Inputs!$H$8:$Q$8,0))</f>
        <v>VF-CurrentVDO_Input</v>
      </c>
      <c r="G18" s="59"/>
      <c r="H18" s="24" t="s">
        <v>139</v>
      </c>
      <c r="I18" s="24" t="s">
        <v>162</v>
      </c>
      <c r="J18" s="60" t="s">
        <v>119</v>
      </c>
      <c r="K18" s="66">
        <f>IFERROR(INDEX(Input_TUEnv_Actual[],MATCH($C18,Input_TUEnv_Actual[Cost item],0),MATCH($F18,Input_TUEnv_Actual[#Headers],0)),"-")</f>
        <v>0</v>
      </c>
      <c r="L18" s="66">
        <f>IFERROR(INDEX(Input_TUEnv_Actual[],MATCH($C18,Input_TUEnv_Actual[Cost item],0),MATCH($F18,Input_TUEnv_Actual[#Headers],0)),"-")</f>
        <v>0</v>
      </c>
      <c r="M18" s="66">
        <f>IFERROR(INDEX(Input_TUEnv_Actual[],MATCH($C18,Input_TUEnv_Actual[Cost item],0),MATCH($F18,Input_TUEnv_Actual[#Headers],0)),"-")</f>
        <v>0</v>
      </c>
      <c r="N18" s="66">
        <f>IFERROR(INDEX(Input_TUEnv_Actual[],MATCH($C18,Input_TUEnv_Actual[Cost item],0),MATCH($F18,Input_TUEnv_Actual[#Headers],0)),"-")</f>
        <v>0</v>
      </c>
      <c r="O18" s="66">
        <f>IFERROR(INDEX(Input_TUEnv_Actual[],MATCH($C18,Input_TUEnv_Actual[Cost item],0),MATCH($F18,Input_TUEnv_Actual[#Headers],0)),"-")</f>
        <v>0</v>
      </c>
    </row>
    <row r="19" spans="3:15" hidden="1" x14ac:dyDescent="0.25">
      <c r="C19" s="24" t="s">
        <v>167</v>
      </c>
      <c r="D19" s="83" t="str">
        <f>Calc_TU_values!$D$5</f>
        <v>VDO 2021 - Variation final</v>
      </c>
      <c r="E19" s="24" t="s">
        <v>524</v>
      </c>
      <c r="F19" s="83" t="str">
        <f>INDEX(Inputs!$H$10:$Q$10,1,MATCH($D19,Inputs!$H$8:$Q$8,0))</f>
        <v>VF-CurrentVDO_Input</v>
      </c>
      <c r="G19" s="59"/>
      <c r="H19" s="24" t="s">
        <v>139</v>
      </c>
      <c r="I19" s="24" t="s">
        <v>166</v>
      </c>
      <c r="J19" s="60" t="s">
        <v>119</v>
      </c>
      <c r="K19" s="68">
        <f>IFERROR(INDEX(Input_TUEnv_Actual[],MATCH($C19,Input_TUEnv_Actual[Cost item],0),MATCH($F19,Input_TUEnv_Actual[#Headers],0)),"-")</f>
        <v>0</v>
      </c>
      <c r="L19" s="68">
        <f>IFERROR(INDEX(Input_TUEnv_Actual[],MATCH($C19,Input_TUEnv_Actual[Cost item],0),MATCH($F19,Input_TUEnv_Actual[#Headers],0)),"-")</f>
        <v>0</v>
      </c>
      <c r="M19" s="68">
        <f>IFERROR(INDEX(Input_TUEnv_Actual[],MATCH($C19,Input_TUEnv_Actual[Cost item],0),MATCH($F19,Input_TUEnv_Actual[#Headers],0)),"-")</f>
        <v>0</v>
      </c>
      <c r="N19" s="68">
        <f>IFERROR(INDEX(Input_TUEnv_Actual[],MATCH($C19,Input_TUEnv_Actual[Cost item],0),MATCH($F19,Input_TUEnv_Actual[#Headers],0)),"-")</f>
        <v>0</v>
      </c>
      <c r="O19" s="68">
        <f>IFERROR(INDEX(Input_TUEnv_Actual[],MATCH($C19,Input_TUEnv_Actual[Cost item],0),MATCH($F19,Input_TUEnv_Actual[#Headers],0)),"-")</f>
        <v>0</v>
      </c>
    </row>
    <row r="20" spans="3:15" hidden="1" x14ac:dyDescent="0.25">
      <c r="C20" s="24" t="s">
        <v>327</v>
      </c>
      <c r="D20" s="83" t="str">
        <f>Calc_TU_values!$D$5</f>
        <v>VDO 2021 - Variation final</v>
      </c>
      <c r="E20" s="24" t="s">
        <v>524</v>
      </c>
      <c r="F20" s="83" t="str">
        <f>INDEX(Inputs!$H$10:$Q$10,1,MATCH($D20,Inputs!$H$8:$Q$8,0))</f>
        <v>VF-CurrentVDO_Input</v>
      </c>
      <c r="G20" s="59"/>
      <c r="H20" s="24" t="s">
        <v>139</v>
      </c>
      <c r="I20" s="24" t="s">
        <v>291</v>
      </c>
      <c r="J20" s="60" t="s">
        <v>119</v>
      </c>
      <c r="K20" s="65">
        <f>K18*K19/1000</f>
        <v>0</v>
      </c>
      <c r="L20" s="65">
        <f t="shared" ref="L20:O20" si="1">L18*L19/1000</f>
        <v>0</v>
      </c>
      <c r="M20" s="65">
        <f t="shared" si="1"/>
        <v>0</v>
      </c>
      <c r="N20" s="65">
        <f t="shared" si="1"/>
        <v>0</v>
      </c>
      <c r="O20" s="65">
        <f t="shared" si="1"/>
        <v>0</v>
      </c>
    </row>
    <row r="21" spans="3:15" hidden="1" x14ac:dyDescent="0.25">
      <c r="C21" s="24" t="s">
        <v>163</v>
      </c>
      <c r="D21" s="83" t="str">
        <f>INDEX(Input_DecisionActual[[Decision]:[Decision]],MATCH(Calc_TU_values!$D$5,Input_DecisionActual[[VDO period]:[VDO period]],0),1)</f>
        <v>VDO 2021 - Final</v>
      </c>
      <c r="E21" s="24" t="s">
        <v>525</v>
      </c>
      <c r="F21" s="83" t="str">
        <f>IF($D21="-","-",INDEX(Inputs!$H$10:$Q$10,1,MATCH($D21,Inputs!$H$8:$Q$8,0)))</f>
        <v>F-CurrentVDO_Input</v>
      </c>
      <c r="G21" s="59"/>
      <c r="H21" s="24" t="s">
        <v>139</v>
      </c>
      <c r="I21" s="24" t="s">
        <v>162</v>
      </c>
      <c r="J21" s="60" t="s">
        <v>119</v>
      </c>
      <c r="K21" s="67">
        <f>IFERROR(INDEX(Inputs!$H$11:$Q$127,MATCH($C21,Input_ForRateCalc[Cost item],0),MATCH($F21,Inputs!$H$10:$Q$10,0)),"-")</f>
        <v>35.75</v>
      </c>
      <c r="L21" s="67">
        <f>IFERROR(INDEX(Inputs!$H$11:$Q$127,MATCH($C21,Input_ForRateCalc[Cost item],0),MATCH($F21,Inputs!$H$10:$Q$10,0)),"-")</f>
        <v>35.75</v>
      </c>
      <c r="M21" s="67">
        <f>IFERROR(INDEX(Inputs!$H$11:$Q$127,MATCH($C21,Input_ForRateCalc[Cost item],0),MATCH($F21,Inputs!$H$10:$Q$10,0)),"-")</f>
        <v>35.75</v>
      </c>
      <c r="N21" s="67">
        <f>IFERROR(INDEX(Inputs!$H$11:$Q$127,MATCH($C21,Input_ForRateCalc[Cost item],0),MATCH($F21,Inputs!$H$10:$Q$10,0)),"-")</f>
        <v>35.75</v>
      </c>
      <c r="O21" s="67">
        <f>IFERROR(INDEX(Inputs!$H$11:$Q$127,MATCH($C21,Input_ForRateCalc[Cost item],0),MATCH($F21,Inputs!$H$10:$Q$10,0)),"-")</f>
        <v>35.75</v>
      </c>
    </row>
    <row r="22" spans="3:15" hidden="1" x14ac:dyDescent="0.25">
      <c r="C22" s="24" t="s">
        <v>167</v>
      </c>
      <c r="D22" s="83" t="str">
        <f>INDEX(Input_DecisionActual[[Decision]:[Decision]],MATCH(Calc_TU_values!$D$5,Input_DecisionActual[[VDO period]:[VDO period]],0),1)</f>
        <v>VDO 2021 - Final</v>
      </c>
      <c r="E22" s="24" t="s">
        <v>525</v>
      </c>
      <c r="F22" s="83" t="str">
        <f>IF($D22="-","-",INDEX(Inputs!$H$10:$Q$10,1,MATCH($D22,Inputs!$H$8:$Q$8,0)))</f>
        <v>F-CurrentVDO_Input</v>
      </c>
      <c r="G22" s="59"/>
      <c r="H22" s="24" t="s">
        <v>139</v>
      </c>
      <c r="I22" s="24" t="s">
        <v>166</v>
      </c>
      <c r="J22" s="60" t="s">
        <v>119</v>
      </c>
      <c r="K22" s="68">
        <f>IFERROR(INDEX(Inputs!$H$11:$Q$127,MATCH($C22,Input_ForRateCalc[Cost item],0),MATCH($F22,Inputs!$H$10:$Q$10,0)),"-")</f>
        <v>0.1883</v>
      </c>
      <c r="L22" s="68">
        <f>IFERROR(INDEX(Inputs!$H$11:$Q$127,MATCH($C22,Input_ForRateCalc[Cost item],0),MATCH($F22,Inputs!$H$10:$Q$10,0)),"-")</f>
        <v>0.1883</v>
      </c>
      <c r="M22" s="68">
        <f>IFERROR(INDEX(Inputs!$H$11:$Q$127,MATCH($C22,Input_ForRateCalc[Cost item],0),MATCH($F22,Inputs!$H$10:$Q$10,0)),"-")</f>
        <v>0.1883</v>
      </c>
      <c r="N22" s="68">
        <f>IFERROR(INDEX(Inputs!$H$11:$Q$127,MATCH($C22,Input_ForRateCalc[Cost item],0),MATCH($F22,Inputs!$H$10:$Q$10,0)),"-")</f>
        <v>0.1883</v>
      </c>
      <c r="O22" s="68">
        <f>IFERROR(INDEX(Inputs!$H$11:$Q$127,MATCH($C22,Input_ForRateCalc[Cost item],0),MATCH($F22,Inputs!$H$10:$Q$10,0)),"-")</f>
        <v>0.1883</v>
      </c>
    </row>
    <row r="23" spans="3:15" hidden="1" x14ac:dyDescent="0.25">
      <c r="C23" s="24" t="s">
        <v>327</v>
      </c>
      <c r="D23" s="83" t="str">
        <f>INDEX(Input_DecisionActual[[Decision]:[Decision]],MATCH(Calc_TU_values!$D$5,Input_DecisionActual[[VDO period]:[VDO period]],0),1)</f>
        <v>VDO 2021 - Final</v>
      </c>
      <c r="E23" s="24" t="s">
        <v>525</v>
      </c>
      <c r="F23" s="83" t="str">
        <f>IF($D23="-","-",INDEX(Inputs!$H$10:$Q$10,1,MATCH($D23,Inputs!$H$8:$Q$8,0)))</f>
        <v>F-CurrentVDO_Input</v>
      </c>
      <c r="G23" s="59"/>
      <c r="H23" s="24" t="s">
        <v>139</v>
      </c>
      <c r="I23" s="24" t="s">
        <v>291</v>
      </c>
      <c r="J23" s="60" t="s">
        <v>119</v>
      </c>
      <c r="K23" s="65">
        <f>IFERROR(K21*K22/1000,"-")</f>
        <v>6.731725E-3</v>
      </c>
      <c r="L23" s="65">
        <f t="shared" ref="L23:O23" si="2">IFERROR(L21*L22/1000,"-")</f>
        <v>6.731725E-3</v>
      </c>
      <c r="M23" s="65">
        <f t="shared" si="2"/>
        <v>6.731725E-3</v>
      </c>
      <c r="N23" s="65">
        <f t="shared" si="2"/>
        <v>6.731725E-3</v>
      </c>
      <c r="O23" s="65">
        <f t="shared" si="2"/>
        <v>6.731725E-3</v>
      </c>
    </row>
    <row r="24" spans="3:15" hidden="1" x14ac:dyDescent="0.25">
      <c r="C24" s="24" t="s">
        <v>328</v>
      </c>
      <c r="D24" s="24"/>
      <c r="E24" s="24"/>
      <c r="F24" s="24"/>
      <c r="G24" s="24"/>
      <c r="H24" s="24" t="s">
        <v>139</v>
      </c>
      <c r="I24" s="24" t="s">
        <v>291</v>
      </c>
      <c r="J24" s="24" t="s">
        <v>119</v>
      </c>
      <c r="K24" s="131">
        <f>IFERROR(K20-K23,"-")</f>
        <v>-6.731725E-3</v>
      </c>
      <c r="L24" s="131">
        <f t="shared" ref="L24:O24" si="3">IFERROR(L20-L23,"-")</f>
        <v>-6.731725E-3</v>
      </c>
      <c r="M24" s="131">
        <f t="shared" si="3"/>
        <v>-6.731725E-3</v>
      </c>
      <c r="N24" s="131">
        <f t="shared" si="3"/>
        <v>-6.731725E-3</v>
      </c>
      <c r="O24" s="131">
        <f t="shared" si="3"/>
        <v>-6.731725E-3</v>
      </c>
    </row>
    <row r="25" spans="3:15" hidden="1" x14ac:dyDescent="0.25">
      <c r="C25" s="24" t="s">
        <v>329</v>
      </c>
      <c r="D25" s="83" t="str">
        <f>INDEX(Input_DecisionActual[[Decision]:[Decision]],MATCH(Calc_TU_values!$D$5,Input_DecisionActual[[VDO period]:[VDO period]],0),1)</f>
        <v>VDO 2021 - Final</v>
      </c>
      <c r="E25" s="24" t="s">
        <v>525</v>
      </c>
      <c r="F25" s="83" t="str">
        <f>IF($D25="-","-",INDEX(Inputs!$H$10:$Q$10,1,MATCH($D25,Inputs!$H$8:$Q$8,0)))</f>
        <v>F-CurrentVDO_Input</v>
      </c>
      <c r="G25" s="24"/>
      <c r="H25" s="24" t="s">
        <v>139</v>
      </c>
      <c r="I25" s="24" t="s">
        <v>291</v>
      </c>
      <c r="J25" s="24" t="s">
        <v>119</v>
      </c>
      <c r="K25" s="132">
        <f>IFERROR(K24*(INDEX(Inputs!$H$11:$Q$127,MATCH("Marginal loss factor - "&amp;K$15,Input_ForRateCalc[Cost item],0),MATCH($F25,Inputs!$H$10:$Q$10,0))*INDEX(Inputs!$H$11:$Q$127,MATCH("Distribution loss factor - "&amp;K$15,Input_ForRateCalc[Cost item],0),MATCH($F25,Inputs!$H$10:$Q$10,0))-1),"-")</f>
        <v>-4.5130993989331183E-4</v>
      </c>
      <c r="L25" s="132">
        <f>IFERROR(L24*(INDEX(Inputs!$H$11:$Q$127,MATCH("Marginal loss factor - "&amp;L$15,Input_ForRateCalc[Cost item],0),MATCH($F25,Inputs!$H$10:$Q$10,0))*INDEX(Inputs!$H$11:$Q$127,MATCH("Distribution loss factor - "&amp;L$15,Input_ForRateCalc[Cost item],0),MATCH($F25,Inputs!$H$10:$Q$10,0))-1),"-")</f>
        <v>-3.2715193263252462E-4</v>
      </c>
      <c r="M25" s="132">
        <f>IFERROR(M24*(INDEX(Inputs!$H$11:$Q$127,MATCH("Marginal loss factor - "&amp;M$15,Input_ForRateCalc[Cost item],0),MATCH($F25,Inputs!$H$10:$Q$10,0))*INDEX(Inputs!$H$11:$Q$127,MATCH("Distribution loss factor - "&amp;M$15,Input_ForRateCalc[Cost item],0),MATCH($F25,Inputs!$H$10:$Q$10,0))-1),"-")</f>
        <v>-2.534128855035571E-4</v>
      </c>
      <c r="N25" s="132">
        <f>IFERROR(N24*(INDEX(Inputs!$H$11:$Q$127,MATCH("Marginal loss factor - "&amp;N$15,Input_ForRateCalc[Cost item],0),MATCH($F25,Inputs!$H$10:$Q$10,0))*INDEX(Inputs!$H$11:$Q$127,MATCH("Distribution loss factor - "&amp;N$15,Input_ForRateCalc[Cost item],0),MATCH($F25,Inputs!$H$10:$Q$10,0))-1),"-")</f>
        <v>-4.7850348352056015E-4</v>
      </c>
      <c r="O25" s="132">
        <f>IFERROR(O24*(INDEX(Inputs!$H$11:$Q$127,MATCH("Marginal loss factor - "&amp;O$15,Input_ForRateCalc[Cost item],0),MATCH($F25,Inputs!$H$10:$Q$10,0))*INDEX(Inputs!$H$11:$Q$127,MATCH("Distribution loss factor - "&amp;O$15,Input_ForRateCalc[Cost item],0),MATCH($F25,Inputs!$H$10:$Q$10,0))-1),"-")</f>
        <v>-3.5289977099877605E-4</v>
      </c>
    </row>
    <row r="26" spans="3:15" hidden="1" x14ac:dyDescent="0.25">
      <c r="C26" s="24" t="s">
        <v>435</v>
      </c>
      <c r="D26" s="24"/>
      <c r="E26" s="24"/>
      <c r="F26" s="24"/>
      <c r="G26" s="24"/>
      <c r="H26" s="24" t="s">
        <v>139</v>
      </c>
      <c r="I26" s="24" t="s">
        <v>291</v>
      </c>
      <c r="J26" s="24" t="s">
        <v>119</v>
      </c>
      <c r="K26" s="132" t="str">
        <f>IF($D$11="Yes",SUM(K24:K25)*$D$12,"")</f>
        <v/>
      </c>
      <c r="L26" s="132" t="str">
        <f>IF($D$11="Yes",SUM(L24:L25)*$D$12,"")</f>
        <v/>
      </c>
      <c r="M26" s="132" t="str">
        <f>IF($D$11="Yes",SUM(M24:M25)*$D$12,"")</f>
        <v/>
      </c>
      <c r="N26" s="132" t="str">
        <f>IF($D$11="Yes",SUM(N24:N25)*$D$12,"")</f>
        <v/>
      </c>
      <c r="O26" s="132" t="str">
        <f>IF($D$11="Yes",SUM(O24:O25)*$D$12,"")</f>
        <v/>
      </c>
    </row>
    <row r="27" spans="3:15" hidden="1" x14ac:dyDescent="0.25">
      <c r="C27" s="24" t="s">
        <v>330</v>
      </c>
      <c r="D27" s="83" t="str">
        <f>INDEX(Input_DecisionActual[[Decision]:[Decision]],MATCH(Calc_TU_values!$D$5,Input_DecisionActual[[VDO period]:[VDO period]],0),1)</f>
        <v>VDO 2021 - Final</v>
      </c>
      <c r="E27" s="24" t="s">
        <v>525</v>
      </c>
      <c r="F27" s="83" t="str">
        <f>IF($D27="-","-",INDEX(Inputs!$H$10:$Q$10,1,MATCH($D27,Inputs!$H$8:$Q$8,0)))</f>
        <v>F-CurrentVDO_Input</v>
      </c>
      <c r="G27" s="24"/>
      <c r="H27" s="24" t="s">
        <v>139</v>
      </c>
      <c r="I27" s="24" t="s">
        <v>291</v>
      </c>
      <c r="J27" s="24" t="s">
        <v>119</v>
      </c>
      <c r="K27" s="132">
        <f>IFERROR(SUM(K24:K26)*(INDEX(Inputs!$H$11:$Q$127,MATCH("Retail operating margin",Input_ForRateCalc[Cost item],0),MATCH($F27,Inputs!$H$10:$Q$10,0))),"-")</f>
        <v>-4.3385531036955609E-4</v>
      </c>
      <c r="L27" s="132">
        <f>IFERROR(SUM(L24:L26)*(INDEX(Inputs!$H$11:$Q$127,MATCH("Retail operating margin",Input_ForRateCalc[Cost item],0),MATCH($F27,Inputs!$H$10:$Q$10,0))),"-")</f>
        <v>-4.2635616673100451E-4</v>
      </c>
      <c r="M27" s="132">
        <f>IFERROR(SUM(M24:M26)*(INDEX(Inputs!$H$11:$Q$127,MATCH("Retail operating margin",Input_ForRateCalc[Cost item],0),MATCH($F27,Inputs!$H$10:$Q$10,0))),"-")</f>
        <v>-4.2190232828441488E-4</v>
      </c>
      <c r="N27" s="132">
        <f>IFERROR(SUM(N24:N26)*(INDEX(Inputs!$H$11:$Q$127,MATCH("Retail operating margin",Input_ForRateCalc[Cost item],0),MATCH($F27,Inputs!$H$10:$Q$10,0))),"-")</f>
        <v>-4.3549780040464184E-4</v>
      </c>
      <c r="O27" s="132">
        <f>IFERROR(SUM(O24:O26)*(INDEX(Inputs!$H$11:$Q$127,MATCH("Retail operating margin",Input_ForRateCalc[Cost item],0),MATCH($F27,Inputs!$H$10:$Q$10,0))),"-")</f>
        <v>-4.2791133616832609E-4</v>
      </c>
    </row>
    <row r="28" spans="3:15" hidden="1" x14ac:dyDescent="0.25">
      <c r="C28" s="24" t="s">
        <v>436</v>
      </c>
      <c r="D28" s="24"/>
      <c r="E28" s="24"/>
      <c r="F28" s="24"/>
      <c r="G28" s="24"/>
      <c r="H28" s="24" t="s">
        <v>139</v>
      </c>
      <c r="I28" s="24" t="s">
        <v>291</v>
      </c>
      <c r="J28" s="24" t="s">
        <v>119</v>
      </c>
      <c r="K28" s="132">
        <f>SUM(K24:K27)*GST</f>
        <v>-7.6168902502628689E-4</v>
      </c>
      <c r="L28" s="132">
        <f>SUM(L24:L27)*GST</f>
        <v>-7.4852330993635291E-4</v>
      </c>
      <c r="M28" s="132">
        <f>SUM(M24:M27)*GST</f>
        <v>-7.4070402137879719E-4</v>
      </c>
      <c r="N28" s="132">
        <f>SUM(N24:N27)*GST</f>
        <v>-7.6457262839252024E-4</v>
      </c>
      <c r="O28" s="132">
        <f>SUM(O24:O27)*GST</f>
        <v>-7.5125361071671029E-4</v>
      </c>
    </row>
    <row r="29" spans="3:15" hidden="1" x14ac:dyDescent="0.25">
      <c r="C29" s="60" t="s">
        <v>331</v>
      </c>
      <c r="D29" s="60"/>
      <c r="E29" s="60"/>
      <c r="F29" s="60"/>
      <c r="H29" s="60" t="s">
        <v>139</v>
      </c>
      <c r="I29" s="60" t="s">
        <v>291</v>
      </c>
      <c r="J29" s="60" t="s">
        <v>119</v>
      </c>
      <c r="K29" s="132">
        <f>SUM(K24:K28)</f>
        <v>-8.3785792752891549E-3</v>
      </c>
      <c r="L29" s="132">
        <f>SUM(L24:L28)</f>
        <v>-8.2337564092998822E-3</v>
      </c>
      <c r="M29" s="132">
        <f>SUM(M24:M28)</f>
        <v>-8.1477442351667699E-3</v>
      </c>
      <c r="N29" s="132">
        <f>SUM(N24:N28)</f>
        <v>-8.4102989123177232E-3</v>
      </c>
      <c r="O29" s="132">
        <f>SUM(O24:O28)</f>
        <v>-8.2637897178838137E-3</v>
      </c>
    </row>
    <row r="30" spans="3:15" hidden="1" x14ac:dyDescent="0.25">
      <c r="C30" s="24"/>
      <c r="D30" s="24"/>
      <c r="E30" s="24"/>
      <c r="F30" s="24"/>
      <c r="G30" s="24"/>
      <c r="H30" s="24"/>
      <c r="I30" s="24"/>
      <c r="J30" s="24"/>
      <c r="K30" s="132"/>
      <c r="L30" s="132"/>
      <c r="M30" s="132"/>
      <c r="N30" s="132"/>
      <c r="O30" s="132"/>
    </row>
    <row r="31" spans="3:15" hidden="1" x14ac:dyDescent="0.25">
      <c r="C31" s="58" t="s">
        <v>332</v>
      </c>
      <c r="D31" s="58"/>
      <c r="E31" s="58"/>
      <c r="F31" s="58"/>
      <c r="G31" s="69" t="s">
        <v>326</v>
      </c>
      <c r="H31" s="69"/>
      <c r="I31" s="24"/>
      <c r="J31" s="24"/>
      <c r="K31" s="24"/>
      <c r="L31" s="24"/>
      <c r="M31" s="24"/>
      <c r="N31" s="24"/>
      <c r="O31" s="24"/>
    </row>
    <row r="32" spans="3:15" hidden="1" x14ac:dyDescent="0.25">
      <c r="C32" s="24" t="s">
        <v>164</v>
      </c>
      <c r="D32" s="83" t="str">
        <f>Calc_TU_values!$D$5</f>
        <v>VDO 2021 - Variation final</v>
      </c>
      <c r="E32" s="24" t="s">
        <v>524</v>
      </c>
      <c r="F32" s="83" t="str">
        <f>INDEX(Inputs!$H$10:$Q$10,1,MATCH($D32,Inputs!$H$8:$Q$8,0))</f>
        <v>VF-CurrentVDO_Input</v>
      </c>
      <c r="G32" s="59"/>
      <c r="H32" s="24" t="s">
        <v>139</v>
      </c>
      <c r="I32" s="24" t="s">
        <v>162</v>
      </c>
      <c r="J32" s="60" t="s">
        <v>119</v>
      </c>
      <c r="K32" s="66">
        <f>IFERROR(INDEX(Input_TUEnv_Actual[],MATCH($C32,Input_TUEnv_Actual[Cost item],0),MATCH($F32,Input_TUEnv_Actual[#Headers],0)),"-")</f>
        <v>0</v>
      </c>
      <c r="L32" s="66">
        <f>IFERROR(INDEX(Input_TUEnv_Actual[],MATCH($C32,Input_TUEnv_Actual[Cost item],0),MATCH($F32,Input_TUEnv_Actual[#Headers],0)),"-")</f>
        <v>0</v>
      </c>
      <c r="M32" s="66">
        <f>IFERROR(INDEX(Input_TUEnv_Actual[],MATCH($C32,Input_TUEnv_Actual[Cost item],0),MATCH($F32,Input_TUEnv_Actual[#Headers],0)),"-")</f>
        <v>0</v>
      </c>
      <c r="N32" s="66">
        <f>IFERROR(INDEX(Input_TUEnv_Actual[],MATCH($C32,Input_TUEnv_Actual[Cost item],0),MATCH($F32,Input_TUEnv_Actual[#Headers],0)),"-")</f>
        <v>0</v>
      </c>
      <c r="O32" s="66">
        <f>IFERROR(INDEX(Input_TUEnv_Actual[],MATCH($C32,Input_TUEnv_Actual[Cost item],0),MATCH($F32,Input_TUEnv_Actual[#Headers],0)),"-")</f>
        <v>0</v>
      </c>
    </row>
    <row r="33" spans="3:15" hidden="1" x14ac:dyDescent="0.25">
      <c r="C33" s="60" t="s">
        <v>168</v>
      </c>
      <c r="D33" s="83" t="str">
        <f>Calc_TU_values!$D$5</f>
        <v>VDO 2021 - Variation final</v>
      </c>
      <c r="E33" s="24" t="s">
        <v>524</v>
      </c>
      <c r="F33" s="83" t="str">
        <f>INDEX(Inputs!$H$10:$Q$10,1,MATCH($D33,Inputs!$H$8:$Q$8,0))</f>
        <v>VF-CurrentVDO_Input</v>
      </c>
      <c r="G33" s="59"/>
      <c r="H33" s="24" t="s">
        <v>139</v>
      </c>
      <c r="I33" s="24" t="s">
        <v>166</v>
      </c>
      <c r="J33" s="60" t="s">
        <v>119</v>
      </c>
      <c r="K33" s="68">
        <f>IFERROR(INDEX(Input_TUEnv_Actual[],MATCH($C33,Input_TUEnv_Actual[Cost item],0),MATCH($F33,Input_TUEnv_Actual[#Headers],0)),"-")</f>
        <v>0</v>
      </c>
      <c r="L33" s="68">
        <f>IFERROR(INDEX(Input_TUEnv_Actual[],MATCH($C33,Input_TUEnv_Actual[Cost item],0),MATCH($F33,Input_TUEnv_Actual[#Headers],0)),"-")</f>
        <v>0</v>
      </c>
      <c r="M33" s="68">
        <f>IFERROR(INDEX(Input_TUEnv_Actual[],MATCH($C33,Input_TUEnv_Actual[Cost item],0),MATCH($F33,Input_TUEnv_Actual[#Headers],0)),"-")</f>
        <v>0</v>
      </c>
      <c r="N33" s="68">
        <f>IFERROR(INDEX(Input_TUEnv_Actual[],MATCH($C33,Input_TUEnv_Actual[Cost item],0),MATCH($F33,Input_TUEnv_Actual[#Headers],0)),"-")</f>
        <v>0</v>
      </c>
      <c r="O33" s="68">
        <f>IFERROR(INDEX(Input_TUEnv_Actual[],MATCH($C33,Input_TUEnv_Actual[Cost item],0),MATCH($F33,Input_TUEnv_Actual[#Headers],0)),"-")</f>
        <v>0</v>
      </c>
    </row>
    <row r="34" spans="3:15" hidden="1" x14ac:dyDescent="0.25">
      <c r="C34" s="24" t="s">
        <v>327</v>
      </c>
      <c r="D34" s="83" t="str">
        <f>Calc_TU_values!$D$5</f>
        <v>VDO 2021 - Variation final</v>
      </c>
      <c r="E34" s="24" t="s">
        <v>524</v>
      </c>
      <c r="F34" s="83" t="str">
        <f>INDEX(Inputs!$H$10:$Q$10,1,MATCH($D34,Inputs!$H$8:$Q$8,0))</f>
        <v>VF-CurrentVDO_Input</v>
      </c>
      <c r="G34" s="59"/>
      <c r="H34" s="24" t="s">
        <v>139</v>
      </c>
      <c r="I34" s="24" t="s">
        <v>291</v>
      </c>
      <c r="J34" s="60" t="s">
        <v>119</v>
      </c>
      <c r="K34" s="65">
        <f>K32*K33/1000</f>
        <v>0</v>
      </c>
      <c r="L34" s="65">
        <f t="shared" ref="L34" si="4">L32*L33/1000</f>
        <v>0</v>
      </c>
      <c r="M34" s="65">
        <f t="shared" ref="M34" si="5">M32*M33/1000</f>
        <v>0</v>
      </c>
      <c r="N34" s="65">
        <f t="shared" ref="N34" si="6">N32*N33/1000</f>
        <v>0</v>
      </c>
      <c r="O34" s="65">
        <f t="shared" ref="O34" si="7">O32*O33/1000</f>
        <v>0</v>
      </c>
    </row>
    <row r="35" spans="3:15" hidden="1" x14ac:dyDescent="0.25">
      <c r="C35" s="24" t="s">
        <v>164</v>
      </c>
      <c r="D35" s="83" t="str">
        <f>INDEX(Input_DecisionActual[[Decision]:[Decision]],MATCH(Calc_TU_values!$D$5,Input_DecisionActual[[VDO period]:[VDO period]],0),1)</f>
        <v>VDO 2021 - Final</v>
      </c>
      <c r="E35" s="24" t="s">
        <v>525</v>
      </c>
      <c r="F35" s="83" t="str">
        <f>IF($D35="-","-",INDEX(Inputs!$H$10:$Q$10,1,MATCH($D35,Inputs!$H$8:$Q$8,0)))</f>
        <v>F-CurrentVDO_Input</v>
      </c>
      <c r="G35" s="59"/>
      <c r="H35" s="24" t="s">
        <v>139</v>
      </c>
      <c r="I35" s="24" t="s">
        <v>162</v>
      </c>
      <c r="J35" s="60" t="s">
        <v>119</v>
      </c>
      <c r="K35" s="67">
        <f>IFERROR(INDEX(Inputs!$H$11:$Q$127,MATCH($C35,Input_ForRateCalc[Cost item],0),MATCH($F35,Inputs!$H$10:$Q$10,0)),"-")</f>
        <v>40</v>
      </c>
      <c r="L35" s="67">
        <f>IFERROR(INDEX(Inputs!$H$11:$Q$127,MATCH($C35,Input_ForRateCalc[Cost item],0),MATCH($F35,Inputs!$H$10:$Q$10,0)),"-")</f>
        <v>40</v>
      </c>
      <c r="M35" s="67">
        <f>IFERROR(INDEX(Inputs!$H$11:$Q$127,MATCH($C35,Input_ForRateCalc[Cost item],0),MATCH($F35,Inputs!$H$10:$Q$10,0)),"-")</f>
        <v>40</v>
      </c>
      <c r="N35" s="67">
        <f>IFERROR(INDEX(Inputs!$H$11:$Q$127,MATCH($C35,Input_ForRateCalc[Cost item],0),MATCH($F35,Inputs!$H$10:$Q$10,0)),"-")</f>
        <v>40</v>
      </c>
      <c r="O35" s="67">
        <f>IFERROR(INDEX(Inputs!$H$11:$Q$127,MATCH($C35,Input_ForRateCalc[Cost item],0),MATCH($F35,Inputs!$H$10:$Q$10,0)),"-")</f>
        <v>40</v>
      </c>
    </row>
    <row r="36" spans="3:15" hidden="1" x14ac:dyDescent="0.25">
      <c r="C36" s="60" t="s">
        <v>168</v>
      </c>
      <c r="D36" s="83" t="str">
        <f>INDEX(Input_DecisionActual[[Decision]:[Decision]],MATCH(Calc_TU_values!$D$5,Input_DecisionActual[[VDO period]:[VDO period]],0),1)</f>
        <v>VDO 2021 - Final</v>
      </c>
      <c r="E36" s="24" t="s">
        <v>525</v>
      </c>
      <c r="F36" s="83" t="str">
        <f>IF($D36="-","-",INDEX(Inputs!$H$10:$Q$10,1,MATCH($D36,Inputs!$H$8:$Q$8,0)))</f>
        <v>F-CurrentVDO_Input</v>
      </c>
      <c r="G36" s="59"/>
      <c r="H36" s="24" t="s">
        <v>139</v>
      </c>
      <c r="I36" s="24" t="s">
        <v>166</v>
      </c>
      <c r="J36" s="60" t="s">
        <v>119</v>
      </c>
      <c r="K36" s="68">
        <f>IFERROR(INDEX(Inputs!$H$11:$Q$127,MATCH($C36,Input_ForRateCalc[Cost item],0),MATCH($F36,Inputs!$H$10:$Q$10,0)),"-")</f>
        <v>0.219</v>
      </c>
      <c r="L36" s="68">
        <f>IFERROR(INDEX(Inputs!$H$11:$Q$127,MATCH($C36,Input_ForRateCalc[Cost item],0),MATCH($F36,Inputs!$H$10:$Q$10,0)),"-")</f>
        <v>0.219</v>
      </c>
      <c r="M36" s="68">
        <f>IFERROR(INDEX(Inputs!$H$11:$Q$127,MATCH($C36,Input_ForRateCalc[Cost item],0),MATCH($F36,Inputs!$H$10:$Q$10,0)),"-")</f>
        <v>0.219</v>
      </c>
      <c r="N36" s="68">
        <f>IFERROR(INDEX(Inputs!$H$11:$Q$127,MATCH($C36,Input_ForRateCalc[Cost item],0),MATCH($F36,Inputs!$H$10:$Q$10,0)),"-")</f>
        <v>0.219</v>
      </c>
      <c r="O36" s="68">
        <f>IFERROR(INDEX(Inputs!$H$11:$Q$127,MATCH($C36,Input_ForRateCalc[Cost item],0),MATCH($F36,Inputs!$H$10:$Q$10,0)),"-")</f>
        <v>0.219</v>
      </c>
    </row>
    <row r="37" spans="3:15" hidden="1" x14ac:dyDescent="0.25">
      <c r="C37" s="24" t="s">
        <v>327</v>
      </c>
      <c r="D37" s="83" t="str">
        <f>INDEX(Input_DecisionActual[[Decision]:[Decision]],MATCH(Calc_TU_values!$D$5,Input_DecisionActual[[VDO period]:[VDO period]],0),1)</f>
        <v>VDO 2021 - Final</v>
      </c>
      <c r="E37" s="24" t="s">
        <v>525</v>
      </c>
      <c r="F37" s="83" t="str">
        <f>IF($D37="-","-",INDEX(Inputs!$H$10:$Q$10,1,MATCH($D37,Inputs!$H$8:$Q$8,0)))</f>
        <v>F-CurrentVDO_Input</v>
      </c>
      <c r="G37" s="59"/>
      <c r="H37" s="24" t="s">
        <v>139</v>
      </c>
      <c r="I37" s="24" t="s">
        <v>291</v>
      </c>
      <c r="J37" s="60" t="s">
        <v>119</v>
      </c>
      <c r="K37" s="65">
        <f>IFERROR(K35*K36/1000,"-")</f>
        <v>8.7600000000000004E-3</v>
      </c>
      <c r="L37" s="65">
        <f t="shared" ref="L37" si="8">IFERROR(L35*L36/1000,"-")</f>
        <v>8.7600000000000004E-3</v>
      </c>
      <c r="M37" s="65">
        <f t="shared" ref="M37" si="9">IFERROR(M35*M36/1000,"-")</f>
        <v>8.7600000000000004E-3</v>
      </c>
      <c r="N37" s="65">
        <f t="shared" ref="N37" si="10">IFERROR(N35*N36/1000,"-")</f>
        <v>8.7600000000000004E-3</v>
      </c>
      <c r="O37" s="65">
        <f t="shared" ref="O37" si="11">IFERROR(O35*O36/1000,"-")</f>
        <v>8.7600000000000004E-3</v>
      </c>
    </row>
    <row r="38" spans="3:15" hidden="1" x14ac:dyDescent="0.25">
      <c r="C38" s="24" t="s">
        <v>328</v>
      </c>
      <c r="D38" s="24"/>
      <c r="E38" s="24"/>
      <c r="F38" s="24"/>
      <c r="G38" s="24"/>
      <c r="H38" s="24" t="s">
        <v>139</v>
      </c>
      <c r="I38" s="24" t="s">
        <v>291</v>
      </c>
      <c r="J38" s="24" t="s">
        <v>119</v>
      </c>
      <c r="K38" s="131">
        <f>IFERROR(K34-K37,"-")</f>
        <v>-8.7600000000000004E-3</v>
      </c>
      <c r="L38" s="131">
        <f t="shared" ref="L38" si="12">IFERROR(L34-L37,"-")</f>
        <v>-8.7600000000000004E-3</v>
      </c>
      <c r="M38" s="131">
        <f t="shared" ref="M38" si="13">IFERROR(M34-M37,"-")</f>
        <v>-8.7600000000000004E-3</v>
      </c>
      <c r="N38" s="131">
        <f t="shared" ref="N38" si="14">IFERROR(N34-N37,"-")</f>
        <v>-8.7600000000000004E-3</v>
      </c>
      <c r="O38" s="131">
        <f t="shared" ref="O38" si="15">IFERROR(O34-O37,"-")</f>
        <v>-8.7600000000000004E-3</v>
      </c>
    </row>
    <row r="39" spans="3:15" hidden="1" x14ac:dyDescent="0.25">
      <c r="C39" s="24" t="s">
        <v>329</v>
      </c>
      <c r="D39" s="83" t="str">
        <f>INDEX(Input_DecisionActual[[Decision]:[Decision]],MATCH(Calc_TU_values!$D$5,Input_DecisionActual[[VDO period]:[VDO period]],0),1)</f>
        <v>VDO 2021 - Final</v>
      </c>
      <c r="E39" s="24" t="s">
        <v>525</v>
      </c>
      <c r="F39" s="83" t="str">
        <f>IF($D39="-","-",INDEX(Inputs!$H$10:$Q$10,1,MATCH($D39,Inputs!$H$8:$Q$8,0)))</f>
        <v>F-CurrentVDO_Input</v>
      </c>
      <c r="G39" s="24"/>
      <c r="H39" s="24" t="s">
        <v>139</v>
      </c>
      <c r="I39" s="24" t="s">
        <v>291</v>
      </c>
      <c r="J39" s="24" t="s">
        <v>119</v>
      </c>
      <c r="K39" s="132">
        <f>IFERROR(K38*(INDEX(Inputs!$H$11:$Q$127,MATCH("Marginal loss factor - "&amp;K$15,Input_ForRateCalc[Cost item],0),MATCH($F39,Inputs!$H$10:$Q$10,0))*INDEX(Inputs!$H$11:$Q$127,MATCH("Distribution loss factor - "&amp;K$15,Input_ForRateCalc[Cost item],0),MATCH($F39,Inputs!$H$10:$Q$10,0))-1),"-")</f>
        <v>-5.8729004429999919E-4</v>
      </c>
      <c r="L39" s="132">
        <f>IFERROR(L38*(INDEX(Inputs!$H$11:$Q$127,MATCH("Marginal loss factor - "&amp;L$15,Input_ForRateCalc[Cost item],0),MATCH($F39,Inputs!$H$10:$Q$10,0))*INDEX(Inputs!$H$11:$Q$127,MATCH("Distribution loss factor - "&amp;L$15,Input_ForRateCalc[Cost item],0),MATCH($F39,Inputs!$H$10:$Q$10,0))-1),"-")</f>
        <v>-4.2572311403999953E-4</v>
      </c>
      <c r="M39" s="132">
        <f>IFERROR(M38*(INDEX(Inputs!$H$11:$Q$127,MATCH("Marginal loss factor - "&amp;M$15,Input_ForRateCalc[Cost item],0),MATCH($F39,Inputs!$H$10:$Q$10,0))*INDEX(Inputs!$H$11:$Q$127,MATCH("Distribution loss factor - "&amp;M$15,Input_ForRateCalc[Cost item],0),MATCH($F39,Inputs!$H$10:$Q$10,0))-1),"-")</f>
        <v>-3.2976642346666869E-4</v>
      </c>
      <c r="N39" s="132">
        <f>IFERROR(N38*(INDEX(Inputs!$H$11:$Q$127,MATCH("Marginal loss factor - "&amp;N$15,Input_ForRateCalc[Cost item],0),MATCH($F39,Inputs!$H$10:$Q$10,0))*INDEX(Inputs!$H$11:$Q$127,MATCH("Distribution loss factor - "&amp;N$15,Input_ForRateCalc[Cost item],0),MATCH($F39,Inputs!$H$10:$Q$10,0))-1),"-")</f>
        <v>-6.2267702789999696E-4</v>
      </c>
      <c r="O39" s="132">
        <f>IFERROR(O38*(INDEX(Inputs!$H$11:$Q$127,MATCH("Marginal loss factor - "&amp;O$15,Input_ForRateCalc[Cost item],0),MATCH($F39,Inputs!$H$10:$Q$10,0))*INDEX(Inputs!$H$11:$Q$127,MATCH("Distribution loss factor - "&amp;O$15,Input_ForRateCalc[Cost item],0),MATCH($F39,Inputs!$H$10:$Q$10,0))-1),"-")</f>
        <v>-4.5922880004000143E-4</v>
      </c>
    </row>
    <row r="40" spans="3:15" hidden="1" x14ac:dyDescent="0.25">
      <c r="C40" s="24" t="s">
        <v>435</v>
      </c>
      <c r="D40" s="24"/>
      <c r="E40" s="24"/>
      <c r="F40" s="24"/>
      <c r="G40" s="24"/>
      <c r="H40" s="24" t="s">
        <v>139</v>
      </c>
      <c r="I40" s="24" t="s">
        <v>291</v>
      </c>
      <c r="J40" s="24" t="s">
        <v>119</v>
      </c>
      <c r="K40" s="132" t="str">
        <f>IF($D$11="Yes",SUM(K38:K39)*$D$12,"")</f>
        <v/>
      </c>
      <c r="L40" s="132" t="str">
        <f>IF($D$11="Yes",SUM(L38:L39)*$D$12,"")</f>
        <v/>
      </c>
      <c r="M40" s="132" t="str">
        <f>IF($D$11="Yes",SUM(M38:M39)*$D$12,"")</f>
        <v/>
      </c>
      <c r="N40" s="132" t="str">
        <f>IF($D$11="Yes",SUM(N38:N39)*$D$12,"")</f>
        <v/>
      </c>
      <c r="O40" s="132" t="str">
        <f>IF($D$11="Yes",SUM(O38:O39)*$D$12,"")</f>
        <v/>
      </c>
    </row>
    <row r="41" spans="3:15" hidden="1" x14ac:dyDescent="0.25">
      <c r="C41" s="24" t="s">
        <v>330</v>
      </c>
      <c r="D41" s="83" t="str">
        <f>INDEX(Input_DecisionActual[[Decision]:[Decision]],MATCH(Calc_TU_values!$D$5,Input_DecisionActual[[VDO period]:[VDO period]],0),1)</f>
        <v>VDO 2021 - Final</v>
      </c>
      <c r="E41" s="24" t="s">
        <v>525</v>
      </c>
      <c r="F41" s="83" t="str">
        <f>IF($D41="-","-",INDEX(Inputs!$H$10:$Q$10,1,MATCH($D41,Inputs!$H$8:$Q$8,0)))</f>
        <v>F-CurrentVDO_Input</v>
      </c>
      <c r="G41" s="24"/>
      <c r="H41" s="24" t="s">
        <v>139</v>
      </c>
      <c r="I41" s="24" t="s">
        <v>291</v>
      </c>
      <c r="J41" s="24" t="s">
        <v>119</v>
      </c>
      <c r="K41" s="132">
        <f>IFERROR(SUM(K38:K40)*(INDEX(Inputs!$H$11:$Q$127,MATCH("Retail operating margin",Input_ForRateCalc[Cost item],0),MATCH($F41,Inputs!$H$10:$Q$10,0))),"-")</f>
        <v>-5.6457631867571994E-4</v>
      </c>
      <c r="L41" s="132">
        <f>IFERROR(SUM(L38:L40)*(INDEX(Inputs!$H$11:$Q$127,MATCH("Retail operating margin",Input_ForRateCalc[Cost item],0),MATCH($F41,Inputs!$H$10:$Q$10,0))),"-")</f>
        <v>-5.5481767608801596E-4</v>
      </c>
      <c r="M41" s="132">
        <f>IFERROR(SUM(M38:M40)*(INDEX(Inputs!$H$11:$Q$127,MATCH("Retail operating margin",Input_ForRateCalc[Cost item],0),MATCH($F41,Inputs!$H$10:$Q$10,0))),"-")</f>
        <v>-5.4902189197738682E-4</v>
      </c>
      <c r="N41" s="132">
        <f>IFERROR(SUM(N38:N40)*(INDEX(Inputs!$H$11:$Q$127,MATCH("Retail operating margin",Input_ForRateCalc[Cost item],0),MATCH($F41,Inputs!$H$10:$Q$10,0))),"-")</f>
        <v>-5.6671369248515987E-4</v>
      </c>
      <c r="O41" s="132">
        <f>IFERROR(SUM(O38:O40)*(INDEX(Inputs!$H$11:$Q$127,MATCH("Retail operating margin",Input_ForRateCalc[Cost item],0),MATCH($F41,Inputs!$H$10:$Q$10,0))),"-")</f>
        <v>-5.5684141952241613E-4</v>
      </c>
    </row>
    <row r="42" spans="3:15" hidden="1" x14ac:dyDescent="0.25">
      <c r="C42" s="24" t="s">
        <v>436</v>
      </c>
      <c r="D42" s="24"/>
      <c r="E42" s="24"/>
      <c r="F42" s="24"/>
      <c r="G42" s="24"/>
      <c r="H42" s="24" t="s">
        <v>139</v>
      </c>
      <c r="I42" s="24" t="s">
        <v>291</v>
      </c>
      <c r="J42" s="24" t="s">
        <v>119</v>
      </c>
      <c r="K42" s="132">
        <f>SUM(K38:K41)*GST</f>
        <v>-9.9118663629757194E-4</v>
      </c>
      <c r="L42" s="132">
        <f>SUM(L38:L41)*GST</f>
        <v>-9.7405407901280164E-4</v>
      </c>
      <c r="M42" s="132">
        <f>SUM(M38:M41)*GST</f>
        <v>-9.6387883154440553E-4</v>
      </c>
      <c r="N42" s="132">
        <f>SUM(N38:N41)*GST</f>
        <v>-9.949390720385158E-4</v>
      </c>
      <c r="O42" s="132">
        <f>SUM(O38:O41)*GST</f>
        <v>-9.7760702195624186E-4</v>
      </c>
    </row>
    <row r="43" spans="3:15" hidden="1" x14ac:dyDescent="0.25">
      <c r="C43" s="60" t="s">
        <v>333</v>
      </c>
      <c r="D43" s="60"/>
      <c r="E43" s="60"/>
      <c r="F43" s="60"/>
      <c r="H43" s="60" t="s">
        <v>139</v>
      </c>
      <c r="I43" s="60" t="s">
        <v>291</v>
      </c>
      <c r="J43" s="60" t="s">
        <v>119</v>
      </c>
      <c r="K43" s="132">
        <f>SUM(K38:K42)</f>
        <v>-1.0903052999273291E-2</v>
      </c>
      <c r="L43" s="132">
        <f>SUM(L38:L42)</f>
        <v>-1.0714594869140818E-2</v>
      </c>
      <c r="M43" s="132">
        <f>SUM(M38:M42)</f>
        <v>-1.0602667146988461E-2</v>
      </c>
      <c r="N43" s="132">
        <f>SUM(N38:N42)</f>
        <v>-1.0944329792423673E-2</v>
      </c>
      <c r="O43" s="132">
        <f>SUM(O38:O42)</f>
        <v>-1.0753677241518661E-2</v>
      </c>
    </row>
    <row r="44" spans="3:15" hidden="1" x14ac:dyDescent="0.25">
      <c r="C44" s="128"/>
      <c r="D44" s="128"/>
      <c r="E44" s="128"/>
      <c r="F44" s="128"/>
      <c r="G44" s="128"/>
      <c r="H44" s="128"/>
      <c r="I44" s="128"/>
      <c r="J44" s="128"/>
      <c r="K44" s="139"/>
      <c r="L44" s="139"/>
      <c r="M44" s="139"/>
      <c r="N44" s="139"/>
      <c r="O44" s="139"/>
    </row>
    <row r="45" spans="3:15" hidden="1" x14ac:dyDescent="0.25">
      <c r="C45" s="58" t="s">
        <v>334</v>
      </c>
      <c r="D45" s="58"/>
      <c r="E45" s="58"/>
      <c r="F45" s="58"/>
      <c r="G45" s="69" t="s">
        <v>326</v>
      </c>
      <c r="H45" s="69"/>
      <c r="I45" s="24"/>
      <c r="J45" s="24"/>
      <c r="K45" s="24"/>
      <c r="L45" s="24"/>
      <c r="M45" s="24"/>
      <c r="N45" s="24"/>
      <c r="O45" s="24"/>
    </row>
    <row r="46" spans="3:15" hidden="1" x14ac:dyDescent="0.25">
      <c r="C46" s="24" t="s">
        <v>161</v>
      </c>
      <c r="D46" s="83" t="str">
        <f>Calc_TU_values!$D$5</f>
        <v>VDO 2021 - Variation final</v>
      </c>
      <c r="E46" s="24" t="s">
        <v>524</v>
      </c>
      <c r="F46" s="83" t="str">
        <f>INDEX(Inputs!$H$10:$Q$10,1,MATCH($D46,Inputs!$H$8:$Q$8,0))</f>
        <v>VF-CurrentVDO_Input</v>
      </c>
      <c r="G46" s="59"/>
      <c r="H46" s="24" t="s">
        <v>139</v>
      </c>
      <c r="I46" s="24" t="s">
        <v>162</v>
      </c>
      <c r="J46" s="60" t="s">
        <v>119</v>
      </c>
      <c r="K46" s="66">
        <f>IFERROR(INDEX(Input_TUEnv_Actual[],MATCH($C46,Input_TUEnv_Actual[Cost item],0),MATCH($F46,Input_TUEnv_Actual[#Headers],0)),"-")</f>
        <v>0</v>
      </c>
      <c r="L46" s="66">
        <f>IFERROR(INDEX(Input_TUEnv_Actual[],MATCH($C46,Input_TUEnv_Actual[Cost item],0),MATCH($F46,Input_TUEnv_Actual[#Headers],0)),"-")</f>
        <v>0</v>
      </c>
      <c r="M46" s="66">
        <f>IFERROR(INDEX(Input_TUEnv_Actual[],MATCH($C46,Input_TUEnv_Actual[Cost item],0),MATCH($F46,Input_TUEnv_Actual[#Headers],0)),"-")</f>
        <v>0</v>
      </c>
      <c r="N46" s="66">
        <f>IFERROR(INDEX(Input_TUEnv_Actual[],MATCH($C46,Input_TUEnv_Actual[Cost item],0),MATCH($F46,Input_TUEnv_Actual[#Headers],0)),"-")</f>
        <v>0</v>
      </c>
      <c r="O46" s="66">
        <f>IFERROR(INDEX(Input_TUEnv_Actual[],MATCH($C46,Input_TUEnv_Actual[Cost item],0),MATCH($F46,Input_TUEnv_Actual[#Headers],0)),"-")</f>
        <v>0</v>
      </c>
    </row>
    <row r="47" spans="3:15" hidden="1" x14ac:dyDescent="0.25">
      <c r="C47" s="24" t="s">
        <v>165</v>
      </c>
      <c r="D47" s="83" t="str">
        <f>Calc_TU_values!$D$5</f>
        <v>VDO 2021 - Variation final</v>
      </c>
      <c r="E47" s="24" t="s">
        <v>524</v>
      </c>
      <c r="F47" s="83" t="str">
        <f>INDEX(Inputs!$H$10:$Q$10,1,MATCH($D47,Inputs!$H$8:$Q$8,0))</f>
        <v>VF-CurrentVDO_Input</v>
      </c>
      <c r="G47" s="59"/>
      <c r="H47" s="24" t="s">
        <v>139</v>
      </c>
      <c r="I47" s="24" t="s">
        <v>166</v>
      </c>
      <c r="J47" s="60" t="s">
        <v>119</v>
      </c>
      <c r="K47" s="68">
        <f>IFERROR(INDEX(Input_TUEnv_Actual[],MATCH($C47,Input_TUEnv_Actual[Cost item],0),MATCH($F47,Input_TUEnv_Actual[#Headers],0)),"-")</f>
        <v>0</v>
      </c>
      <c r="L47" s="68">
        <f>IFERROR(INDEX(Input_TUEnv_Actual[],MATCH($C47,Input_TUEnv_Actual[Cost item],0),MATCH($F47,Input_TUEnv_Actual[#Headers],0)),"-")</f>
        <v>0</v>
      </c>
      <c r="M47" s="68">
        <f>IFERROR(INDEX(Input_TUEnv_Actual[],MATCH($C47,Input_TUEnv_Actual[Cost item],0),MATCH($F47,Input_TUEnv_Actual[#Headers],0)),"-")</f>
        <v>0</v>
      </c>
      <c r="N47" s="68">
        <f>IFERROR(INDEX(Input_TUEnv_Actual[],MATCH($C47,Input_TUEnv_Actual[Cost item],0),MATCH($F47,Input_TUEnv_Actual[#Headers],0)),"-")</f>
        <v>0</v>
      </c>
      <c r="O47" s="68">
        <f>IFERROR(INDEX(Input_TUEnv_Actual[],MATCH($C47,Input_TUEnv_Actual[Cost item],0),MATCH($F47,Input_TUEnv_Actual[#Headers],0)),"-")</f>
        <v>0</v>
      </c>
    </row>
    <row r="48" spans="3:15" hidden="1" x14ac:dyDescent="0.25">
      <c r="C48" s="24" t="s">
        <v>327</v>
      </c>
      <c r="D48" s="83" t="str">
        <f>Calc_TU_values!$D$5</f>
        <v>VDO 2021 - Variation final</v>
      </c>
      <c r="E48" s="24" t="s">
        <v>524</v>
      </c>
      <c r="F48" s="83" t="str">
        <f>INDEX(Inputs!$H$10:$Q$10,1,MATCH($D48,Inputs!$H$8:$Q$8,0))</f>
        <v>VF-CurrentVDO_Input</v>
      </c>
      <c r="G48" s="59"/>
      <c r="H48" s="24" t="s">
        <v>139</v>
      </c>
      <c r="I48" s="24" t="s">
        <v>291</v>
      </c>
      <c r="J48" s="60" t="s">
        <v>119</v>
      </c>
      <c r="K48" s="65">
        <f>K46*K47/1000</f>
        <v>0</v>
      </c>
      <c r="L48" s="65">
        <f t="shared" ref="L48" si="16">L46*L47/1000</f>
        <v>0</v>
      </c>
      <c r="M48" s="65">
        <f t="shared" ref="M48" si="17">M46*M47/1000</f>
        <v>0</v>
      </c>
      <c r="N48" s="65">
        <f t="shared" ref="N48" si="18">N46*N47/1000</f>
        <v>0</v>
      </c>
      <c r="O48" s="65">
        <f t="shared" ref="O48" si="19">O46*O47/1000</f>
        <v>0</v>
      </c>
    </row>
    <row r="49" spans="2:17" hidden="1" x14ac:dyDescent="0.25">
      <c r="C49" s="24" t="s">
        <v>161</v>
      </c>
      <c r="D49" s="83" t="str">
        <f>INDEX(Input_DecisionActual[[Decision]:[Decision]],MATCH(Calc_TU_values!$D$5,Input_DecisionActual[[VDO period]:[VDO period]],0),1)</f>
        <v>VDO 2021 - Final</v>
      </c>
      <c r="E49" s="24" t="s">
        <v>525</v>
      </c>
      <c r="F49" s="83" t="str">
        <f>IF($D49="-","-",INDEX(Inputs!$H$10:$Q$10,1,MATCH($D49,Inputs!$H$8:$Q$8,0)))</f>
        <v>F-CurrentVDO_Input</v>
      </c>
      <c r="G49" s="59"/>
      <c r="H49" s="24" t="s">
        <v>139</v>
      </c>
      <c r="I49" s="24" t="s">
        <v>162</v>
      </c>
      <c r="J49" s="60" t="s">
        <v>119</v>
      </c>
      <c r="K49" s="67">
        <f>IFERROR(INDEX(Inputs!$H$11:$Q$127,MATCH($C49,Input_ForRateCalc[Cost item],0),MATCH($F49,Inputs!$H$10:$Q$10,0)),"-")</f>
        <v>32.379354863483861</v>
      </c>
      <c r="L49" s="67">
        <f>IFERROR(INDEX(Inputs!$H$11:$Q$127,MATCH($C49,Input_ForRateCalc[Cost item],0),MATCH($F49,Inputs!$H$10:$Q$10,0)),"-")</f>
        <v>32.379354863483861</v>
      </c>
      <c r="M49" s="67">
        <f>IFERROR(INDEX(Inputs!$H$11:$Q$127,MATCH($C49,Input_ForRateCalc[Cost item],0),MATCH($F49,Inputs!$H$10:$Q$10,0)),"-")</f>
        <v>32.379354863483861</v>
      </c>
      <c r="N49" s="67">
        <f>IFERROR(INDEX(Inputs!$H$11:$Q$127,MATCH($C49,Input_ForRateCalc[Cost item],0),MATCH($F49,Inputs!$H$10:$Q$10,0)),"-")</f>
        <v>32.379354863483861</v>
      </c>
      <c r="O49" s="67">
        <f>IFERROR(INDEX(Inputs!$H$11:$Q$127,MATCH($C49,Input_ForRateCalc[Cost item],0),MATCH($F49,Inputs!$H$10:$Q$10,0)),"-")</f>
        <v>32.379354863483861</v>
      </c>
    </row>
    <row r="50" spans="2:17" hidden="1" x14ac:dyDescent="0.25">
      <c r="C50" s="24" t="s">
        <v>165</v>
      </c>
      <c r="D50" s="83" t="str">
        <f>INDEX(Input_DecisionActual[[Decision]:[Decision]],MATCH(Calc_TU_values!$D$5,Input_DecisionActual[[VDO period]:[VDO period]],0),1)</f>
        <v>VDO 2021 - Final</v>
      </c>
      <c r="E50" s="24" t="s">
        <v>525</v>
      </c>
      <c r="F50" s="83" t="str">
        <f>IF($D50="-","-",INDEX(Inputs!$H$10:$Q$10,1,MATCH($D50,Inputs!$H$8:$Q$8,0)))</f>
        <v>F-CurrentVDO_Input</v>
      </c>
      <c r="G50" s="59"/>
      <c r="H50" s="24" t="s">
        <v>139</v>
      </c>
      <c r="I50" s="24" t="s">
        <v>166</v>
      </c>
      <c r="J50" s="60" t="s">
        <v>119</v>
      </c>
      <c r="K50" s="68">
        <f>IFERROR(INDEX(Inputs!$H$11:$Q$127,MATCH($C50,Input_ForRateCalc[Cost item],0),MATCH($F50,Inputs!$H$10:$Q$10,0)),"-")</f>
        <v>0.17255000000000001</v>
      </c>
      <c r="L50" s="68">
        <f>IFERROR(INDEX(Inputs!$H$11:$Q$127,MATCH($C50,Input_ForRateCalc[Cost item],0),MATCH($F50,Inputs!$H$10:$Q$10,0)),"-")</f>
        <v>0.17255000000000001</v>
      </c>
      <c r="M50" s="68">
        <f>IFERROR(INDEX(Inputs!$H$11:$Q$127,MATCH($C50,Input_ForRateCalc[Cost item],0),MATCH($F50,Inputs!$H$10:$Q$10,0)),"-")</f>
        <v>0.17255000000000001</v>
      </c>
      <c r="N50" s="68">
        <f>IFERROR(INDEX(Inputs!$H$11:$Q$127,MATCH($C50,Input_ForRateCalc[Cost item],0),MATCH($F50,Inputs!$H$10:$Q$10,0)),"-")</f>
        <v>0.17255000000000001</v>
      </c>
      <c r="O50" s="68">
        <f>IFERROR(INDEX(Inputs!$H$11:$Q$127,MATCH($C50,Input_ForRateCalc[Cost item],0),MATCH($F50,Inputs!$H$10:$Q$10,0)),"-")</f>
        <v>0.17255000000000001</v>
      </c>
    </row>
    <row r="51" spans="2:17" hidden="1" x14ac:dyDescent="0.25">
      <c r="C51" s="24" t="s">
        <v>327</v>
      </c>
      <c r="D51" s="83" t="str">
        <f>INDEX(Input_DecisionActual[[Decision]:[Decision]],MATCH(Calc_TU_values!$D$5,Input_DecisionActual[[VDO period]:[VDO period]],0),1)</f>
        <v>VDO 2021 - Final</v>
      </c>
      <c r="E51" s="24" t="s">
        <v>525</v>
      </c>
      <c r="F51" s="83" t="str">
        <f>IF($D51="-","-",INDEX(Inputs!$H$10:$Q$10,1,MATCH($D51,Inputs!$H$8:$Q$8,0)))</f>
        <v>F-CurrentVDO_Input</v>
      </c>
      <c r="G51" s="59"/>
      <c r="H51" s="24" t="s">
        <v>139</v>
      </c>
      <c r="I51" s="24" t="s">
        <v>291</v>
      </c>
      <c r="J51" s="60" t="s">
        <v>119</v>
      </c>
      <c r="K51" s="65">
        <f>IFERROR(K49*K50/1000,"-")</f>
        <v>5.5870576816941407E-3</v>
      </c>
      <c r="L51" s="65">
        <f t="shared" ref="L51" si="20">IFERROR(L49*L50/1000,"-")</f>
        <v>5.5870576816941407E-3</v>
      </c>
      <c r="M51" s="65">
        <f t="shared" ref="M51" si="21">IFERROR(M49*M50/1000,"-")</f>
        <v>5.5870576816941407E-3</v>
      </c>
      <c r="N51" s="65">
        <f t="shared" ref="N51" si="22">IFERROR(N49*N50/1000,"-")</f>
        <v>5.5870576816941407E-3</v>
      </c>
      <c r="O51" s="65">
        <f t="shared" ref="O51" si="23">IFERROR(O49*O50/1000,"-")</f>
        <v>5.5870576816941407E-3</v>
      </c>
    </row>
    <row r="52" spans="2:17" hidden="1" x14ac:dyDescent="0.25">
      <c r="C52" s="24" t="s">
        <v>328</v>
      </c>
      <c r="D52" s="24"/>
      <c r="E52" s="24"/>
      <c r="F52" s="24"/>
      <c r="G52" s="24"/>
      <c r="H52" s="24" t="s">
        <v>139</v>
      </c>
      <c r="I52" s="24" t="s">
        <v>291</v>
      </c>
      <c r="J52" s="24" t="s">
        <v>119</v>
      </c>
      <c r="K52" s="131">
        <f>IFERROR(K48-K51,"-")</f>
        <v>-5.5870576816941407E-3</v>
      </c>
      <c r="L52" s="131">
        <f t="shared" ref="L52" si="24">IFERROR(L48-L51,"-")</f>
        <v>-5.5870576816941407E-3</v>
      </c>
      <c r="M52" s="131">
        <f t="shared" ref="M52" si="25">IFERROR(M48-M51,"-")</f>
        <v>-5.5870576816941407E-3</v>
      </c>
      <c r="N52" s="131">
        <f t="shared" ref="N52" si="26">IFERROR(N48-N51,"-")</f>
        <v>-5.5870576816941407E-3</v>
      </c>
      <c r="O52" s="131">
        <f t="shared" ref="O52" si="27">IFERROR(O48-O51,"-")</f>
        <v>-5.5870576816941407E-3</v>
      </c>
    </row>
    <row r="53" spans="2:17" hidden="1" x14ac:dyDescent="0.25">
      <c r="C53" s="24" t="s">
        <v>329</v>
      </c>
      <c r="D53" s="83" t="str">
        <f>INDEX(Input_DecisionActual[[Decision]:[Decision]],MATCH(Calc_TU_values!$D$5,Input_DecisionActual[[VDO period]:[VDO period]],0),1)</f>
        <v>VDO 2021 - Final</v>
      </c>
      <c r="E53" s="24" t="s">
        <v>525</v>
      </c>
      <c r="F53" s="83" t="str">
        <f>IF($D53="-","-",INDEX(Inputs!$H$10:$Q$10,1,MATCH($D53,Inputs!$H$8:$Q$8,0)))</f>
        <v>F-CurrentVDO_Input</v>
      </c>
      <c r="G53" s="24"/>
      <c r="H53" s="24" t="s">
        <v>139</v>
      </c>
      <c r="I53" s="24" t="s">
        <v>291</v>
      </c>
      <c r="J53" s="24" t="s">
        <v>119</v>
      </c>
      <c r="K53" s="132">
        <f>IFERROR(K52*(INDEX(Inputs!$H$11:$Q$127,MATCH("Marginal loss factor - "&amp;K$15,Input_ForRateCalc[Cost item],0),MATCH($F53,Inputs!$H$10:$Q$10,0))*INDEX(Inputs!$H$11:$Q$127,MATCH("Distribution loss factor - "&amp;K$15,Input_ForRateCalc[Cost item],0),MATCH($F53,Inputs!$H$10:$Q$10,0))-1),"-")</f>
        <v>-3.7456887595762586E-4</v>
      </c>
      <c r="L53" s="132">
        <f>IFERROR(L52*(INDEX(Inputs!$H$11:$Q$127,MATCH("Marginal loss factor - "&amp;L$15,Input_ForRateCalc[Cost item],0),MATCH($F53,Inputs!$H$10:$Q$10,0))*INDEX(Inputs!$H$11:$Q$127,MATCH("Distribution loss factor - "&amp;L$15,Input_ForRateCalc[Cost item],0),MATCH($F53,Inputs!$H$10:$Q$10,0))-1),"-")</f>
        <v>-2.7152278476848517E-4</v>
      </c>
      <c r="M53" s="132">
        <f>IFERROR(M52*(INDEX(Inputs!$H$11:$Q$127,MATCH("Marginal loss factor - "&amp;M$15,Input_ForRateCalc[Cost item],0),MATCH($F53,Inputs!$H$10:$Q$10,0))*INDEX(Inputs!$H$11:$Q$127,MATCH("Distribution loss factor - "&amp;M$15,Input_ForRateCalc[Cost item],0),MATCH($F53,Inputs!$H$10:$Q$10,0))-1),"-")</f>
        <v>-2.1032237778473222E-4</v>
      </c>
      <c r="N53" s="132">
        <f>IFERROR(N52*(INDEX(Inputs!$H$11:$Q$127,MATCH("Marginal loss factor - "&amp;N$15,Input_ForRateCalc[Cost item],0),MATCH($F53,Inputs!$H$10:$Q$10,0))*INDEX(Inputs!$H$11:$Q$127,MATCH("Distribution loss factor - "&amp;N$15,Input_ForRateCalc[Cost item],0),MATCH($F53,Inputs!$H$10:$Q$10,0))-1),"-")</f>
        <v>-3.9713841003917292E-4</v>
      </c>
      <c r="O53" s="132">
        <f>IFERROR(O52*(INDEX(Inputs!$H$11:$Q$127,MATCH("Marginal loss factor - "&amp;O$15,Input_ForRateCalc[Cost item],0),MATCH($F53,Inputs!$H$10:$Q$10,0))*INDEX(Inputs!$H$11:$Q$127,MATCH("Distribution loss factor - "&amp;O$15,Input_ForRateCalc[Cost item],0),MATCH($F53,Inputs!$H$10:$Q$10,0))-1),"-")</f>
        <v>-2.928924423423142E-4</v>
      </c>
    </row>
    <row r="54" spans="2:17" hidden="1" x14ac:dyDescent="0.25">
      <c r="C54" s="24" t="s">
        <v>435</v>
      </c>
      <c r="D54" s="24"/>
      <c r="E54" s="24"/>
      <c r="F54" s="24"/>
      <c r="G54" s="24"/>
      <c r="H54" s="24" t="s">
        <v>139</v>
      </c>
      <c r="I54" s="24" t="s">
        <v>291</v>
      </c>
      <c r="J54" s="24" t="s">
        <v>119</v>
      </c>
      <c r="K54" s="132" t="str">
        <f>IF($D$11="Yes",SUM(K52:K53)*$D$12,"")</f>
        <v/>
      </c>
      <c r="L54" s="132" t="str">
        <f>IF($D$11="Yes",SUM(L52:L53)*$D$12,"")</f>
        <v/>
      </c>
      <c r="M54" s="132" t="str">
        <f>IF($D$11="Yes",SUM(M52:M53)*$D$12,"")</f>
        <v/>
      </c>
      <c r="N54" s="132" t="str">
        <f>IF($D$11="Yes",SUM(N52:N53)*$D$12,"")</f>
        <v/>
      </c>
      <c r="O54" s="132" t="str">
        <f>IF($D$11="Yes",SUM(O52:O53)*$D$12,"")</f>
        <v/>
      </c>
    </row>
    <row r="55" spans="2:17" hidden="1" x14ac:dyDescent="0.25">
      <c r="C55" s="24" t="s">
        <v>330</v>
      </c>
      <c r="D55" s="83" t="str">
        <f>INDEX(Input_DecisionActual[[Decision]:[Decision]],MATCH(Calc_TU_values!$D$5,Input_DecisionActual[[VDO period]:[VDO period]],0),1)</f>
        <v>VDO 2021 - Final</v>
      </c>
      <c r="E55" s="24" t="s">
        <v>525</v>
      </c>
      <c r="F55" s="83" t="str">
        <f>IF($D55="-","-",INDEX(Inputs!$H$10:$Q$10,1,MATCH($D55,Inputs!$H$8:$Q$8,0)))</f>
        <v>F-CurrentVDO_Input</v>
      </c>
      <c r="G55" s="24"/>
      <c r="H55" s="24" t="s">
        <v>139</v>
      </c>
      <c r="I55" s="24" t="s">
        <v>291</v>
      </c>
      <c r="J55" s="24" t="s">
        <v>119</v>
      </c>
      <c r="K55" s="132">
        <f>IFERROR(SUM(K52:K54)*(INDEX(Inputs!$H$11:$Q$127,MATCH("Retail operating margin",Input_ForRateCalc[Cost item],0),MATCH($F55,Inputs!$H$10:$Q$10,0))),"-")</f>
        <v>-3.6008224408216671E-4</v>
      </c>
      <c r="L55" s="132">
        <f>IFERROR(SUM(L52:L54)*(INDEX(Inputs!$H$11:$Q$127,MATCH("Retail operating margin",Input_ForRateCalc[Cost item],0),MATCH($F55,Inputs!$H$10:$Q$10,0))),"-")</f>
        <v>-3.538582601743426E-4</v>
      </c>
      <c r="M55" s="132">
        <f>IFERROR(SUM(M52:M54)*(INDEX(Inputs!$H$11:$Q$127,MATCH("Retail operating margin",Input_ForRateCalc[Cost item],0),MATCH($F55,Inputs!$H$10:$Q$10,0))),"-")</f>
        <v>-3.5016175559252392E-4</v>
      </c>
      <c r="N55" s="132">
        <f>IFERROR(SUM(N52:N54)*(INDEX(Inputs!$H$11:$Q$127,MATCH("Retail operating margin",Input_ForRateCalc[Cost item],0),MATCH($F55,Inputs!$H$10:$Q$10,0))),"-")</f>
        <v>-3.6144544394069216E-4</v>
      </c>
      <c r="O55" s="132">
        <f>IFERROR(SUM(O52:O54)*(INDEX(Inputs!$H$11:$Q$127,MATCH("Retail operating margin",Input_ForRateCalc[Cost item],0),MATCH($F55,Inputs!$H$10:$Q$10,0))),"-")</f>
        <v>-3.5514898749180188E-4</v>
      </c>
    </row>
    <row r="56" spans="2:17" hidden="1" x14ac:dyDescent="0.25">
      <c r="B56"/>
      <c r="C56" s="24" t="s">
        <v>436</v>
      </c>
      <c r="D56" s="24"/>
      <c r="E56" s="24"/>
      <c r="F56" s="24"/>
      <c r="G56" s="24"/>
      <c r="H56" s="24" t="s">
        <v>139</v>
      </c>
      <c r="I56" s="24" t="s">
        <v>291</v>
      </c>
      <c r="J56" s="24" t="s">
        <v>119</v>
      </c>
      <c r="K56" s="132">
        <f>SUM(K52:K55)*GST</f>
        <v>-6.3217088017339341E-4</v>
      </c>
      <c r="L56" s="132">
        <f>SUM(L52:L55)*GST</f>
        <v>-6.2124387266369689E-4</v>
      </c>
      <c r="M56" s="132">
        <f>SUM(M52:M55)*GST</f>
        <v>-6.1475418150713974E-4</v>
      </c>
      <c r="N56" s="132">
        <f>SUM(N52:N55)*GST</f>
        <v>-6.3456415356740066E-4</v>
      </c>
      <c r="O56" s="132">
        <f>SUM(O52:O55)*GST</f>
        <v>-6.2350991115282567E-4</v>
      </c>
    </row>
    <row r="57" spans="2:17" hidden="1" x14ac:dyDescent="0.25">
      <c r="B57"/>
      <c r="C57" s="119" t="s">
        <v>335</v>
      </c>
      <c r="D57" s="119"/>
      <c r="E57" s="119"/>
      <c r="F57" s="119"/>
      <c r="G57" s="71"/>
      <c r="H57" s="24" t="s">
        <v>139</v>
      </c>
      <c r="I57" s="24" t="s">
        <v>291</v>
      </c>
      <c r="J57" s="60" t="s">
        <v>119</v>
      </c>
      <c r="K57" s="132">
        <f>SUM(K52:K56)</f>
        <v>-6.9538796819073271E-3</v>
      </c>
      <c r="L57" s="132">
        <f>SUM(L52:L56)</f>
        <v>-6.8336825993006653E-3</v>
      </c>
      <c r="M57" s="132">
        <f>SUM(M52:M56)</f>
        <v>-6.7622959965785365E-3</v>
      </c>
      <c r="N57" s="132">
        <f>SUM(N52:N56)</f>
        <v>-6.9802056892414067E-3</v>
      </c>
      <c r="O57" s="132">
        <f>SUM(O52:O56)</f>
        <v>-6.8586090226810817E-3</v>
      </c>
    </row>
    <row r="58" spans="2:17" hidden="1" x14ac:dyDescent="0.25"/>
    <row r="59" spans="2:17" ht="16.5" hidden="1" thickBot="1" x14ac:dyDescent="0.3">
      <c r="B59" s="9">
        <f ca="1">MAX(B$3:B58)+0.1</f>
        <v>13.2</v>
      </c>
      <c r="C59" s="29" t="s">
        <v>471</v>
      </c>
      <c r="D59" s="29"/>
      <c r="E59" s="29"/>
      <c r="F59" s="29"/>
      <c r="G59" s="29"/>
      <c r="H59" s="29"/>
      <c r="I59" s="29"/>
      <c r="J59" s="29"/>
      <c r="K59" s="29"/>
      <c r="L59" s="29"/>
      <c r="M59" s="29"/>
      <c r="N59" s="29"/>
      <c r="O59" s="29"/>
      <c r="P59" s="29"/>
      <c r="Q59" s="29"/>
    </row>
    <row r="60" spans="2:17" hidden="1" x14ac:dyDescent="0.25"/>
    <row r="61" spans="2:17" ht="15.75" hidden="1" x14ac:dyDescent="0.25">
      <c r="C61" s="43" t="s">
        <v>54</v>
      </c>
      <c r="D61" s="43" t="s">
        <v>472</v>
      </c>
      <c r="G61" s="43" t="s">
        <v>324</v>
      </c>
      <c r="H61" s="43" t="s">
        <v>110</v>
      </c>
      <c r="I61" s="43" t="s">
        <v>111</v>
      </c>
      <c r="J61" s="43" t="s">
        <v>99</v>
      </c>
      <c r="K61" s="51" t="s">
        <v>277</v>
      </c>
      <c r="L61" s="51" t="s">
        <v>278</v>
      </c>
      <c r="M61" s="51" t="s">
        <v>279</v>
      </c>
      <c r="N61" s="51" t="s">
        <v>280</v>
      </c>
      <c r="O61" s="51" t="s">
        <v>281</v>
      </c>
      <c r="P61" s="51" t="s">
        <v>539</v>
      </c>
      <c r="Q61" s="43" t="s">
        <v>540</v>
      </c>
    </row>
    <row r="62" spans="2:17" hidden="1" x14ac:dyDescent="0.25">
      <c r="C62" s="58" t="s">
        <v>484</v>
      </c>
      <c r="D62" s="58"/>
      <c r="G62" s="58"/>
      <c r="H62" s="58"/>
      <c r="I62" s="58"/>
      <c r="J62" s="58"/>
      <c r="K62" s="167">
        <f>SUM(K63:K64)</f>
        <v>0</v>
      </c>
      <c r="L62" s="167">
        <f t="shared" ref="L62:O62" si="28">SUM(L63:L64)</f>
        <v>0</v>
      </c>
      <c r="M62" s="167">
        <f t="shared" si="28"/>
        <v>0</v>
      </c>
      <c r="N62" s="167">
        <f t="shared" si="28"/>
        <v>0</v>
      </c>
      <c r="O62" s="167">
        <f t="shared" si="28"/>
        <v>0</v>
      </c>
      <c r="P62" s="166">
        <f>IFERROR(AVERAGE(K62:O62),"-")</f>
        <v>0</v>
      </c>
      <c r="Q62" s="243" t="str">
        <f>IFERROR(P62/ROUND($D$78/30,0),"-")</f>
        <v>-</v>
      </c>
    </row>
    <row r="63" spans="2:17" hidden="1" x14ac:dyDescent="0.25">
      <c r="C63" s="151" t="s">
        <v>117</v>
      </c>
      <c r="D63" s="60"/>
      <c r="G63" s="60"/>
      <c r="H63" s="60"/>
      <c r="I63" s="60"/>
      <c r="J63" s="60"/>
      <c r="K63" s="168" t="str">
        <f>K117</f>
        <v>-</v>
      </c>
      <c r="L63" s="168" t="str">
        <f t="shared" ref="L63:O63" si="29">L117</f>
        <v>-</v>
      </c>
      <c r="M63" s="168" t="str">
        <f t="shared" si="29"/>
        <v>-</v>
      </c>
      <c r="N63" s="168" t="str">
        <f t="shared" si="29"/>
        <v>-</v>
      </c>
      <c r="O63" s="168" t="str">
        <f t="shared" si="29"/>
        <v>-</v>
      </c>
      <c r="P63" s="143" t="str">
        <f t="shared" ref="P63:P73" si="30">IFERROR(AVERAGE(K63:O63),"-")</f>
        <v>-</v>
      </c>
      <c r="Q63" s="243" t="str">
        <f t="shared" ref="Q63:Q73" si="31">IFERROR(P63/ROUND($D$78/30,0),"-")</f>
        <v>-</v>
      </c>
    </row>
    <row r="64" spans="2:17" hidden="1" x14ac:dyDescent="0.25">
      <c r="C64" s="151" t="s">
        <v>139</v>
      </c>
      <c r="D64" s="60"/>
      <c r="G64" s="60"/>
      <c r="H64" s="60"/>
      <c r="I64" s="60"/>
      <c r="J64" s="60"/>
      <c r="K64" s="168" t="str">
        <f>K132</f>
        <v>-</v>
      </c>
      <c r="L64" s="168" t="str">
        <f t="shared" ref="L64:O64" si="32">L132</f>
        <v>-</v>
      </c>
      <c r="M64" s="168" t="str">
        <f t="shared" si="32"/>
        <v>-</v>
      </c>
      <c r="N64" s="168" t="str">
        <f t="shared" si="32"/>
        <v>-</v>
      </c>
      <c r="O64" s="168" t="str">
        <f t="shared" si="32"/>
        <v>-</v>
      </c>
      <c r="P64" s="143" t="str">
        <f t="shared" si="30"/>
        <v>-</v>
      </c>
      <c r="Q64" s="243" t="str">
        <f t="shared" si="31"/>
        <v>-</v>
      </c>
    </row>
    <row r="65" spans="2:17" hidden="1" x14ac:dyDescent="0.25">
      <c r="C65" s="58" t="s">
        <v>485</v>
      </c>
      <c r="D65" s="58"/>
      <c r="G65" s="58"/>
      <c r="H65" s="58"/>
      <c r="I65" s="58"/>
      <c r="J65" s="58"/>
      <c r="K65" s="167">
        <f>SUM(K66:K67)</f>
        <v>0</v>
      </c>
      <c r="L65" s="167">
        <f t="shared" ref="L65:O65" si="33">SUM(L66:L67)</f>
        <v>0</v>
      </c>
      <c r="M65" s="167">
        <f t="shared" si="33"/>
        <v>0</v>
      </c>
      <c r="N65" s="167">
        <f t="shared" si="33"/>
        <v>0</v>
      </c>
      <c r="O65" s="167">
        <f t="shared" si="33"/>
        <v>0</v>
      </c>
      <c r="P65" s="166">
        <f t="shared" si="30"/>
        <v>0</v>
      </c>
      <c r="Q65" s="243" t="str">
        <f t="shared" si="31"/>
        <v>-</v>
      </c>
    </row>
    <row r="66" spans="2:17" hidden="1" x14ac:dyDescent="0.25">
      <c r="C66" s="151" t="s">
        <v>117</v>
      </c>
      <c r="D66" s="60"/>
      <c r="G66" s="60"/>
      <c r="H66" s="60"/>
      <c r="I66" s="60"/>
      <c r="J66" s="60"/>
      <c r="K66" s="168" t="str">
        <f>K157</f>
        <v>-</v>
      </c>
      <c r="L66" s="168" t="str">
        <f t="shared" ref="L66:O66" si="34">L157</f>
        <v>-</v>
      </c>
      <c r="M66" s="168" t="str">
        <f t="shared" si="34"/>
        <v>-</v>
      </c>
      <c r="N66" s="168" t="str">
        <f t="shared" si="34"/>
        <v>-</v>
      </c>
      <c r="O66" s="168" t="str">
        <f t="shared" si="34"/>
        <v>-</v>
      </c>
      <c r="P66" s="143" t="str">
        <f t="shared" si="30"/>
        <v>-</v>
      </c>
      <c r="Q66" s="243" t="str">
        <f t="shared" si="31"/>
        <v>-</v>
      </c>
    </row>
    <row r="67" spans="2:17" hidden="1" x14ac:dyDescent="0.25">
      <c r="C67" s="151" t="s">
        <v>139</v>
      </c>
      <c r="D67" s="60"/>
      <c r="G67" s="60"/>
      <c r="H67" s="60"/>
      <c r="I67" s="60"/>
      <c r="J67" s="60"/>
      <c r="K67" s="168" t="str">
        <f>K172</f>
        <v>-</v>
      </c>
      <c r="L67" s="168" t="str">
        <f t="shared" ref="L67:O67" si="35">L172</f>
        <v>-</v>
      </c>
      <c r="M67" s="168" t="str">
        <f t="shared" si="35"/>
        <v>-</v>
      </c>
      <c r="N67" s="168" t="str">
        <f t="shared" si="35"/>
        <v>-</v>
      </c>
      <c r="O67" s="168" t="str">
        <f t="shared" si="35"/>
        <v>-</v>
      </c>
      <c r="P67" s="143" t="str">
        <f t="shared" si="30"/>
        <v>-</v>
      </c>
      <c r="Q67" s="243" t="str">
        <f t="shared" si="31"/>
        <v>-</v>
      </c>
    </row>
    <row r="68" spans="2:17" hidden="1" x14ac:dyDescent="0.25">
      <c r="C68" s="58" t="s">
        <v>486</v>
      </c>
      <c r="D68" s="58"/>
      <c r="G68" s="58"/>
      <c r="H68" s="58"/>
      <c r="I68" s="58"/>
      <c r="J68" s="58"/>
      <c r="K68" s="167">
        <f>SUM(K69:K70)</f>
        <v>0</v>
      </c>
      <c r="L68" s="167">
        <f t="shared" ref="L68:O68" si="36">SUM(L69:L70)</f>
        <v>0</v>
      </c>
      <c r="M68" s="167">
        <f t="shared" si="36"/>
        <v>0</v>
      </c>
      <c r="N68" s="167">
        <f t="shared" si="36"/>
        <v>0</v>
      </c>
      <c r="O68" s="167">
        <f t="shared" si="36"/>
        <v>0</v>
      </c>
      <c r="P68" s="166">
        <f t="shared" si="30"/>
        <v>0</v>
      </c>
      <c r="Q68" s="243" t="str">
        <f t="shared" si="31"/>
        <v>-</v>
      </c>
    </row>
    <row r="69" spans="2:17" hidden="1" x14ac:dyDescent="0.25">
      <c r="C69" s="151" t="s">
        <v>117</v>
      </c>
      <c r="D69" s="60"/>
      <c r="G69" s="60"/>
      <c r="H69" s="60"/>
      <c r="I69" s="60"/>
      <c r="J69" s="60"/>
      <c r="K69" s="168" t="str">
        <f>K187</f>
        <v>-</v>
      </c>
      <c r="L69" s="168" t="str">
        <f t="shared" ref="L69:O69" si="37">L187</f>
        <v>-</v>
      </c>
      <c r="M69" s="168" t="str">
        <f t="shared" si="37"/>
        <v>-</v>
      </c>
      <c r="N69" s="168" t="str">
        <f t="shared" si="37"/>
        <v>-</v>
      </c>
      <c r="O69" s="168" t="str">
        <f t="shared" si="37"/>
        <v>-</v>
      </c>
      <c r="P69" s="143" t="str">
        <f t="shared" si="30"/>
        <v>-</v>
      </c>
      <c r="Q69" s="243" t="str">
        <f t="shared" si="31"/>
        <v>-</v>
      </c>
    </row>
    <row r="70" spans="2:17" hidden="1" x14ac:dyDescent="0.25">
      <c r="C70" s="151" t="s">
        <v>139</v>
      </c>
      <c r="D70" s="60"/>
      <c r="G70" s="60"/>
      <c r="H70" s="60"/>
      <c r="I70" s="60"/>
      <c r="J70" s="60"/>
      <c r="K70" s="168" t="str">
        <f>K201</f>
        <v>-</v>
      </c>
      <c r="L70" s="168" t="str">
        <f t="shared" ref="L70:O70" si="38">L201</f>
        <v>-</v>
      </c>
      <c r="M70" s="168" t="str">
        <f t="shared" si="38"/>
        <v>-</v>
      </c>
      <c r="N70" s="168" t="str">
        <f t="shared" si="38"/>
        <v>-</v>
      </c>
      <c r="O70" s="168" t="str">
        <f t="shared" si="38"/>
        <v>-</v>
      </c>
      <c r="P70" s="143" t="str">
        <f t="shared" si="30"/>
        <v>-</v>
      </c>
      <c r="Q70" s="243" t="str">
        <f t="shared" si="31"/>
        <v>-</v>
      </c>
    </row>
    <row r="71" spans="2:17" hidden="1" x14ac:dyDescent="0.25">
      <c r="C71" s="58" t="s">
        <v>487</v>
      </c>
      <c r="D71" s="58"/>
      <c r="G71" s="58"/>
      <c r="H71" s="58"/>
      <c r="I71" s="58"/>
      <c r="J71" s="58"/>
      <c r="K71" s="167">
        <f>SUM(K72:K73)</f>
        <v>0</v>
      </c>
      <c r="L71" s="167">
        <f t="shared" ref="L71:O71" si="39">SUM(L72:L73)</f>
        <v>0</v>
      </c>
      <c r="M71" s="167">
        <f t="shared" si="39"/>
        <v>0</v>
      </c>
      <c r="N71" s="167">
        <f t="shared" si="39"/>
        <v>0</v>
      </c>
      <c r="O71" s="167">
        <f t="shared" si="39"/>
        <v>0</v>
      </c>
      <c r="P71" s="166">
        <f t="shared" si="30"/>
        <v>0</v>
      </c>
      <c r="Q71" s="243" t="str">
        <f t="shared" si="31"/>
        <v>-</v>
      </c>
    </row>
    <row r="72" spans="2:17" hidden="1" x14ac:dyDescent="0.25">
      <c r="C72" s="151" t="s">
        <v>117</v>
      </c>
      <c r="D72" s="60"/>
      <c r="G72" s="60"/>
      <c r="H72" s="60"/>
      <c r="I72" s="60"/>
      <c r="J72" s="60"/>
      <c r="K72" s="168" t="str">
        <f>K215</f>
        <v>-</v>
      </c>
      <c r="L72" s="168" t="str">
        <f t="shared" ref="L72:O72" si="40">L215</f>
        <v>-</v>
      </c>
      <c r="M72" s="168" t="str">
        <f t="shared" si="40"/>
        <v>-</v>
      </c>
      <c r="N72" s="168" t="str">
        <f t="shared" si="40"/>
        <v>-</v>
      </c>
      <c r="O72" s="168" t="str">
        <f t="shared" si="40"/>
        <v>-</v>
      </c>
      <c r="P72" s="143" t="str">
        <f t="shared" si="30"/>
        <v>-</v>
      </c>
      <c r="Q72" s="243" t="str">
        <f t="shared" si="31"/>
        <v>-</v>
      </c>
    </row>
    <row r="73" spans="2:17" hidden="1" x14ac:dyDescent="0.25">
      <c r="C73" s="151" t="s">
        <v>139</v>
      </c>
      <c r="D73" s="60"/>
      <c r="G73" s="60"/>
      <c r="H73" s="60"/>
      <c r="I73" s="60"/>
      <c r="J73" s="60"/>
      <c r="K73" s="168" t="str">
        <f>K229</f>
        <v>-</v>
      </c>
      <c r="L73" s="168" t="str">
        <f t="shared" ref="L73:O73" si="41">L229</f>
        <v>-</v>
      </c>
      <c r="M73" s="168" t="str">
        <f t="shared" si="41"/>
        <v>-</v>
      </c>
      <c r="N73" s="168" t="str">
        <f t="shared" si="41"/>
        <v>-</v>
      </c>
      <c r="O73" s="168" t="str">
        <f t="shared" si="41"/>
        <v>-</v>
      </c>
      <c r="P73" s="143" t="str">
        <f t="shared" si="30"/>
        <v>-</v>
      </c>
      <c r="Q73" s="243" t="str">
        <f t="shared" si="31"/>
        <v>-</v>
      </c>
    </row>
    <row r="74" spans="2:17" hidden="1" x14ac:dyDescent="0.25"/>
    <row r="75" spans="2:17" hidden="1" x14ac:dyDescent="0.25">
      <c r="I75" t="s">
        <v>556</v>
      </c>
      <c r="J75" s="60" t="s">
        <v>100</v>
      </c>
      <c r="K75" s="228" t="str">
        <f>IFERROR(K68/ROUND($D$78/30,0),"-")</f>
        <v>-</v>
      </c>
      <c r="L75" s="228" t="str">
        <f t="shared" ref="L75:O75" si="42">IFERROR(L68/ROUND($D$78/30,0),"-")</f>
        <v>-</v>
      </c>
      <c r="M75" s="228" t="str">
        <f t="shared" si="42"/>
        <v>-</v>
      </c>
      <c r="N75" s="228" t="str">
        <f t="shared" si="42"/>
        <v>-</v>
      </c>
      <c r="O75" s="228" t="str">
        <f t="shared" si="42"/>
        <v>-</v>
      </c>
    </row>
    <row r="76" spans="2:17" ht="15.75" hidden="1" x14ac:dyDescent="0.25">
      <c r="B76"/>
      <c r="C76" s="55" t="s">
        <v>511</v>
      </c>
      <c r="D76" s="83" t="str">
        <f>INDEX(Inputs!$H$10:$Q$10,1,MATCH($D$5,Inputs!$H$8:$Q$8,0))</f>
        <v>VF-CurrentVDO_Input</v>
      </c>
      <c r="E76" s="189" t="str">
        <f>INDEX(Input_TUNet_Dates[[F-CurrentVDO_Input]:[F-NextVDO_Input]],MATCH($C76,Input_TUNet_Dates[Item],0),MATCH($D76,Input_TUNet_Dates[[#Headers],[F-CurrentVDO_Input]:[F-NextVDO_Input]],0))</f>
        <v>-</v>
      </c>
      <c r="I76" t="s">
        <v>556</v>
      </c>
      <c r="J76" s="60" t="s">
        <v>101</v>
      </c>
      <c r="K76" s="228" t="str">
        <f>IFERROR(K71/ROUND($D$78/30,0),"-")</f>
        <v>-</v>
      </c>
      <c r="L76" s="228" t="str">
        <f t="shared" ref="L76:O76" si="43">IFERROR(L71/ROUND($D$78/30,0),"-")</f>
        <v>-</v>
      </c>
      <c r="M76" s="228" t="str">
        <f t="shared" si="43"/>
        <v>-</v>
      </c>
      <c r="N76" s="228" t="str">
        <f t="shared" si="43"/>
        <v>-</v>
      </c>
      <c r="O76" s="228" t="str">
        <f t="shared" si="43"/>
        <v>-</v>
      </c>
    </row>
    <row r="77" spans="2:17" ht="15.75" hidden="1" x14ac:dyDescent="0.25">
      <c r="B77"/>
      <c r="C77" s="55" t="s">
        <v>512</v>
      </c>
      <c r="D77" s="83" t="str">
        <f>INDEX(Inputs!$H$10:$Q$10,1,MATCH($D$5,Inputs!$H$8:$Q$8,0))</f>
        <v>VF-CurrentVDO_Input</v>
      </c>
      <c r="E77" s="189" t="str">
        <f>INDEX(Input_TUNet_Dates[[F-CurrentVDO_Input]:[F-NextVDO_Input]],MATCH($C77,Input_TUNet_Dates[Item],0),MATCH($D77,Input_TUNet_Dates[[#Headers],[F-CurrentVDO_Input]:[F-NextVDO_Input]],0))</f>
        <v>-</v>
      </c>
      <c r="K77" s="123"/>
      <c r="L77" s="123"/>
      <c r="M77" s="123"/>
      <c r="N77" s="123"/>
      <c r="O77" s="123"/>
    </row>
    <row r="78" spans="2:17" ht="15.75" hidden="1" x14ac:dyDescent="0.25">
      <c r="B78"/>
      <c r="C78" s="55" t="s">
        <v>574</v>
      </c>
      <c r="D78" s="228" t="str">
        <f>IFERROR(_xlfn.DAYS(E77,E76)+1,"-")</f>
        <v>-</v>
      </c>
      <c r="K78" s="123"/>
      <c r="L78" s="123"/>
      <c r="M78" s="123"/>
      <c r="N78" s="123"/>
      <c r="O78" s="123"/>
    </row>
    <row r="79" spans="2:17" ht="15.75" hidden="1" x14ac:dyDescent="0.25">
      <c r="B79"/>
      <c r="C79" s="55" t="s">
        <v>474</v>
      </c>
      <c r="D79" s="157">
        <f>IFERROR(D78/DiY,0)</f>
        <v>0</v>
      </c>
    </row>
    <row r="80" spans="2:17" ht="15.75" hidden="1" x14ac:dyDescent="0.25">
      <c r="B80"/>
      <c r="C80" s="55" t="s">
        <v>435</v>
      </c>
      <c r="D80" s="156" t="s">
        <v>326</v>
      </c>
    </row>
    <row r="81" spans="2:10" ht="15.75" hidden="1" x14ac:dyDescent="0.25">
      <c r="B81"/>
      <c r="C81" s="55" t="s">
        <v>517</v>
      </c>
      <c r="D81" s="157">
        <f>(1+WACC)^(1/2)-1</f>
        <v>3.2230594392551382E-2</v>
      </c>
    </row>
    <row r="82" spans="2:10" hidden="1" x14ac:dyDescent="0.25">
      <c r="B82"/>
    </row>
    <row r="83" spans="2:10" ht="15.75" hidden="1" x14ac:dyDescent="0.25">
      <c r="B83"/>
      <c r="C83" s="30" t="s">
        <v>580</v>
      </c>
    </row>
    <row r="84" spans="2:10" ht="15.75" hidden="1" x14ac:dyDescent="0.25">
      <c r="B84"/>
      <c r="C84" s="178" t="s">
        <v>6</v>
      </c>
      <c r="D84" s="178" t="s">
        <v>109</v>
      </c>
      <c r="E84" s="178" t="s">
        <v>99</v>
      </c>
      <c r="F84" s="178" t="s">
        <v>569</v>
      </c>
    </row>
    <row r="85" spans="2:10" hidden="1" x14ac:dyDescent="0.25">
      <c r="B85"/>
      <c r="C85" s="60" t="s">
        <v>562</v>
      </c>
      <c r="D85" s="83" t="str">
        <f>INDEX(Inputs!$H$10:$Q$10,1,MATCH($D$5,Inputs!$H$8:$Q$8,0))</f>
        <v>VF-CurrentVDO_Input</v>
      </c>
      <c r="E85" s="60" t="s">
        <v>100</v>
      </c>
      <c r="F85" s="183">
        <f>SUMIFS(
INDEX(Input_TUNet_Actual[[F-CurrentVDO_Input]:[F-NextVDO_Input]],0,MATCH(TUNet_Usage_Actual_1[[#This Row],[VDO decision]],Input_TUNet_Actual[[#Headers],[F-CurrentVDO_Input]:[F-NextVDO_Input]],0)),
Input_TUNet_Actual[Customer type],Calc_TU_values!E85,Input_TUNet_Actual[Item],Calc_TU_values!C85)</f>
        <v>0</v>
      </c>
    </row>
    <row r="86" spans="2:10" hidden="1" x14ac:dyDescent="0.25">
      <c r="B86"/>
      <c r="C86" s="24" t="s">
        <v>558</v>
      </c>
      <c r="D86" s="83" t="str">
        <f>INDEX(Inputs!$H$10:$Q$10,1,MATCH($D$5,Inputs!$H$8:$Q$8,0))</f>
        <v>VF-CurrentVDO_Input</v>
      </c>
      <c r="E86" s="60" t="s">
        <v>100</v>
      </c>
      <c r="F86" s="183">
        <f>SUMIFS(
INDEX(Input_TUNet_Actual[[F-CurrentVDO_Input]:[F-NextVDO_Input]],0,MATCH(TUNet_Usage_Actual_1[[#This Row],[VDO decision]],Input_TUNet_Actual[[#Headers],[F-CurrentVDO_Input]:[F-NextVDO_Input]],0)),
Input_TUNet_Actual[Customer type],Calc_TU_values!E86,Input_TUNet_Actual[Item],Calc_TU_values!C86)</f>
        <v>0</v>
      </c>
    </row>
    <row r="87" spans="2:10" hidden="1" x14ac:dyDescent="0.25">
      <c r="B87"/>
      <c r="C87" s="60" t="s">
        <v>568</v>
      </c>
      <c r="D87" s="83" t="str">
        <f>INDEX(Inputs!$H$10:$Q$10,1,MATCH($D$5,Inputs!$H$8:$Q$8,0))</f>
        <v>VF-CurrentVDO_Input</v>
      </c>
      <c r="E87" s="60" t="s">
        <v>100</v>
      </c>
      <c r="F87" s="184" t="str">
        <f>IFERROR(F85/F86,"-")</f>
        <v>-</v>
      </c>
    </row>
    <row r="88" spans="2:10" hidden="1" x14ac:dyDescent="0.25">
      <c r="B88"/>
      <c r="C88" s="60" t="s">
        <v>562</v>
      </c>
      <c r="D88" s="83" t="str">
        <f>INDEX(Inputs!$H$10:$Q$10,1,MATCH($D$5,Inputs!$H$8:$Q$8,0))</f>
        <v>VF-CurrentVDO_Input</v>
      </c>
      <c r="E88" s="60" t="s">
        <v>101</v>
      </c>
      <c r="F88" s="183">
        <f>SUMIFS(
INDEX(Input_TUNet_Actual[[F-CurrentVDO_Input]:[F-NextVDO_Input]],0,MATCH(TUNet_Usage_Actual_1[[#This Row],[VDO decision]],Input_TUNet_Actual[[#Headers],[F-CurrentVDO_Input]:[F-NextVDO_Input]],0)),
Input_TUNet_Actual[Customer type],Calc_TU_values!E88,Input_TUNet_Actual[Item],Calc_TU_values!C88)</f>
        <v>0</v>
      </c>
    </row>
    <row r="89" spans="2:10" hidden="1" x14ac:dyDescent="0.25">
      <c r="B89"/>
      <c r="C89" s="24" t="s">
        <v>558</v>
      </c>
      <c r="D89" s="83" t="str">
        <f>INDEX(Inputs!$H$10:$Q$10,1,MATCH($D$5,Inputs!$H$8:$Q$8,0))</f>
        <v>VF-CurrentVDO_Input</v>
      </c>
      <c r="E89" s="60" t="s">
        <v>101</v>
      </c>
      <c r="F89" s="183">
        <f>SUMIFS(
INDEX(Input_TUNet_Actual[[F-CurrentVDO_Input]:[F-NextVDO_Input]],0,MATCH(TUNet_Usage_Actual_1[[#This Row],[VDO decision]],Input_TUNet_Actual[[#Headers],[F-CurrentVDO_Input]:[F-NextVDO_Input]],0)),
Input_TUNet_Actual[Customer type],Calc_TU_values!E89,Input_TUNet_Actual[Item],Calc_TU_values!C89)</f>
        <v>0</v>
      </c>
    </row>
    <row r="90" spans="2:10" hidden="1" x14ac:dyDescent="0.25">
      <c r="B90"/>
      <c r="C90" s="185" t="s">
        <v>568</v>
      </c>
      <c r="D90" s="83" t="str">
        <f>INDEX(Inputs!$H$10:$Q$10,1,MATCH($D$5,Inputs!$H$8:$Q$8,0))</f>
        <v>VF-CurrentVDO_Input</v>
      </c>
      <c r="E90" s="185" t="s">
        <v>101</v>
      </c>
      <c r="F90" s="184" t="str">
        <f>IFERROR(F88/F89,"-")</f>
        <v>-</v>
      </c>
    </row>
    <row r="91" spans="2:10" hidden="1" x14ac:dyDescent="0.25">
      <c r="B91"/>
      <c r="C91" s="185" t="s">
        <v>723</v>
      </c>
      <c r="D91" s="187" t="str">
        <f>INDEX(Inputs!$H$10:$Q$10,1,MATCH($D$5,Inputs!$H$8:$Q$8,0))</f>
        <v>VF-CurrentVDO_Input</v>
      </c>
      <c r="E91" s="60" t="s">
        <v>100</v>
      </c>
      <c r="F91" s="157" t="e">
        <f>SUMIFS(
INDEX(Input_TUNet_Actual[[F-CurrentVDO_Input]:[F-NextVDO_Input]],0,MATCH(TUNet_Usage_Actual_1[[#This Row],[VDO decision]],Input_TUNet_Actual[[#Headers],[F-CurrentVDO_Input]:[F-NextVDO_Input]],0)),
Input_TUNet_Actual[Item],"Total usage - Controlled load",Input_TUNet_Actual[Customer type],TUNet_Usage_Actual_1[[#This Row],[Customer type]],Input_TUNet_Actual[Month],"July 2020 to August 2020")
/SUMIFS(
INDEX(Input_TUNet_Actual[[F-CurrentVDO_Input]:[F-NextVDO_Input]],0,MATCH(TUNet_Usage_Actual_1[[#This Row],[VDO decision]],Input_TUNet_Actual[[#Headers],[F-CurrentVDO_Input]:[F-NextVDO_Input]],0)),
Input_TUNet_Actual[Item],"Total usage - Controlled load",Input_TUNet_Actual[Customer type],TUNet_Usage_Actual_1[[#This Row],[Customer type]],Input_TUNet_Actual[Month],"July 2020 to June 2021")</f>
        <v>#DIV/0!</v>
      </c>
    </row>
    <row r="92" spans="2:10" hidden="1" x14ac:dyDescent="0.25">
      <c r="B92"/>
    </row>
    <row r="93" spans="2:10" ht="15.75" hidden="1" x14ac:dyDescent="0.25">
      <c r="B93"/>
      <c r="C93" s="30" t="s">
        <v>599</v>
      </c>
    </row>
    <row r="94" spans="2:10" ht="15.75" hidden="1" x14ac:dyDescent="0.25">
      <c r="B94"/>
      <c r="C94" s="178" t="s">
        <v>6</v>
      </c>
      <c r="D94" s="178" t="s">
        <v>109</v>
      </c>
      <c r="E94" s="178" t="s">
        <v>99</v>
      </c>
      <c r="F94" s="178" t="s">
        <v>277</v>
      </c>
      <c r="G94" s="61" t="s">
        <v>278</v>
      </c>
      <c r="H94" s="61" t="s">
        <v>279</v>
      </c>
      <c r="I94" s="61" t="s">
        <v>280</v>
      </c>
      <c r="J94" s="61" t="s">
        <v>281</v>
      </c>
    </row>
    <row r="95" spans="2:10" hidden="1" x14ac:dyDescent="0.25">
      <c r="B95"/>
      <c r="C95" s="60" t="s">
        <v>592</v>
      </c>
      <c r="D95" s="83" t="str">
        <f>INDEX(Inputs!$H$10:$Q$10,1,MATCH($D$5,Inputs!$H$8:$Q$8,0))</f>
        <v>VF-CurrentVDO_Input</v>
      </c>
      <c r="E95" s="60" t="s">
        <v>100</v>
      </c>
      <c r="F95" s="188" t="str">
        <f>IF(SUMIFS(
INDEX(Input_TUNet_Actual[[F-CurrentVDO_Input]:[F-NextVDO_Input]],0,MATCH(TUNet_Usage_PerRate_1[[#This Row],[VDO decision]],Input_TUNet_Actual[[#Headers],[F-CurrentVDO_Input]:[F-NextVDO_Input]],0)),
Input_TUNet_Actual[Customer type],$E95,Input_TUNet_Actual[Item],$C95&amp;" - "&amp;F$94)=0,"-",MIN(SUMIFS(TUNet_Usage_Actual_1[Value],TUNet_Usage_Actual_1[Customer type],$E95,TUNet_Usage_Actual_1[Description],"Usage per customer"),SUMIFS(
INDEX(Input_TUNet_Actual[[F-CurrentVDO_Input]:[F-NextVDO_Input]],0,MATCH(TUNet_Usage_PerRate_1[[#This Row],[VDO decision]],Input_TUNet_Actual[[#Headers],[F-CurrentVDO_Input]:[F-NextVDO_Input]],0)),
Input_TUNet_Actual[Customer type],$E95,Input_TUNet_Actual[Item],$C95&amp;" - "&amp;F$94)))</f>
        <v>-</v>
      </c>
      <c r="G95" s="188" t="str">
        <f>IF(SUMIFS(
INDEX(Input_TUNet_Actual[[F-CurrentVDO_Input]:[F-NextVDO_Input]],0,MATCH(TUNet_Usage_PerRate_1[[#This Row],[VDO decision]],Input_TUNet_Actual[[#Headers],[F-CurrentVDO_Input]:[F-NextVDO_Input]],0)),
Input_TUNet_Actual[Customer type],$E95,Input_TUNet_Actual[Item],$C95&amp;" - "&amp;G$94)=0,"-",MIN(SUMIFS(TUNet_Usage_Actual_1[Value],TUNet_Usage_Actual_1[Customer type],$E95,TUNet_Usage_Actual_1[Description],"Usage per customer"),SUMIFS(
INDEX(Input_TUNet_Actual[[F-CurrentVDO_Input]:[F-NextVDO_Input]],0,MATCH(TUNet_Usage_PerRate_1[[#This Row],[VDO decision]],Input_TUNet_Actual[[#Headers],[F-CurrentVDO_Input]:[F-NextVDO_Input]],0)),
Input_TUNet_Actual[Customer type],$E95,Input_TUNet_Actual[Item],$C95&amp;" - "&amp;G$94)))</f>
        <v>-</v>
      </c>
      <c r="H95" s="188" t="str">
        <f>IF(SUMIFS(
INDEX(Input_TUNet_Actual[[F-CurrentVDO_Input]:[F-NextVDO_Input]],0,MATCH(TUNet_Usage_PerRate_1[[#This Row],[VDO decision]],Input_TUNet_Actual[[#Headers],[F-CurrentVDO_Input]:[F-NextVDO_Input]],0)),
Input_TUNet_Actual[Customer type],$E95,Input_TUNet_Actual[Item],$C95&amp;" - "&amp;H$94)=0,"-",MIN(SUMIFS(TUNet_Usage_Actual_1[Value],TUNet_Usage_Actual_1[Customer type],$E95,TUNet_Usage_Actual_1[Description],"Usage per customer"),SUMIFS(
INDEX(Input_TUNet_Actual[[F-CurrentVDO_Input]:[F-NextVDO_Input]],0,MATCH(TUNet_Usage_PerRate_1[[#This Row],[VDO decision]],Input_TUNet_Actual[[#Headers],[F-CurrentVDO_Input]:[F-NextVDO_Input]],0)),
Input_TUNet_Actual[Customer type],$E95,Input_TUNet_Actual[Item],$C95&amp;" - "&amp;H$94)))</f>
        <v>-</v>
      </c>
      <c r="I95" s="188" t="str">
        <f>IF(SUMIFS(
INDEX(Input_TUNet_Actual[[F-CurrentVDO_Input]:[F-NextVDO_Input]],0,MATCH(TUNet_Usage_PerRate_1[[#This Row],[VDO decision]],Input_TUNet_Actual[[#Headers],[F-CurrentVDO_Input]:[F-NextVDO_Input]],0)),
Input_TUNet_Actual[Customer type],$E95,Input_TUNet_Actual[Item],$C95&amp;" - "&amp;I$94)=0,"-",MIN(SUMIFS(TUNet_Usage_Actual_1[Value],TUNet_Usage_Actual_1[Customer type],$E95,TUNet_Usage_Actual_1[Description],"Usage per customer"),SUMIFS(
INDEX(Input_TUNet_Actual[[F-CurrentVDO_Input]:[F-NextVDO_Input]],0,MATCH(TUNet_Usage_PerRate_1[[#This Row],[VDO decision]],Input_TUNet_Actual[[#Headers],[F-CurrentVDO_Input]:[F-NextVDO_Input]],0)),
Input_TUNet_Actual[Customer type],$E95,Input_TUNet_Actual[Item],$C95&amp;" - "&amp;I$94)))</f>
        <v>-</v>
      </c>
      <c r="J95" s="188" t="str">
        <f>IF(SUMIFS(
INDEX(Input_TUNet_Actual[[F-CurrentVDO_Input]:[F-NextVDO_Input]],0,MATCH(TUNet_Usage_PerRate_1[[#This Row],[VDO decision]],Input_TUNet_Actual[[#Headers],[F-CurrentVDO_Input]:[F-NextVDO_Input]],0)),
Input_TUNet_Actual[Customer type],$E95,Input_TUNet_Actual[Item],$C95&amp;" - "&amp;J$94)=0,"-",MIN(SUMIFS(TUNet_Usage_Actual_1[Value],TUNet_Usage_Actual_1[Customer type],$E95,TUNet_Usage_Actual_1[Description],"Usage per customer"),SUMIFS(
INDEX(Input_TUNet_Actual[[F-CurrentVDO_Input]:[F-NextVDO_Input]],0,MATCH(TUNet_Usage_PerRate_1[[#This Row],[VDO decision]],Input_TUNet_Actual[[#Headers],[F-CurrentVDO_Input]:[F-NextVDO_Input]],0)),
Input_TUNet_Actual[Customer type],$E95,Input_TUNet_Actual[Item],$C95&amp;" - "&amp;J$94)))</f>
        <v>-</v>
      </c>
    </row>
    <row r="96" spans="2:10" hidden="1" x14ac:dyDescent="0.25">
      <c r="B96"/>
      <c r="C96" s="60" t="s">
        <v>592</v>
      </c>
      <c r="D96" s="83" t="str">
        <f>INDEX(Inputs!$H$10:$Q$10,1,MATCH($D$5,Inputs!$H$8:$Q$8,0))</f>
        <v>VF-CurrentVDO_Input</v>
      </c>
      <c r="E96" s="60" t="s">
        <v>101</v>
      </c>
      <c r="F96" s="188" t="str">
        <f>IF(SUMIFS(
INDEX(Input_TUNet_Actual[[F-CurrentVDO_Input]:[F-NextVDO_Input]],0,MATCH(TUNet_Usage_PerRate_1[[#This Row],[VDO decision]],Input_TUNet_Actual[[#Headers],[F-CurrentVDO_Input]:[F-NextVDO_Input]],0)),
Input_TUNet_Actual[Customer type],$E96,Input_TUNet_Actual[Item],$C96&amp;" - "&amp;F$94)=0,"-",MIN(SUMIFS(TUNet_Usage_Actual_1[Value],TUNet_Usage_Actual_1[Customer type],$E96,TUNet_Usage_Actual_1[Description],"Usage per customer"),SUMIFS(
INDEX(Input_TUNet_Actual[[F-CurrentVDO_Input]:[F-NextVDO_Input]],0,MATCH(TUNet_Usage_PerRate_1[[#This Row],[VDO decision]],Input_TUNet_Actual[[#Headers],[F-CurrentVDO_Input]:[F-NextVDO_Input]],0)),
Input_TUNet_Actual[Customer type],$E96,Input_TUNet_Actual[Item],$C96&amp;" - "&amp;F$94)))</f>
        <v>-</v>
      </c>
      <c r="G96" s="188" t="str">
        <f>IF(SUMIFS(
INDEX(Input_TUNet_Actual[[F-CurrentVDO_Input]:[F-NextVDO_Input]],0,MATCH(TUNet_Usage_PerRate_1[[#This Row],[VDO decision]],Input_TUNet_Actual[[#Headers],[F-CurrentVDO_Input]:[F-NextVDO_Input]],0)),
Input_TUNet_Actual[Customer type],$E96,Input_TUNet_Actual[Item],$C96&amp;" - "&amp;G$94)=0,"-",MIN(SUMIFS(TUNet_Usage_Actual_1[Value],TUNet_Usage_Actual_1[Customer type],$E96,TUNet_Usage_Actual_1[Description],"Usage per customer"),SUMIFS(
INDEX(Input_TUNet_Actual[[F-CurrentVDO_Input]:[F-NextVDO_Input]],0,MATCH(TUNet_Usage_PerRate_1[[#This Row],[VDO decision]],Input_TUNet_Actual[[#Headers],[F-CurrentVDO_Input]:[F-NextVDO_Input]],0)),
Input_TUNet_Actual[Customer type],$E96,Input_TUNet_Actual[Item],$C96&amp;" - "&amp;G$94)))</f>
        <v>-</v>
      </c>
      <c r="H96" s="188" t="str">
        <f>IF(SUMIFS(
INDEX(Input_TUNet_Actual[[F-CurrentVDO_Input]:[F-NextVDO_Input]],0,MATCH(TUNet_Usage_PerRate_1[[#This Row],[VDO decision]],Input_TUNet_Actual[[#Headers],[F-CurrentVDO_Input]:[F-NextVDO_Input]],0)),
Input_TUNet_Actual[Customer type],$E96,Input_TUNet_Actual[Item],$C96&amp;" - "&amp;H$94)=0,"-",MIN(SUMIFS(TUNet_Usage_Actual_1[Value],TUNet_Usage_Actual_1[Customer type],$E96,TUNet_Usage_Actual_1[Description],"Usage per customer"),SUMIFS(
INDEX(Input_TUNet_Actual[[F-CurrentVDO_Input]:[F-NextVDO_Input]],0,MATCH(TUNet_Usage_PerRate_1[[#This Row],[VDO decision]],Input_TUNet_Actual[[#Headers],[F-CurrentVDO_Input]:[F-NextVDO_Input]],0)),
Input_TUNet_Actual[Customer type],$E96,Input_TUNet_Actual[Item],$C96&amp;" - "&amp;H$94)))</f>
        <v>-</v>
      </c>
      <c r="I96" s="188" t="str">
        <f>IF(SUMIFS(
INDEX(Input_TUNet_Actual[[F-CurrentVDO_Input]:[F-NextVDO_Input]],0,MATCH(TUNet_Usage_PerRate_1[[#This Row],[VDO decision]],Input_TUNet_Actual[[#Headers],[F-CurrentVDO_Input]:[F-NextVDO_Input]],0)),
Input_TUNet_Actual[Customer type],$E96,Input_TUNet_Actual[Item],$C96&amp;" - "&amp;I$94)=0,"-",MIN(SUMIFS(TUNet_Usage_Actual_1[Value],TUNet_Usage_Actual_1[Customer type],$E96,TUNet_Usage_Actual_1[Description],"Usage per customer"),SUMIFS(
INDEX(Input_TUNet_Actual[[F-CurrentVDO_Input]:[F-NextVDO_Input]],0,MATCH(TUNet_Usage_PerRate_1[[#This Row],[VDO decision]],Input_TUNet_Actual[[#Headers],[F-CurrentVDO_Input]:[F-NextVDO_Input]],0)),
Input_TUNet_Actual[Customer type],$E96,Input_TUNet_Actual[Item],$C96&amp;" - "&amp;I$94)))</f>
        <v>-</v>
      </c>
      <c r="J96" s="188" t="str">
        <f>IF(SUMIFS(
INDEX(Input_TUNet_Actual[[F-CurrentVDO_Input]:[F-NextVDO_Input]],0,MATCH(TUNet_Usage_PerRate_1[[#This Row],[VDO decision]],Input_TUNet_Actual[[#Headers],[F-CurrentVDO_Input]:[F-NextVDO_Input]],0)),
Input_TUNet_Actual[Customer type],$E96,Input_TUNet_Actual[Item],$C96&amp;" - "&amp;J$94)=0,"-",MIN(SUMIFS(TUNet_Usage_Actual_1[Value],TUNet_Usage_Actual_1[Customer type],$E96,TUNet_Usage_Actual_1[Description],"Usage per customer"),SUMIFS(
INDEX(Input_TUNet_Actual[[F-CurrentVDO_Input]:[F-NextVDO_Input]],0,MATCH(TUNet_Usage_PerRate_1[[#This Row],[VDO decision]],Input_TUNet_Actual[[#Headers],[F-CurrentVDO_Input]:[F-NextVDO_Input]],0)),
Input_TUNet_Actual[Customer type],$E96,Input_TUNet_Actual[Item],$C96&amp;" - "&amp;J$94)))</f>
        <v>-</v>
      </c>
    </row>
    <row r="97" spans="2:15" hidden="1" x14ac:dyDescent="0.25">
      <c r="B97"/>
      <c r="C97" s="185" t="s">
        <v>593</v>
      </c>
      <c r="D97" s="83" t="str">
        <f>INDEX(Inputs!$H$10:$Q$10,1,MATCH($D$5,Inputs!$H$8:$Q$8,0))</f>
        <v>VF-CurrentVDO_Input</v>
      </c>
      <c r="E97" s="60" t="s">
        <v>100</v>
      </c>
      <c r="F97" s="188" t="str">
        <f>IF(SUMIFS(F$95:F$96,$E$95:$E$96,$E97,$C$95:$C$96,"Usage per customer - Block 1")=0,"-",SUMIFS(TUNet_Usage_Actual_1[Value],TUNet_Usage_Actual_1[Customer type],$E97,TUNet_Usage_Actual_1[Description],"Usage per customer")-SUMIFS(F$95:F$96,$E$95:$E$96,$E97,$C$95:$C$96,"Usage per customer - Block 1"))</f>
        <v>-</v>
      </c>
      <c r="G97" s="188" t="str">
        <f>IF(SUMIFS(G$95:G$96,$E$95:$E$96,$E97,$C$95:$C$96,"Usage per customer - Block 1")=0,"-",SUMIFS(TUNet_Usage_Actual_1[Value],TUNet_Usage_Actual_1[Customer type],$E97,TUNet_Usage_Actual_1[Description],"Usage per customer")-SUMIFS(G$95:G$96,$E$95:$E$96,$E97,$C$95:$C$96,"Usage per customer - Block 1"))</f>
        <v>-</v>
      </c>
      <c r="H97" s="188" t="str">
        <f>IF(SUMIFS(H$95:H$96,$E$95:$E$96,$E97,$C$95:$C$96,"Usage per customer - Block 1")=0,"-",SUMIFS(TUNet_Usage_Actual_1[Value],TUNet_Usage_Actual_1[Customer type],$E97,TUNet_Usage_Actual_1[Description],"Usage per customer")-SUMIFS(H$95:H$96,$E$95:$E$96,$E97,$C$95:$C$96,"Usage per customer - Block 1"))</f>
        <v>-</v>
      </c>
      <c r="I97" s="188" t="str">
        <f>IF(SUMIFS(I$95:I$96,$E$95:$E$96,$E97,$C$95:$C$96,"Usage per customer - Block 1")=0,"-",SUMIFS(TUNet_Usage_Actual_1[Value],TUNet_Usage_Actual_1[Customer type],$E97,TUNet_Usage_Actual_1[Description],"Usage per customer")-SUMIFS(I$95:I$96,$E$95:$E$96,$E97,$C$95:$C$96,"Usage per customer - Block 1"))</f>
        <v>-</v>
      </c>
      <c r="J97" s="188" t="str">
        <f>IF(SUMIFS(J$95:J$96,$E$95:$E$96,$E97,$C$95:$C$96,"Usage per customer - Block 1")=0,"-",SUMIFS(TUNet_Usage_Actual_1[Value],TUNet_Usage_Actual_1[Customer type],$E97,TUNet_Usage_Actual_1[Description],"Usage per customer")-SUMIFS(J$95:J$96,$E$95:$E$96,$E97,$C$95:$C$96,"Usage per customer - Block 1"))</f>
        <v>-</v>
      </c>
    </row>
    <row r="98" spans="2:15" hidden="1" x14ac:dyDescent="0.25">
      <c r="B98"/>
      <c r="C98" s="185" t="s">
        <v>593</v>
      </c>
      <c r="D98" s="83" t="str">
        <f>INDEX(Inputs!$H$10:$Q$10,1,MATCH($D$5,Inputs!$H$8:$Q$8,0))</f>
        <v>VF-CurrentVDO_Input</v>
      </c>
      <c r="E98" s="60" t="s">
        <v>101</v>
      </c>
      <c r="F98" s="188" t="str">
        <f>IF(SUMIFS(F$95:F$96,$E$95:$E$96,$E98,$C$95:$C$96,"Usage per customer - Block 1")=0,"-",SUMIFS(TUNet_Usage_Actual_1[Value],TUNet_Usage_Actual_1[Customer type],$E98,TUNet_Usage_Actual_1[Description],"Usage per customer")-SUMIFS(F$95:F$96,$E$95:$E$96,$E98,$C$95:$C$96,"Usage per customer - Block 1"))</f>
        <v>-</v>
      </c>
      <c r="G98" s="188" t="str">
        <f>IF(SUMIFS(G$95:G$96,$E$95:$E$96,$E98,$C$95:$C$96,"Usage per customer - Block 1")=0,"-",SUMIFS(TUNet_Usage_Actual_1[Value],TUNet_Usage_Actual_1[Customer type],$E98,TUNet_Usage_Actual_1[Description],"Usage per customer")-SUMIFS(G$95:G$96,$E$95:$E$96,$E98,$C$95:$C$96,"Usage per customer - Block 1"))</f>
        <v>-</v>
      </c>
      <c r="H98" s="188" t="str">
        <f>IF(SUMIFS(H$95:H$96,$E$95:$E$96,$E98,$C$95:$C$96,"Usage per customer - Block 1")=0,"-",SUMIFS(TUNet_Usage_Actual_1[Value],TUNet_Usage_Actual_1[Customer type],$E98,TUNet_Usage_Actual_1[Description],"Usage per customer")-SUMIFS(H$95:H$96,$E$95:$E$96,$E98,$C$95:$C$96,"Usage per customer - Block 1"))</f>
        <v>-</v>
      </c>
      <c r="I98" s="188" t="str">
        <f>IF(SUMIFS(I$95:I$96,$E$95:$E$96,$E98,$C$95:$C$96,"Usage per customer - Block 1")=0,"-",SUMIFS(TUNet_Usage_Actual_1[Value],TUNet_Usage_Actual_1[Customer type],$E98,TUNet_Usage_Actual_1[Description],"Usage per customer")-SUMIFS(I$95:I$96,$E$95:$E$96,$E98,$C$95:$C$96,"Usage per customer - Block 1"))</f>
        <v>-</v>
      </c>
      <c r="J98" s="188" t="str">
        <f>IF(SUMIFS(J$95:J$96,$E$95:$E$96,$E98,$C$95:$C$96,"Usage per customer - Block 1")=0,"-",SUMIFS(TUNet_Usage_Actual_1[Value],TUNet_Usage_Actual_1[Customer type],$E98,TUNet_Usage_Actual_1[Description],"Usage per customer")-SUMIFS(J$95:J$96,$E$95:$E$96,$E98,$C$95:$C$96,"Usage per customer - Block 1"))</f>
        <v>-</v>
      </c>
    </row>
    <row r="99" spans="2:15" hidden="1" x14ac:dyDescent="0.25">
      <c r="B99"/>
      <c r="C99" s="185" t="s">
        <v>594</v>
      </c>
      <c r="D99" s="83" t="str">
        <f>INDEX(Inputs!$H$10:$Q$10,1,MATCH($D$5,Inputs!$H$8:$Q$8,0))</f>
        <v>VF-CurrentVDO_Input</v>
      </c>
      <c r="E99" s="60" t="s">
        <v>100</v>
      </c>
      <c r="F99" s="188">
        <f>IF(SUMIFS(
INDEX(Input_TUNet_Actual[[F-CurrentVDO_Input]:[F-NextVDO_Input]],0,MATCH(TUNet_Usage_PerRate_1[[#This Row],[VDO decision]],Input_TUNet_Actual[[#Headers],[F-CurrentVDO_Input]:[F-NextVDO_Input]],0)),
Input_TUNet_Actual[Customer type],$E99,Input_TUNet_Actual[Item],"Usage per customer - Block 1 - "&amp;F$94)=0,SUMIFS(TUNet_Usage_Actual_1[Value],TUNet_Usage_Actual_1[Customer type],$E99,TUNet_Usage_Actual_1[Description],"Usage per customer"),"-")</f>
        <v>0</v>
      </c>
      <c r="G99" s="188">
        <f>IF(SUMIFS(
INDEX(Input_TUNet_Actual[[F-CurrentVDO_Input]:[F-NextVDO_Input]],0,MATCH(TUNet_Usage_PerRate_1[[#This Row],[VDO decision]],Input_TUNet_Actual[[#Headers],[F-CurrentVDO_Input]:[F-NextVDO_Input]],0)),
Input_TUNet_Actual[Customer type],$E99,Input_TUNet_Actual[Item],"Usage per customer - Block 1 - "&amp;G$94)=0,SUMIFS(TUNet_Usage_Actual_1[Value],TUNet_Usage_Actual_1[Customer type],$E99,TUNet_Usage_Actual_1[Description],"Usage per customer"),"-")</f>
        <v>0</v>
      </c>
      <c r="H99" s="188">
        <f>IF(SUMIFS(
INDEX(Input_TUNet_Actual[[F-CurrentVDO_Input]:[F-NextVDO_Input]],0,MATCH(TUNet_Usage_PerRate_1[[#This Row],[VDO decision]],Input_TUNet_Actual[[#Headers],[F-CurrentVDO_Input]:[F-NextVDO_Input]],0)),
Input_TUNet_Actual[Customer type],$E99,Input_TUNet_Actual[Item],"Usage per customer - Block 1 - "&amp;H$94)=0,SUMIFS(TUNet_Usage_Actual_1[Value],TUNet_Usage_Actual_1[Customer type],$E99,TUNet_Usage_Actual_1[Description],"Usage per customer"),"-")</f>
        <v>0</v>
      </c>
      <c r="I99" s="188">
        <f>IF(SUMIFS(
INDEX(Input_TUNet_Actual[[F-CurrentVDO_Input]:[F-NextVDO_Input]],0,MATCH(TUNet_Usage_PerRate_1[[#This Row],[VDO decision]],Input_TUNet_Actual[[#Headers],[F-CurrentVDO_Input]:[F-NextVDO_Input]],0)),
Input_TUNet_Actual[Customer type],$E99,Input_TUNet_Actual[Item],"Usage per customer - Block 1 - "&amp;I$94)=0,SUMIFS(TUNet_Usage_Actual_1[Value],TUNet_Usage_Actual_1[Customer type],$E99,TUNet_Usage_Actual_1[Description],"Usage per customer"),"-")</f>
        <v>0</v>
      </c>
      <c r="J99" s="188">
        <f>IF(SUMIFS(
INDEX(Input_TUNet_Actual[[F-CurrentVDO_Input]:[F-NextVDO_Input]],0,MATCH(TUNet_Usage_PerRate_1[[#This Row],[VDO decision]],Input_TUNet_Actual[[#Headers],[F-CurrentVDO_Input]:[F-NextVDO_Input]],0)),
Input_TUNet_Actual[Customer type],$E99,Input_TUNet_Actual[Item],"Usage per customer - Block 1 - "&amp;J$94)=0,SUMIFS(TUNet_Usage_Actual_1[Value],TUNet_Usage_Actual_1[Customer type],$E99,TUNet_Usage_Actual_1[Description],"Usage per customer"),"-")</f>
        <v>0</v>
      </c>
    </row>
    <row r="100" spans="2:15" hidden="1" x14ac:dyDescent="0.25">
      <c r="B100"/>
      <c r="C100" s="149" t="s">
        <v>594</v>
      </c>
      <c r="D100" s="83" t="str">
        <f>INDEX(Inputs!$H$10:$Q$10,1,MATCH($D$5,Inputs!$H$8:$Q$8,0))</f>
        <v>VF-CurrentVDO_Input</v>
      </c>
      <c r="E100" s="60" t="s">
        <v>101</v>
      </c>
      <c r="F100" s="188">
        <f>IF(SUMIFS(
INDEX(Input_TUNet_Actual[[F-CurrentVDO_Input]:[F-NextVDO_Input]],0,MATCH(TUNet_Usage_PerRate_1[[#This Row],[VDO decision]],Input_TUNet_Actual[[#Headers],[F-CurrentVDO_Input]:[F-NextVDO_Input]],0)),
Input_TUNet_Actual[Customer type],$E100,Input_TUNet_Actual[Item],"Usage per customer - Block 1 - "&amp;F$94)=0,SUMIFS(TUNet_Usage_Actual_1[Value],TUNet_Usage_Actual_1[Customer type],$E100,TUNet_Usage_Actual_1[Description],"Usage per customer"),"-")</f>
        <v>0</v>
      </c>
      <c r="G100" s="188">
        <f>IF(SUMIFS(
INDEX(Input_TUNet_Actual[[F-CurrentVDO_Input]:[F-NextVDO_Input]],0,MATCH(TUNet_Usage_PerRate_1[[#This Row],[VDO decision]],Input_TUNet_Actual[[#Headers],[F-CurrentVDO_Input]:[F-NextVDO_Input]],0)),
Input_TUNet_Actual[Customer type],$E100,Input_TUNet_Actual[Item],"Usage per customer - Block 1 - "&amp;G$94)=0,SUMIFS(TUNet_Usage_Actual_1[Value],TUNet_Usage_Actual_1[Customer type],$E100,TUNet_Usage_Actual_1[Description],"Usage per customer"),"-")</f>
        <v>0</v>
      </c>
      <c r="H100" s="188">
        <f>IF(SUMIFS(
INDEX(Input_TUNet_Actual[[F-CurrentVDO_Input]:[F-NextVDO_Input]],0,MATCH(TUNet_Usage_PerRate_1[[#This Row],[VDO decision]],Input_TUNet_Actual[[#Headers],[F-CurrentVDO_Input]:[F-NextVDO_Input]],0)),
Input_TUNet_Actual[Customer type],$E100,Input_TUNet_Actual[Item],"Usage per customer - Block 1 - "&amp;H$94)=0,SUMIFS(TUNet_Usage_Actual_1[Value],TUNet_Usage_Actual_1[Customer type],$E100,TUNet_Usage_Actual_1[Description],"Usage per customer"),"-")</f>
        <v>0</v>
      </c>
      <c r="I100" s="188">
        <f>IF(SUMIFS(
INDEX(Input_TUNet_Actual[[F-CurrentVDO_Input]:[F-NextVDO_Input]],0,MATCH(TUNet_Usage_PerRate_1[[#This Row],[VDO decision]],Input_TUNet_Actual[[#Headers],[F-CurrentVDO_Input]:[F-NextVDO_Input]],0)),
Input_TUNet_Actual[Customer type],$E100,Input_TUNet_Actual[Item],"Usage per customer - Block 1 - "&amp;I$94)=0,SUMIFS(TUNet_Usage_Actual_1[Value],TUNet_Usage_Actual_1[Customer type],$E100,TUNet_Usage_Actual_1[Description],"Usage per customer"),"-")</f>
        <v>0</v>
      </c>
      <c r="J100" s="188">
        <f>IF(SUMIFS(
INDEX(Input_TUNet_Actual[[F-CurrentVDO_Input]:[F-NextVDO_Input]],0,MATCH(TUNet_Usage_PerRate_1[[#This Row],[VDO decision]],Input_TUNet_Actual[[#Headers],[F-CurrentVDO_Input]:[F-NextVDO_Input]],0)),
Input_TUNet_Actual[Customer type],$E100,Input_TUNet_Actual[Item],"Usage per customer - Block 1 - "&amp;J$94)=0,SUMIFS(TUNet_Usage_Actual_1[Value],TUNet_Usage_Actual_1[Customer type],$E100,TUNet_Usage_Actual_1[Description],"Usage per customer"),"-")</f>
        <v>0</v>
      </c>
    </row>
    <row r="101" spans="2:15" hidden="1" x14ac:dyDescent="0.25">
      <c r="B101"/>
    </row>
    <row r="102" spans="2:15" ht="15.75" hidden="1" x14ac:dyDescent="0.25">
      <c r="B102"/>
      <c r="C102" s="30" t="s">
        <v>578</v>
      </c>
    </row>
    <row r="103" spans="2:15" ht="15.75" hidden="1" x14ac:dyDescent="0.25">
      <c r="C103" s="44" t="s">
        <v>54</v>
      </c>
      <c r="D103" s="44" t="s">
        <v>109</v>
      </c>
      <c r="E103" s="44" t="s">
        <v>523</v>
      </c>
      <c r="F103" s="44" t="s">
        <v>526</v>
      </c>
      <c r="G103" s="44" t="s">
        <v>324</v>
      </c>
      <c r="H103" s="44" t="s">
        <v>110</v>
      </c>
      <c r="I103" s="44" t="s">
        <v>111</v>
      </c>
      <c r="J103" s="43" t="s">
        <v>99</v>
      </c>
      <c r="K103" s="61" t="s">
        <v>277</v>
      </c>
      <c r="L103" s="61" t="s">
        <v>278</v>
      </c>
      <c r="M103" s="61" t="s">
        <v>279</v>
      </c>
      <c r="N103" s="61" t="s">
        <v>280</v>
      </c>
      <c r="O103" s="61" t="s">
        <v>281</v>
      </c>
    </row>
    <row r="104" spans="2:15" hidden="1" x14ac:dyDescent="0.25">
      <c r="C104" s="60"/>
      <c r="D104" s="60"/>
      <c r="E104" s="60"/>
      <c r="F104" s="60"/>
      <c r="G104" s="60"/>
      <c r="H104" s="60"/>
      <c r="I104" s="60"/>
      <c r="J104" s="60"/>
      <c r="K104" s="67"/>
      <c r="L104" s="60"/>
      <c r="M104" s="60"/>
      <c r="N104" s="60"/>
      <c r="O104" s="60"/>
    </row>
    <row r="105" spans="2:15" ht="15.75" hidden="1" x14ac:dyDescent="0.25">
      <c r="C105" s="1" t="s">
        <v>484</v>
      </c>
      <c r="D105" s="60"/>
      <c r="E105" s="60"/>
      <c r="F105" s="60"/>
      <c r="G105" s="69" t="s">
        <v>570</v>
      </c>
      <c r="H105" s="60"/>
      <c r="I105" s="60"/>
      <c r="J105" s="60"/>
      <c r="K105" s="67"/>
      <c r="L105" s="60"/>
      <c r="M105" s="60"/>
      <c r="N105" s="60"/>
      <c r="O105" s="60"/>
    </row>
    <row r="106" spans="2:15" hidden="1" x14ac:dyDescent="0.25">
      <c r="C106" s="58" t="s">
        <v>498</v>
      </c>
      <c r="D106" s="58"/>
      <c r="E106" s="58"/>
      <c r="F106" s="58"/>
      <c r="G106" s="69"/>
      <c r="H106" s="69"/>
      <c r="I106" s="24"/>
      <c r="J106" s="24"/>
      <c r="K106" s="66"/>
      <c r="L106" s="24"/>
      <c r="M106" s="24"/>
      <c r="N106" s="24"/>
      <c r="O106" s="24"/>
    </row>
    <row r="107" spans="2:15" hidden="1" x14ac:dyDescent="0.25">
      <c r="C107" s="60" t="s">
        <v>473</v>
      </c>
      <c r="D107" s="83" t="str">
        <f>Calc_TU_values!$D$5</f>
        <v>VDO 2021 - Variation final</v>
      </c>
      <c r="E107" s="24" t="s">
        <v>524</v>
      </c>
      <c r="F107" s="83" t="str">
        <f>INDEX(Inputs!$H$10:$Q$10,1,MATCH($D107,Inputs!$H$8:$Q$8,0))</f>
        <v>VF-CurrentVDO_Input</v>
      </c>
      <c r="G107" s="59"/>
      <c r="H107" s="24" t="s">
        <v>117</v>
      </c>
      <c r="I107" s="24" t="s">
        <v>118</v>
      </c>
      <c r="J107" s="60" t="s">
        <v>100</v>
      </c>
      <c r="K107" s="67" cm="1">
        <f t="array" ref="K107">IFERROR(INDEX(Input_ForRateCalc[],MATCH($C107&amp;" - "&amp;K$103,Input_ForRateCalc[[Cost item]:[Cost item]],0),MATCH(Calc_TUV_Net_1[[#This Row],[Decision ref]:[Decision ref]],Input_ForRateCalc[#Headers],0)),"-")*TUProp_Days_1</f>
        <v>0</v>
      </c>
      <c r="L107" s="67" cm="1">
        <f t="array" ref="L107">IFERROR(INDEX(Input_ForRateCalc[],MATCH($C107&amp;" - "&amp;L$103,Input_ForRateCalc[[Cost item]:[Cost item]],0),MATCH(Calc_TUV_Net_1[[#This Row],[Decision ref]:[Decision ref]],Input_ForRateCalc[#Headers],0)),"-")*TUProp_Days_1</f>
        <v>0</v>
      </c>
      <c r="M107" s="67" cm="1">
        <f t="array" ref="M107">IFERROR(INDEX(Input_ForRateCalc[],MATCH($C107&amp;" - "&amp;M$103,Input_ForRateCalc[[Cost item]:[Cost item]],0),MATCH(Calc_TUV_Net_1[[#This Row],[Decision ref]:[Decision ref]],Input_ForRateCalc[#Headers],0)),"-")*TUProp_Days_1</f>
        <v>0</v>
      </c>
      <c r="N107" s="67" cm="1">
        <f t="array" ref="N107">IFERROR(INDEX(Input_ForRateCalc[],MATCH($C107&amp;" - "&amp;N$103,Input_ForRateCalc[[Cost item]:[Cost item]],0),MATCH(Calc_TUV_Net_1[[#This Row],[Decision ref]:[Decision ref]],Input_ForRateCalc[#Headers],0)),"-")*TUProp_Days_1</f>
        <v>0</v>
      </c>
      <c r="O107" s="67" cm="1">
        <f t="array" ref="O107">IFERROR(INDEX(Input_ForRateCalc[],MATCH($C107&amp;" - "&amp;O$103,Input_ForRateCalc[[Cost item]:[Cost item]],0),MATCH(Calc_TUV_Net_1[[#This Row],[Decision ref]:[Decision ref]],Input_ForRateCalc[#Headers],0)),"-")*TUProp_Days_1</f>
        <v>0</v>
      </c>
    </row>
    <row r="108" spans="2:15" hidden="1" x14ac:dyDescent="0.25">
      <c r="C108" s="60" t="s">
        <v>284</v>
      </c>
      <c r="D108" s="83" t="str">
        <f>Calc_TU_values!$D$5</f>
        <v>VDO 2021 - Variation final</v>
      </c>
      <c r="E108" s="24" t="s">
        <v>524</v>
      </c>
      <c r="F108" s="83" t="str">
        <f>INDEX(Inputs!$H$10:$Q$10,1,MATCH($D108,Inputs!$H$8:$Q$8,0))</f>
        <v>VF-CurrentVDO_Input</v>
      </c>
      <c r="G108" s="59"/>
      <c r="H108" s="24" t="s">
        <v>117</v>
      </c>
      <c r="I108" s="24" t="s">
        <v>118</v>
      </c>
      <c r="J108" s="60" t="s">
        <v>100</v>
      </c>
      <c r="K108" s="67" cm="1">
        <f t="array" ref="K108">IFERROR(INDEX(Input_ForRateCalc[],MATCH($C108&amp;" - "&amp;K$103,Input_ForRateCalc[[Cost item]:[Cost item]],0),MATCH(Calc_TUV_Net_1[[#This Row],[Decision ref]:[Decision ref]],Input_ForRateCalc[#Headers],0)),"-")*TUProp_Days_1</f>
        <v>0</v>
      </c>
      <c r="L108" s="67" cm="1">
        <f t="array" ref="L108">IFERROR(INDEX(Input_ForRateCalc[],MATCH($C108&amp;" - "&amp;L$103,Input_ForRateCalc[[Cost item]:[Cost item]],0),MATCH(Calc_TUV_Net_1[[#This Row],[Decision ref]:[Decision ref]],Input_ForRateCalc[#Headers],0)),"-")*TUProp_Days_1</f>
        <v>0</v>
      </c>
      <c r="M108" s="67" cm="1">
        <f t="array" ref="M108">IFERROR(INDEX(Input_ForRateCalc[],MATCH($C108&amp;" - "&amp;M$103,Input_ForRateCalc[[Cost item]:[Cost item]],0),MATCH(Calc_TUV_Net_1[[#This Row],[Decision ref]:[Decision ref]],Input_ForRateCalc[#Headers],0)),"-")*TUProp_Days_1</f>
        <v>0</v>
      </c>
      <c r="N108" s="67" cm="1">
        <f t="array" ref="N108">IFERROR(INDEX(Input_ForRateCalc[],MATCH($C108&amp;" - "&amp;N$103,Input_ForRateCalc[[Cost item]:[Cost item]],0),MATCH(Calc_TUV_Net_1[[#This Row],[Decision ref]:[Decision ref]],Input_ForRateCalc[#Headers],0)),"-")*TUProp_Days_1</f>
        <v>0</v>
      </c>
      <c r="O108" s="67" cm="1">
        <f t="array" ref="O108">IFERROR(INDEX(Input_ForRateCalc[],MATCH($C108&amp;" - "&amp;O$103,Input_ForRateCalc[[Cost item]:[Cost item]],0),MATCH(Calc_TUV_Net_1[[#This Row],[Decision ref]:[Decision ref]],Input_ForRateCalc[#Headers],0)),"-")*TUProp_Days_1</f>
        <v>0</v>
      </c>
    </row>
    <row r="109" spans="2:15" hidden="1" x14ac:dyDescent="0.25">
      <c r="C109" s="60" t="s">
        <v>327</v>
      </c>
      <c r="D109" s="83" t="str">
        <f>Calc_TU_values!$D$5</f>
        <v>VDO 2021 - Variation final</v>
      </c>
      <c r="E109" s="24" t="s">
        <v>524</v>
      </c>
      <c r="F109" s="83" t="str">
        <f>INDEX(Inputs!$H$10:$Q$10,1,MATCH($D109,Inputs!$H$8:$Q$8,0))</f>
        <v>VF-CurrentVDO_Input</v>
      </c>
      <c r="G109" s="59"/>
      <c r="H109" s="24" t="s">
        <v>117</v>
      </c>
      <c r="I109" s="24" t="s">
        <v>118</v>
      </c>
      <c r="J109" s="60" t="s">
        <v>100</v>
      </c>
      <c r="K109" s="65">
        <f>IFERROR(SUM(K107:K108),"-")</f>
        <v>0</v>
      </c>
      <c r="L109" s="65">
        <f>IFERROR(SUM(L107:L108),"-")</f>
        <v>0</v>
      </c>
      <c r="M109" s="65">
        <f>IFERROR(SUM(M107:M108),"-")</f>
        <v>0</v>
      </c>
      <c r="N109" s="65">
        <f>IFERROR(SUM(N107:N108),"-")</f>
        <v>0</v>
      </c>
      <c r="O109" s="65">
        <f>IFERROR(SUM(O107:O108),"-")</f>
        <v>0</v>
      </c>
    </row>
    <row r="110" spans="2:15" hidden="1" x14ac:dyDescent="0.25">
      <c r="C110" s="60" t="s">
        <v>473</v>
      </c>
      <c r="D110" s="83" t="str">
        <f>INDEX(Input_DecisionActual[[Decision]:[Decision]],MATCH(Calc_TU_values!$D$5,Input_DecisionActual[[VDO period]:[VDO period]],0),1)</f>
        <v>VDO 2021 - Final</v>
      </c>
      <c r="E110" s="24" t="s">
        <v>525</v>
      </c>
      <c r="F110" s="83" t="str">
        <f>IF($D110="-","-",INDEX(Inputs!$H$10:$Q$10,1,MATCH($D110,Inputs!$H$8:$Q$8,0)))</f>
        <v>F-CurrentVDO_Input</v>
      </c>
      <c r="G110" s="59"/>
      <c r="H110" s="24" t="s">
        <v>117</v>
      </c>
      <c r="I110" s="24" t="s">
        <v>118</v>
      </c>
      <c r="J110" s="60" t="s">
        <v>100</v>
      </c>
      <c r="K110" s="67" cm="1">
        <f t="array" ref="K110">IFERROR(INDEX(Input_ForRateCalc[],MATCH($C110&amp;" - "&amp;K$103,Input_ForRateCalc[[Cost item]:[Cost item]],0),MATCH(Calc_TUV_Net_1[[#This Row],[Decision ref]:[Decision ref]],Input_ForRateCalc[#Headers],0)),"-")*TUProp_Days_1</f>
        <v>0</v>
      </c>
      <c r="L110" s="67" cm="1">
        <f t="array" ref="L110">IFERROR(INDEX(Input_ForRateCalc[],MATCH($C110&amp;" - "&amp;L$103,Input_ForRateCalc[[Cost item]:[Cost item]],0),MATCH(Calc_TUV_Net_1[[#This Row],[Decision ref]:[Decision ref]],Input_ForRateCalc[#Headers],0)),"-")*TUProp_Days_1</f>
        <v>0</v>
      </c>
      <c r="M110" s="67" cm="1">
        <f t="array" ref="M110">IFERROR(INDEX(Input_ForRateCalc[],MATCH($C110&amp;" - "&amp;M$103,Input_ForRateCalc[[Cost item]:[Cost item]],0),MATCH(Calc_TUV_Net_1[[#This Row],[Decision ref]:[Decision ref]],Input_ForRateCalc[#Headers],0)),"-")*TUProp_Days_1</f>
        <v>0</v>
      </c>
      <c r="N110" s="67" cm="1">
        <f t="array" ref="N110">IFERROR(INDEX(Input_ForRateCalc[],MATCH($C110&amp;" - "&amp;N$103,Input_ForRateCalc[[Cost item]:[Cost item]],0),MATCH(Calc_TUV_Net_1[[#This Row],[Decision ref]:[Decision ref]],Input_ForRateCalc[#Headers],0)),"-")*TUProp_Days_1</f>
        <v>0</v>
      </c>
      <c r="O110" s="67" cm="1">
        <f t="array" ref="O110">IFERROR(INDEX(Input_ForRateCalc[],MATCH($C110&amp;" - "&amp;O$103,Input_ForRateCalc[[Cost item]:[Cost item]],0),MATCH(Calc_TUV_Net_1[[#This Row],[Decision ref]:[Decision ref]],Input_ForRateCalc[#Headers],0)),"-")*TUProp_Days_1</f>
        <v>0</v>
      </c>
    </row>
    <row r="111" spans="2:15" hidden="1" x14ac:dyDescent="0.25">
      <c r="C111" s="60" t="s">
        <v>284</v>
      </c>
      <c r="D111" s="83" t="str">
        <f>INDEX(Input_DecisionActual[[Decision]:[Decision]],MATCH(Calc_TU_values!$D$5,Input_DecisionActual[[VDO period]:[VDO period]],0),1)</f>
        <v>VDO 2021 - Final</v>
      </c>
      <c r="E111" s="24" t="s">
        <v>525</v>
      </c>
      <c r="F111" s="83" t="str">
        <f>IF($D111="-","-",INDEX(Inputs!$H$10:$Q$10,1,MATCH($D111,Inputs!$H$8:$Q$8,0)))</f>
        <v>F-CurrentVDO_Input</v>
      </c>
      <c r="G111" s="59"/>
      <c r="H111" s="24" t="s">
        <v>117</v>
      </c>
      <c r="I111" s="24" t="s">
        <v>118</v>
      </c>
      <c r="J111" s="60" t="s">
        <v>100</v>
      </c>
      <c r="K111" s="67" cm="1">
        <f t="array" ref="K111">IFERROR(INDEX(Input_ForRateCalc[],MATCH($C111&amp;" - "&amp;K$103,Input_ForRateCalc[[Cost item]:[Cost item]],0),MATCH(Calc_TUV_Net_1[[#This Row],[Decision ref]:[Decision ref]],Input_ForRateCalc[#Headers],0)),"-")*TUProp_Days_1</f>
        <v>0</v>
      </c>
      <c r="L111" s="67" cm="1">
        <f t="array" ref="L111">IFERROR(INDEX(Input_ForRateCalc[],MATCH($C111&amp;" - "&amp;L$103,Input_ForRateCalc[[Cost item]:[Cost item]],0),MATCH(Calc_TUV_Net_1[[#This Row],[Decision ref]:[Decision ref]],Input_ForRateCalc[#Headers],0)),"-")*TUProp_Days_1</f>
        <v>0</v>
      </c>
      <c r="M111" s="67" cm="1">
        <f t="array" ref="M111">IFERROR(INDEX(Input_ForRateCalc[],MATCH($C111&amp;" - "&amp;M$103,Input_ForRateCalc[[Cost item]:[Cost item]],0),MATCH(Calc_TUV_Net_1[[#This Row],[Decision ref]:[Decision ref]],Input_ForRateCalc[#Headers],0)),"-")*TUProp_Days_1</f>
        <v>0</v>
      </c>
      <c r="N111" s="67" cm="1">
        <f t="array" ref="N111">IFERROR(INDEX(Input_ForRateCalc[],MATCH($C111&amp;" - "&amp;N$103,Input_ForRateCalc[[Cost item]:[Cost item]],0),MATCH(Calc_TUV_Net_1[[#This Row],[Decision ref]:[Decision ref]],Input_ForRateCalc[#Headers],0)),"-")*TUProp_Days_1</f>
        <v>0</v>
      </c>
      <c r="O111" s="67" cm="1">
        <f t="array" ref="O111">IFERROR(INDEX(Input_ForRateCalc[],MATCH($C111&amp;" - "&amp;O$103,Input_ForRateCalc[[Cost item]:[Cost item]],0),MATCH(Calc_TUV_Net_1[[#This Row],[Decision ref]:[Decision ref]],Input_ForRateCalc[#Headers],0)),"-")*TUProp_Days_1</f>
        <v>0</v>
      </c>
    </row>
    <row r="112" spans="2:15" hidden="1" x14ac:dyDescent="0.25">
      <c r="C112" s="60" t="s">
        <v>327</v>
      </c>
      <c r="D112" s="83" t="str">
        <f>INDEX(Input_DecisionActual[[Decision]:[Decision]],MATCH(Calc_TU_values!$D$5,Input_DecisionActual[[VDO period]:[VDO period]],0),1)</f>
        <v>VDO 2021 - Final</v>
      </c>
      <c r="E112" s="24" t="s">
        <v>525</v>
      </c>
      <c r="F112" s="83" t="str">
        <f>IF($D112="-","-",INDEX(Inputs!$H$10:$Q$10,1,MATCH($D112,Inputs!$H$8:$Q$8,0)))</f>
        <v>F-CurrentVDO_Input</v>
      </c>
      <c r="G112" s="59"/>
      <c r="H112" s="24" t="s">
        <v>117</v>
      </c>
      <c r="I112" s="24" t="s">
        <v>118</v>
      </c>
      <c r="J112" s="60" t="s">
        <v>100</v>
      </c>
      <c r="K112" s="66">
        <f>SUM(K110:K111)</f>
        <v>0</v>
      </c>
      <c r="L112" s="66">
        <f>SUM(L110:L111)</f>
        <v>0</v>
      </c>
      <c r="M112" s="66">
        <f>SUM(M110:M111)</f>
        <v>0</v>
      </c>
      <c r="N112" s="66">
        <f>SUM(N110:N111)</f>
        <v>0</v>
      </c>
      <c r="O112" s="66">
        <f>SUM(O110:O111)</f>
        <v>0</v>
      </c>
    </row>
    <row r="113" spans="3:15" hidden="1" x14ac:dyDescent="0.25">
      <c r="C113" s="60" t="s">
        <v>328</v>
      </c>
      <c r="D113" s="24"/>
      <c r="E113" s="24"/>
      <c r="F113" s="24"/>
      <c r="G113" s="24"/>
      <c r="H113" s="24" t="s">
        <v>117</v>
      </c>
      <c r="I113" s="24" t="s">
        <v>118</v>
      </c>
      <c r="J113" s="60" t="s">
        <v>100</v>
      </c>
      <c r="K113" s="66" t="str">
        <f>IF(K112=0,"-",K109-K112)</f>
        <v>-</v>
      </c>
      <c r="L113" s="66" t="str">
        <f t="shared" ref="L113:O113" si="44">IF(L112=0,"-",L109-L112)</f>
        <v>-</v>
      </c>
      <c r="M113" s="66" t="str">
        <f t="shared" si="44"/>
        <v>-</v>
      </c>
      <c r="N113" s="66" t="str">
        <f t="shared" si="44"/>
        <v>-</v>
      </c>
      <c r="O113" s="66" t="str">
        <f t="shared" si="44"/>
        <v>-</v>
      </c>
    </row>
    <row r="114" spans="3:15" hidden="1" x14ac:dyDescent="0.25">
      <c r="C114" s="60" t="s">
        <v>435</v>
      </c>
      <c r="D114" s="24"/>
      <c r="E114" s="24"/>
      <c r="F114" s="24"/>
      <c r="G114" s="24"/>
      <c r="H114" s="24" t="s">
        <v>117</v>
      </c>
      <c r="I114" s="24" t="s">
        <v>118</v>
      </c>
      <c r="J114" s="60" t="s">
        <v>100</v>
      </c>
      <c r="K114" s="67" t="str">
        <f>IFERROR(IF($D$11="Yes",K113*(1+WACC_adj_1),""),"-")</f>
        <v/>
      </c>
      <c r="L114" s="67" t="str">
        <f>IFERROR(IF($D$11="Yes",L113*(1+WACC_adj_1),""),"-")</f>
        <v/>
      </c>
      <c r="M114" s="67" t="str">
        <f>IFERROR(IF($D$11="Yes",M113*(1+WACC_adj_1),""),"-")</f>
        <v/>
      </c>
      <c r="N114" s="67" t="str">
        <f>IFERROR(IF($D$11="Yes",N113*(1+WACC_adj_1),""),"-")</f>
        <v/>
      </c>
      <c r="O114" s="67" t="str">
        <f>IFERROR(IF($D$11="Yes",O113*(1+WACC_adj_1),""),"-")</f>
        <v/>
      </c>
    </row>
    <row r="115" spans="3:15" hidden="1" x14ac:dyDescent="0.25">
      <c r="C115" s="60" t="s">
        <v>330</v>
      </c>
      <c r="D115" s="83" t="str">
        <f>INDEX(Input_DecisionActual[[Decision]:[Decision]],MATCH(Calc_TU_values!$D$5,Input_DecisionActual[[VDO period]:[VDO period]],0),1)</f>
        <v>VDO 2021 - Final</v>
      </c>
      <c r="E115" s="24" t="s">
        <v>525</v>
      </c>
      <c r="F115" s="83" t="str">
        <f>IF($D115="-","-",INDEX(Inputs!$H$10:$Q$10,1,MATCH($D115,Inputs!$H$8:$Q$8,0)))</f>
        <v>F-CurrentVDO_Input</v>
      </c>
      <c r="G115" s="24"/>
      <c r="H115" s="24" t="s">
        <v>117</v>
      </c>
      <c r="I115" s="24" t="s">
        <v>118</v>
      </c>
      <c r="J115" s="60" t="s">
        <v>100</v>
      </c>
      <c r="K115" s="67" cm="1">
        <f t="array" ref="K115">IFERROR(SUM(K113:K114)*(INDEX(Inputs!$H$11:$Q$127,MATCH("Retail operating margin",Input_ForRateCalc[[Cost item]:[Cost item]],0),MATCH(Calc_TUV_Net_1[[#This Row],[Decision ref]:[Decision ref]],Inputs!$H$10:$Q$10,0))),"-")</f>
        <v>0</v>
      </c>
      <c r="L115" s="67" cm="1">
        <f t="array" ref="L115">IFERROR(SUM(L113:L114)*(INDEX(Inputs!$H$11:$Q$127,MATCH("Retail operating margin",Input_ForRateCalc[[Cost item]:[Cost item]],0),MATCH(Calc_TUV_Net_1[[#This Row],[Decision ref]:[Decision ref]],Inputs!$H$10:$Q$10,0))),"-")</f>
        <v>0</v>
      </c>
      <c r="M115" s="67" cm="1">
        <f t="array" ref="M115">IFERROR(SUM(M113:M114)*(INDEX(Inputs!$H$11:$Q$127,MATCH("Retail operating margin",Input_ForRateCalc[[Cost item]:[Cost item]],0),MATCH(Calc_TUV_Net_1[[#This Row],[Decision ref]:[Decision ref]],Inputs!$H$10:$Q$10,0))),"-")</f>
        <v>0</v>
      </c>
      <c r="N115" s="67" cm="1">
        <f t="array" ref="N115">IFERROR(SUM(N113:N114)*(INDEX(Inputs!$H$11:$Q$127,MATCH("Retail operating margin",Input_ForRateCalc[[Cost item]:[Cost item]],0),MATCH(Calc_TUV_Net_1[[#This Row],[Decision ref]:[Decision ref]],Inputs!$H$10:$Q$10,0))),"-")</f>
        <v>0</v>
      </c>
      <c r="O115" s="67" cm="1">
        <f t="array" ref="O115">IFERROR(SUM(O113:O114)*(INDEX(Inputs!$H$11:$Q$127,MATCH("Retail operating margin",Input_ForRateCalc[[Cost item]:[Cost item]],0),MATCH(Calc_TUV_Net_1[[#This Row],[Decision ref]:[Decision ref]],Inputs!$H$10:$Q$10,0))),"-")</f>
        <v>0</v>
      </c>
    </row>
    <row r="116" spans="3:15" hidden="1" x14ac:dyDescent="0.25">
      <c r="C116" s="60" t="s">
        <v>436</v>
      </c>
      <c r="D116" s="24"/>
      <c r="E116" s="24"/>
      <c r="F116" s="24"/>
      <c r="G116" s="24"/>
      <c r="H116" s="24" t="s">
        <v>117</v>
      </c>
      <c r="I116" s="24" t="s">
        <v>118</v>
      </c>
      <c r="J116" s="60" t="s">
        <v>100</v>
      </c>
      <c r="K116" s="67" t="str">
        <f>IF(K112=0,"-",SUM(K113:K115)*GST)</f>
        <v>-</v>
      </c>
      <c r="L116" s="67" t="str">
        <f>IF(L112=0,"-",SUM(L113:L115)*GST)</f>
        <v>-</v>
      </c>
      <c r="M116" s="67" t="str">
        <f>IF(M112=0,"-",SUM(M113:M115)*GST)</f>
        <v>-</v>
      </c>
      <c r="N116" s="67" t="str">
        <f>IF(N112=0,"-",SUM(N113:N115)*GST)</f>
        <v>-</v>
      </c>
      <c r="O116" s="67" t="str">
        <f>IF(O112=0,"-",SUM(O113:O115)*GST)</f>
        <v>-</v>
      </c>
    </row>
    <row r="117" spans="3:15" hidden="1" x14ac:dyDescent="0.25">
      <c r="C117" s="24" t="s">
        <v>494</v>
      </c>
      <c r="D117" s="24"/>
      <c r="E117" s="24"/>
      <c r="F117" s="24"/>
      <c r="G117" s="24"/>
      <c r="H117" s="24" t="s">
        <v>117</v>
      </c>
      <c r="I117" s="24" t="s">
        <v>118</v>
      </c>
      <c r="J117" s="60" t="s">
        <v>100</v>
      </c>
      <c r="K117" s="67" t="str">
        <f>IF(K112=0,"-",SUM(K113:K116))</f>
        <v>-</v>
      </c>
      <c r="L117" s="67" t="str">
        <f>IF(L112=0,"-",SUM(L113:L116))</f>
        <v>-</v>
      </c>
      <c r="M117" s="67" t="str">
        <f>IF(M112=0,"-",SUM(M113:M116))</f>
        <v>-</v>
      </c>
      <c r="N117" s="67" t="str">
        <f>IF(N112=0,"-",SUM(N113:N116))</f>
        <v>-</v>
      </c>
      <c r="O117" s="67" t="str">
        <f>IF(O112=0,"-",SUM(O113:O116))</f>
        <v>-</v>
      </c>
    </row>
    <row r="118" spans="3:15" hidden="1" x14ac:dyDescent="0.25">
      <c r="C118" s="60"/>
      <c r="D118" s="118"/>
      <c r="E118" s="118"/>
      <c r="F118" s="118"/>
      <c r="H118" s="24"/>
      <c r="I118" s="24"/>
      <c r="J118" s="24"/>
      <c r="K118" s="131"/>
      <c r="L118" s="131"/>
      <c r="M118" s="131"/>
      <c r="N118" s="131"/>
      <c r="O118" s="131"/>
    </row>
    <row r="119" spans="3:15" hidden="1" x14ac:dyDescent="0.25">
      <c r="C119" s="58" t="s">
        <v>499</v>
      </c>
      <c r="D119" s="24"/>
      <c r="E119" s="24"/>
      <c r="F119" s="24"/>
      <c r="G119" s="69"/>
      <c r="H119" s="24"/>
      <c r="I119" s="24"/>
      <c r="J119" s="24"/>
      <c r="K119" s="132"/>
      <c r="L119" s="132"/>
      <c r="M119" s="132"/>
      <c r="N119" s="132"/>
      <c r="O119" s="132"/>
    </row>
    <row r="120" spans="3:15" hidden="1" x14ac:dyDescent="0.25">
      <c r="C120" s="60" t="s">
        <v>476</v>
      </c>
      <c r="D120" s="83" t="str">
        <f>Calc_TU_values!$D$5</f>
        <v>VDO 2021 - Variation final</v>
      </c>
      <c r="E120" s="24" t="s">
        <v>524</v>
      </c>
      <c r="F120" s="83" t="str">
        <f>INDEX(Inputs!$H$10:$Q$10,1,MATCH($D120,Inputs!$H$8:$Q$8,0))</f>
        <v>VF-CurrentVDO_Input</v>
      </c>
      <c r="G120" s="24"/>
      <c r="H120" s="24" t="s">
        <v>139</v>
      </c>
      <c r="I120" s="24" t="s">
        <v>174</v>
      </c>
      <c r="J120" s="60" t="s">
        <v>100</v>
      </c>
      <c r="K120" s="67" cm="1">
        <f t="array" ref="K120">IFERROR(INDEX(Input_ForRateCalc[],MATCH($C120&amp;" - "&amp;K$103,Input_ForRateCalc[[Cost item]:[Cost item]],0),MATCH(Calc_TUV_Net_1[[#This Row],[Decision ref]:[Decision ref]],Input_ForRateCalc[#Headers],0)),"-")</f>
        <v>11.4503</v>
      </c>
      <c r="L120" s="67" t="str" cm="1">
        <f t="array" ref="L120">IFERROR(INDEX(Input_ForRateCalc[],MATCH($C120&amp;" - "&amp;L$103,Input_ForRateCalc[[Cost item]:[Cost item]],0),MATCH(Calc_TUV_Net_1[[#This Row],[Decision ref]:[Decision ref]],Input_ForRateCalc[#Headers],0)),"-")</f>
        <v>-</v>
      </c>
      <c r="M120" s="67" t="str" cm="1">
        <f t="array" ref="M120">IFERROR(INDEX(Input_ForRateCalc[],MATCH($C120&amp;" - "&amp;M$103,Input_ForRateCalc[[Cost item]:[Cost item]],0),MATCH(Calc_TUV_Net_1[[#This Row],[Decision ref]:[Decision ref]],Input_ForRateCalc[#Headers],0)),"-")</f>
        <v>-</v>
      </c>
      <c r="N120" s="67" t="str" cm="1">
        <f t="array" ref="N120">IFERROR(INDEX(Input_ForRateCalc[],MATCH($C120&amp;" - "&amp;N$103,Input_ForRateCalc[[Cost item]:[Cost item]],0),MATCH(Calc_TUV_Net_1[[#This Row],[Decision ref]:[Decision ref]],Input_ForRateCalc[#Headers],0)),"-")</f>
        <v>-</v>
      </c>
      <c r="O120" s="67" t="str" cm="1">
        <f t="array" ref="O120">IFERROR(INDEX(Input_ForRateCalc[],MATCH($C120&amp;" - "&amp;O$103,Input_ForRateCalc[[Cost item]:[Cost item]],0),MATCH(Calc_TUV_Net_1[[#This Row],[Decision ref]:[Decision ref]],Input_ForRateCalc[#Headers],0)),"-")</f>
        <v>-</v>
      </c>
    </row>
    <row r="121" spans="3:15" hidden="1" x14ac:dyDescent="0.25">
      <c r="C121" s="60" t="s">
        <v>477</v>
      </c>
      <c r="D121" s="83" t="str">
        <f>Calc_TU_values!$D$5</f>
        <v>VDO 2021 - Variation final</v>
      </c>
      <c r="E121" s="24" t="s">
        <v>524</v>
      </c>
      <c r="F121" s="83" t="str">
        <f>INDEX(Inputs!$H$10:$Q$10,1,MATCH($D121,Inputs!$H$8:$Q$8,0))</f>
        <v>VF-CurrentVDO_Input</v>
      </c>
      <c r="G121" s="69"/>
      <c r="H121" s="24" t="s">
        <v>139</v>
      </c>
      <c r="I121" s="24" t="s">
        <v>174</v>
      </c>
      <c r="J121" s="60" t="s">
        <v>100</v>
      </c>
      <c r="K121" s="67" cm="1">
        <f t="array" ref="K121">IFERROR(INDEX(Input_ForRateCalc[],MATCH($C121&amp;" - "&amp;K$103,Input_ForRateCalc[[Cost item]:[Cost item]],0),MATCH(Calc_TUV_Net_1[[#This Row],[Decision ref]:[Decision ref]],Input_ForRateCalc[#Headers],0)),"-")</f>
        <v>12.838200000000001</v>
      </c>
      <c r="L121" s="67" t="str" cm="1">
        <f t="array" ref="L121">IFERROR(INDEX(Input_ForRateCalc[],MATCH($C121&amp;" - "&amp;L$103,Input_ForRateCalc[[Cost item]:[Cost item]],0),MATCH(Calc_TUV_Net_1[[#This Row],[Decision ref]:[Decision ref]],Input_ForRateCalc[#Headers],0)),"-")</f>
        <v>-</v>
      </c>
      <c r="M121" s="67" t="str" cm="1">
        <f t="array" ref="M121">IFERROR(INDEX(Input_ForRateCalc[],MATCH($C121&amp;" - "&amp;M$103,Input_ForRateCalc[[Cost item]:[Cost item]],0),MATCH(Calc_TUV_Net_1[[#This Row],[Decision ref]:[Decision ref]],Input_ForRateCalc[#Headers],0)),"-")</f>
        <v>-</v>
      </c>
      <c r="N121" s="67" t="str" cm="1">
        <f t="array" ref="N121">IFERROR(INDEX(Input_ForRateCalc[],MATCH($C121&amp;" - "&amp;N$103,Input_ForRateCalc[[Cost item]:[Cost item]],0),MATCH(Calc_TUV_Net_1[[#This Row],[Decision ref]:[Decision ref]],Input_ForRateCalc[#Headers],0)),"-")</f>
        <v>-</v>
      </c>
      <c r="O121" s="67" t="str" cm="1">
        <f t="array" ref="O121">IFERROR(INDEX(Input_ForRateCalc[],MATCH($C121&amp;" - "&amp;O$103,Input_ForRateCalc[[Cost item]:[Cost item]],0),MATCH(Calc_TUV_Net_1[[#This Row],[Decision ref]:[Decision ref]],Input_ForRateCalc[#Headers],0)),"-")</f>
        <v>-</v>
      </c>
    </row>
    <row r="122" spans="3:15" hidden="1" x14ac:dyDescent="0.25">
      <c r="C122" s="60" t="s">
        <v>478</v>
      </c>
      <c r="D122" s="83" t="str">
        <f>Calc_TU_values!$D$5</f>
        <v>VDO 2021 - Variation final</v>
      </c>
      <c r="E122" s="24" t="s">
        <v>524</v>
      </c>
      <c r="F122" s="83" t="str">
        <f>INDEX(Inputs!$H$10:$Q$10,1,MATCH($D122,Inputs!$H$8:$Q$8,0))</f>
        <v>VF-CurrentVDO_Input</v>
      </c>
      <c r="G122" s="59"/>
      <c r="H122" s="24" t="s">
        <v>139</v>
      </c>
      <c r="I122" s="24" t="s">
        <v>174</v>
      </c>
      <c r="J122" s="60" t="s">
        <v>100</v>
      </c>
      <c r="K122" s="67" t="str" cm="1">
        <f t="array" ref="K122">IFERROR(INDEX(Input_ForRateCalc[],MATCH($C122&amp;" - "&amp;K$103,Input_ForRateCalc[[Cost item]:[Cost item]],0),MATCH(Calc_TUV_Net_1[[#This Row],[Decision ref]:[Decision ref]],Input_ForRateCalc[#Headers],0)),"-")</f>
        <v>-</v>
      </c>
      <c r="L122" s="67" cm="1">
        <f t="array" ref="L122">IFERROR(INDEX(Input_ForRateCalc[],MATCH($C122&amp;" - "&amp;L$103,Input_ForRateCalc[[Cost item]:[Cost item]],0),MATCH(Calc_TUV_Net_1[[#This Row],[Decision ref]:[Decision ref]],Input_ForRateCalc[#Headers],0)),"-")</f>
        <v>8.0500000000000007</v>
      </c>
      <c r="M122" s="67" cm="1">
        <f t="array" ref="M122">IFERROR(INDEX(Input_ForRateCalc[],MATCH($C122&amp;" - "&amp;M$103,Input_ForRateCalc[[Cost item]:[Cost item]],0),MATCH(Calc_TUV_Net_1[[#This Row],[Decision ref]:[Decision ref]],Input_ForRateCalc[#Headers],0)),"-")</f>
        <v>8.67</v>
      </c>
      <c r="N122" s="67" cm="1">
        <f t="array" ref="N122">IFERROR(INDEX(Input_ForRateCalc[],MATCH($C122&amp;" - "&amp;N$103,Input_ForRateCalc[[Cost item]:[Cost item]],0),MATCH(Calc_TUV_Net_1[[#This Row],[Decision ref]:[Decision ref]],Input_ForRateCalc[#Headers],0)),"-")</f>
        <v>8.15</v>
      </c>
      <c r="O122" s="67" cm="1">
        <f t="array" ref="O122">IFERROR(INDEX(Input_ForRateCalc[],MATCH($C122&amp;" - "&amp;O$103,Input_ForRateCalc[[Cost item]:[Cost item]],0),MATCH(Calc_TUV_Net_1[[#This Row],[Decision ref]:[Decision ref]],Input_ForRateCalc[#Headers],0)),"-")</f>
        <v>7.99</v>
      </c>
    </row>
    <row r="123" spans="3:15" hidden="1" x14ac:dyDescent="0.25">
      <c r="C123" s="60" t="s">
        <v>327</v>
      </c>
      <c r="D123" s="83" t="str">
        <f>Calc_TU_values!$D$5</f>
        <v>VDO 2021 - Variation final</v>
      </c>
      <c r="E123" s="24" t="s">
        <v>524</v>
      </c>
      <c r="F123" s="83" t="str">
        <f>INDEX(Inputs!$H$10:$Q$10,1,MATCH($D123,Inputs!$H$8:$Q$8,0))</f>
        <v>VF-CurrentVDO_Input</v>
      </c>
      <c r="G123" s="59"/>
      <c r="H123" s="24" t="s">
        <v>139</v>
      </c>
      <c r="I123" s="24" t="s">
        <v>118</v>
      </c>
      <c r="J123" s="60" t="s">
        <v>100</v>
      </c>
      <c r="K123" s="68">
        <f>SUM(
IFERROR(K120/100*SUMIFS(INDEX(TUNet_Usage_PerRate_1[],0,MATCH(K$103,TUNet_Usage_PerRate_1[#Headers],0)),TUNet_Usage_PerRate_1[Customer type],Calc_TUV_Net_1[[#This Row],[Customer type]],TUNet_Usage_PerRate_1[Description],"Usage per customer - Block 1"),0),
IFERROR(K121/100*SUMIFS(INDEX(TUNet_Usage_PerRate_1[],0,MATCH(K$103,TUNet_Usage_PerRate_1[#Headers],0)),TUNet_Usage_PerRate_1[Customer type],Calc_TUV_Net_1[[#This Row],[Customer type]],TUNet_Usage_PerRate_1[Description],"Usage per customer - Balance"),0),
IFERROR(K122/100*SUMIFS(INDEX(TUNet_Usage_PerRate_1[],0,MATCH(K$103,TUNet_Usage_PerRate_1[#Headers],0)),TUNet_Usage_PerRate_1[Customer type],Calc_TUV_Net_1[[#This Row],[Customer type]],TUNet_Usage_PerRate_1[Description],"Usage per customer - Single rate"),0))</f>
        <v>0</v>
      </c>
      <c r="L123" s="68">
        <f>SUM(
IFERROR(L120/100*SUMIFS(INDEX(TUNet_Usage_PerRate_1[],0,MATCH(L$103,TUNet_Usage_PerRate_1[#Headers],0)),TUNet_Usage_PerRate_1[Customer type],Calc_TUV_Net_1[[#This Row],[Customer type]],TUNet_Usage_PerRate_1[Description],"Usage per customer - Block 1"),0),
IFERROR(L121/100*SUMIFS(INDEX(TUNet_Usage_PerRate_1[],0,MATCH(L$103,TUNet_Usage_PerRate_1[#Headers],0)),TUNet_Usage_PerRate_1[Customer type],Calc_TUV_Net_1[[#This Row],[Customer type]],TUNet_Usage_PerRate_1[Description],"Usage per customer - Balance"),0),
IFERROR(L122/100*SUMIFS(INDEX(TUNet_Usage_PerRate_1[],0,MATCH(L$103,TUNet_Usage_PerRate_1[#Headers],0)),TUNet_Usage_PerRate_1[Customer type],Calc_TUV_Net_1[[#This Row],[Customer type]],TUNet_Usage_PerRate_1[Description],"Usage per customer - Single rate"),0))</f>
        <v>0</v>
      </c>
      <c r="M123" s="68">
        <f>SUM(
IFERROR(M120/100*SUMIFS(INDEX(TUNet_Usage_PerRate_1[],0,MATCH(M$103,TUNet_Usage_PerRate_1[#Headers],0)),TUNet_Usage_PerRate_1[Customer type],Calc_TUV_Net_1[[#This Row],[Customer type]],TUNet_Usage_PerRate_1[Description],"Usage per customer - Block 1"),0),
IFERROR(M121/100*SUMIFS(INDEX(TUNet_Usage_PerRate_1[],0,MATCH(M$103,TUNet_Usage_PerRate_1[#Headers],0)),TUNet_Usage_PerRate_1[Customer type],Calc_TUV_Net_1[[#This Row],[Customer type]],TUNet_Usage_PerRate_1[Description],"Usage per customer - Balance"),0),
IFERROR(M122/100*SUMIFS(INDEX(TUNet_Usage_PerRate_1[],0,MATCH(M$103,TUNet_Usage_PerRate_1[#Headers],0)),TUNet_Usage_PerRate_1[Customer type],Calc_TUV_Net_1[[#This Row],[Customer type]],TUNet_Usage_PerRate_1[Description],"Usage per customer - Single rate"),0))</f>
        <v>0</v>
      </c>
      <c r="N123" s="68">
        <f>SUM(
IFERROR(N120/100*SUMIFS(INDEX(TUNet_Usage_PerRate_1[],0,MATCH(N$103,TUNet_Usage_PerRate_1[#Headers],0)),TUNet_Usage_PerRate_1[Customer type],Calc_TUV_Net_1[[#This Row],[Customer type]],TUNet_Usage_PerRate_1[Description],"Usage per customer - Block 1"),0),
IFERROR(N121/100*SUMIFS(INDEX(TUNet_Usage_PerRate_1[],0,MATCH(N$103,TUNet_Usage_PerRate_1[#Headers],0)),TUNet_Usage_PerRate_1[Customer type],Calc_TUV_Net_1[[#This Row],[Customer type]],TUNet_Usage_PerRate_1[Description],"Usage per customer - Balance"),0),
IFERROR(N122/100*SUMIFS(INDEX(TUNet_Usage_PerRate_1[],0,MATCH(N$103,TUNet_Usage_PerRate_1[#Headers],0)),TUNet_Usage_PerRate_1[Customer type],Calc_TUV_Net_1[[#This Row],[Customer type]],TUNet_Usage_PerRate_1[Description],"Usage per customer - Single rate"),0))</f>
        <v>0</v>
      </c>
      <c r="O123" s="68">
        <f>SUM(
IFERROR(O120/100*SUMIFS(INDEX(TUNet_Usage_PerRate_1[],0,MATCH(O$103,TUNet_Usage_PerRate_1[#Headers],0)),TUNet_Usage_PerRate_1[Customer type],Calc_TUV_Net_1[[#This Row],[Customer type]],TUNet_Usage_PerRate_1[Description],"Usage per customer - Block 1"),0),
IFERROR(O121/100*SUMIFS(INDEX(TUNet_Usage_PerRate_1[],0,MATCH(O$103,TUNet_Usage_PerRate_1[#Headers],0)),TUNet_Usage_PerRate_1[Customer type],Calc_TUV_Net_1[[#This Row],[Customer type]],TUNet_Usage_PerRate_1[Description],"Usage per customer - Balance"),0),
IFERROR(O122/100*SUMIFS(INDEX(TUNet_Usage_PerRate_1[],0,MATCH(O$103,TUNet_Usage_PerRate_1[#Headers],0)),TUNet_Usage_PerRate_1[Customer type],Calc_TUV_Net_1[[#This Row],[Customer type]],TUNet_Usage_PerRate_1[Description],"Usage per customer - Single rate"),0))</f>
        <v>0</v>
      </c>
    </row>
    <row r="124" spans="3:15" hidden="1" x14ac:dyDescent="0.25">
      <c r="C124" s="60" t="s">
        <v>476</v>
      </c>
      <c r="D124" s="83" t="str">
        <f>INDEX(Input_DecisionActual[[Decision]:[Decision]],MATCH(Calc_TU_values!$D$5,Input_DecisionActual[[VDO period]:[VDO period]],0),1)</f>
        <v>VDO 2021 - Final</v>
      </c>
      <c r="E124" s="24" t="s">
        <v>525</v>
      </c>
      <c r="F124" s="83" t="str">
        <f>IF($D124="-","-",INDEX(Inputs!$H$10:$Q$10,1,MATCH($D124,Inputs!$H$8:$Q$8,0)))</f>
        <v>F-CurrentVDO_Input</v>
      </c>
      <c r="G124" s="59"/>
      <c r="H124" s="24" t="s">
        <v>139</v>
      </c>
      <c r="I124" s="24" t="s">
        <v>174</v>
      </c>
      <c r="J124" s="60" t="s">
        <v>100</v>
      </c>
      <c r="K124" s="67" cm="1">
        <f t="array" ref="K124">IFERROR(INDEX(Input_ForRateCalc[],MATCH($C124&amp;" - "&amp;K$103,Input_ForRateCalc[[Cost item]:[Cost item]],0),MATCH(Calc_TUV_Net_1[[#This Row],[Decision ref]:[Decision ref]],Input_ForRateCalc[#Headers],0)),"-")</f>
        <v>10.535</v>
      </c>
      <c r="L124" s="67" t="str" cm="1">
        <f t="array" ref="L124">IFERROR(INDEX(Input_ForRateCalc[],MATCH($C124&amp;" - "&amp;L$103,Input_ForRateCalc[[Cost item]:[Cost item]],0),MATCH(Calc_TUV_Net_1[[#This Row],[Decision ref]:[Decision ref]],Input_ForRateCalc[#Headers],0)),"-")</f>
        <v>-</v>
      </c>
      <c r="M124" s="67" t="str" cm="1">
        <f t="array" ref="M124">IFERROR(INDEX(Input_ForRateCalc[],MATCH($C124&amp;" - "&amp;M$103,Input_ForRateCalc[[Cost item]:[Cost item]],0),MATCH(Calc_TUV_Net_1[[#This Row],[Decision ref]:[Decision ref]],Input_ForRateCalc[#Headers],0)),"-")</f>
        <v>-</v>
      </c>
      <c r="N124" s="67" t="str" cm="1">
        <f t="array" ref="N124">IFERROR(INDEX(Input_ForRateCalc[],MATCH($C124&amp;" - "&amp;N$103,Input_ForRateCalc[[Cost item]:[Cost item]],0),MATCH(Calc_TUV_Net_1[[#This Row],[Decision ref]:[Decision ref]],Input_ForRateCalc[#Headers],0)),"-")</f>
        <v>-</v>
      </c>
      <c r="O124" s="67" t="str" cm="1">
        <f t="array" ref="O124">IFERROR(INDEX(Input_ForRateCalc[],MATCH($C124&amp;" - "&amp;O$103,Input_ForRateCalc[[Cost item]:[Cost item]],0),MATCH(Calc_TUV_Net_1[[#This Row],[Decision ref]:[Decision ref]],Input_ForRateCalc[#Headers],0)),"-")</f>
        <v>-</v>
      </c>
    </row>
    <row r="125" spans="3:15" hidden="1" x14ac:dyDescent="0.25">
      <c r="C125" s="60" t="s">
        <v>477</v>
      </c>
      <c r="D125" s="83" t="str">
        <f>INDEX(Input_DecisionActual[[Decision]:[Decision]],MATCH(Calc_TU_values!$D$5,Input_DecisionActual[[VDO period]:[VDO period]],0),1)</f>
        <v>VDO 2021 - Final</v>
      </c>
      <c r="E125" s="24" t="s">
        <v>525</v>
      </c>
      <c r="F125" s="83" t="str">
        <f>IF($D125="-","-",INDEX(Inputs!$H$10:$Q$10,1,MATCH($D125,Inputs!$H$8:$Q$8,0)))</f>
        <v>F-CurrentVDO_Input</v>
      </c>
      <c r="G125" s="59"/>
      <c r="H125" s="24" t="s">
        <v>139</v>
      </c>
      <c r="I125" s="24" t="s">
        <v>174</v>
      </c>
      <c r="J125" s="60" t="s">
        <v>100</v>
      </c>
      <c r="K125" s="67" cm="1">
        <f t="array" ref="K125">IFERROR(INDEX(Input_ForRateCalc[],MATCH($C125&amp;" - "&amp;K$103,Input_ForRateCalc[[Cost item]:[Cost item]],0),MATCH(Calc_TUV_Net_1[[#This Row],[Decision ref]:[Decision ref]],Input_ForRateCalc[#Headers],0)),"-")</f>
        <v>12.073700000000001</v>
      </c>
      <c r="L125" s="67" t="str" cm="1">
        <f t="array" ref="L125">IFERROR(INDEX(Input_ForRateCalc[],MATCH($C125&amp;" - "&amp;L$103,Input_ForRateCalc[[Cost item]:[Cost item]],0),MATCH(Calc_TUV_Net_1[[#This Row],[Decision ref]:[Decision ref]],Input_ForRateCalc[#Headers],0)),"-")</f>
        <v>-</v>
      </c>
      <c r="M125" s="67" t="str" cm="1">
        <f t="array" ref="M125">IFERROR(INDEX(Input_ForRateCalc[],MATCH($C125&amp;" - "&amp;M$103,Input_ForRateCalc[[Cost item]:[Cost item]],0),MATCH(Calc_TUV_Net_1[[#This Row],[Decision ref]:[Decision ref]],Input_ForRateCalc[#Headers],0)),"-")</f>
        <v>-</v>
      </c>
      <c r="N125" s="67" t="str" cm="1">
        <f t="array" ref="N125">IFERROR(INDEX(Input_ForRateCalc[],MATCH($C125&amp;" - "&amp;N$103,Input_ForRateCalc[[Cost item]:[Cost item]],0),MATCH(Calc_TUV_Net_1[[#This Row],[Decision ref]:[Decision ref]],Input_ForRateCalc[#Headers],0)),"-")</f>
        <v>-</v>
      </c>
      <c r="O125" s="67" t="str" cm="1">
        <f t="array" ref="O125">IFERROR(INDEX(Input_ForRateCalc[],MATCH($C125&amp;" - "&amp;O$103,Input_ForRateCalc[[Cost item]:[Cost item]],0),MATCH(Calc_TUV_Net_1[[#This Row],[Decision ref]:[Decision ref]],Input_ForRateCalc[#Headers],0)),"-")</f>
        <v>-</v>
      </c>
    </row>
    <row r="126" spans="3:15" hidden="1" x14ac:dyDescent="0.25">
      <c r="C126" s="60" t="s">
        <v>478</v>
      </c>
      <c r="D126" s="83" t="str">
        <f>INDEX(Input_DecisionActual[[Decision]:[Decision]],MATCH(Calc_TU_values!$D$5,Input_DecisionActual[[VDO period]:[VDO period]],0),1)</f>
        <v>VDO 2021 - Final</v>
      </c>
      <c r="E126" s="24" t="s">
        <v>525</v>
      </c>
      <c r="F126" s="83" t="str">
        <f>IF($D126="-","-",INDEX(Inputs!$H$10:$Q$10,1,MATCH($D126,Inputs!$H$8:$Q$8,0)))</f>
        <v>F-CurrentVDO_Input</v>
      </c>
      <c r="G126" s="59"/>
      <c r="H126" s="24" t="s">
        <v>139</v>
      </c>
      <c r="I126" s="24" t="s">
        <v>174</v>
      </c>
      <c r="J126" s="60" t="s">
        <v>100</v>
      </c>
      <c r="K126" s="67" t="str" cm="1">
        <f t="array" ref="K126">IFERROR(INDEX(Input_ForRateCalc[],MATCH($C126&amp;" - "&amp;K$103,Input_ForRateCalc[[Cost item]:[Cost item]],0),MATCH(Calc_TUV_Net_1[[#This Row],[Decision ref]:[Decision ref]],Input_ForRateCalc[#Headers],0)),"-")</f>
        <v>-</v>
      </c>
      <c r="L126" s="67" cm="1">
        <f t="array" ref="L126">IFERROR(INDEX(Input_ForRateCalc[],MATCH($C126&amp;" - "&amp;L$103,Input_ForRateCalc[[Cost item]:[Cost item]],0),MATCH(Calc_TUV_Net_1[[#This Row],[Decision ref]:[Decision ref]],Input_ForRateCalc[#Headers],0)),"-")</f>
        <v>6.47</v>
      </c>
      <c r="M126" s="67" cm="1">
        <f t="array" ref="M126">IFERROR(INDEX(Input_ForRateCalc[],MATCH($C126&amp;" - "&amp;M$103,Input_ForRateCalc[[Cost item]:[Cost item]],0),MATCH(Calc_TUV_Net_1[[#This Row],[Decision ref]:[Decision ref]],Input_ForRateCalc[#Headers],0)),"-")</f>
        <v>7.4139999999999997</v>
      </c>
      <c r="N126" s="67" cm="1">
        <f t="array" ref="N126">IFERROR(INDEX(Input_ForRateCalc[],MATCH($C126&amp;" - "&amp;N$103,Input_ForRateCalc[[Cost item]:[Cost item]],0),MATCH(Calc_TUV_Net_1[[#This Row],[Decision ref]:[Decision ref]],Input_ForRateCalc[#Headers],0)),"-")</f>
        <v>6.74</v>
      </c>
      <c r="O126" s="67" cm="1">
        <f t="array" ref="O126">IFERROR(INDEX(Input_ForRateCalc[],MATCH($C126&amp;" - "&amp;O$103,Input_ForRateCalc[[Cost item]:[Cost item]],0),MATCH(Calc_TUV_Net_1[[#This Row],[Decision ref]:[Decision ref]],Input_ForRateCalc[#Headers],0)),"-")</f>
        <v>7.67</v>
      </c>
    </row>
    <row r="127" spans="3:15" hidden="1" x14ac:dyDescent="0.25">
      <c r="C127" s="60" t="s">
        <v>327</v>
      </c>
      <c r="D127" s="83" t="str">
        <f>INDEX(Input_DecisionActual[[Decision]:[Decision]],MATCH(Calc_TU_values!$D$5,Input_DecisionActual[[VDO period]:[VDO period]],0),1)</f>
        <v>VDO 2021 - Final</v>
      </c>
      <c r="E127" s="24" t="s">
        <v>525</v>
      </c>
      <c r="F127" s="83" t="str">
        <f>IF($D127="-","-",INDEX(Inputs!$H$10:$Q$10,1,MATCH($D127,Inputs!$H$8:$Q$8,0)))</f>
        <v>F-CurrentVDO_Input</v>
      </c>
      <c r="G127" s="59"/>
      <c r="H127" s="24" t="s">
        <v>139</v>
      </c>
      <c r="I127" s="24" t="s">
        <v>118</v>
      </c>
      <c r="J127" s="60" t="s">
        <v>100</v>
      </c>
      <c r="K127" s="68">
        <f>SUM(
IFERROR(K124/100*SUMIFS(INDEX(TUNet_Usage_PerRate_1[],0,MATCH(K$103,TUNet_Usage_PerRate_1[#Headers],0)),TUNet_Usage_PerRate_1[Customer type],Calc_TUV_Net_1[[#This Row],[Customer type]],TUNet_Usage_PerRate_1[Description],"Usage per customer - Block 1"),0),
IFERROR(K125/100*SUMIFS(INDEX(TUNet_Usage_PerRate_1[],0,MATCH(K$103,TUNet_Usage_PerRate_1[#Headers],0)),TUNet_Usage_PerRate_1[Customer type],Calc_TUV_Net_1[[#This Row],[Customer type]],TUNet_Usage_PerRate_1[Description],"Usage per customer - Balance"),0),
IFERROR(K126/100*SUMIFS(INDEX(TUNet_Usage_PerRate_1[],0,MATCH(K$103,TUNet_Usage_PerRate_1[#Headers],0)),TUNet_Usage_PerRate_1[Customer type],Calc_TUV_Net_1[[#This Row],[Customer type]],TUNet_Usage_PerRate_1[Description],"Usage per customer - Single rate"),0))</f>
        <v>0</v>
      </c>
      <c r="L127" s="68">
        <f>SUM(
IFERROR(L124/100*SUMIFS(INDEX(TUNet_Usage_PerRate_1[],0,MATCH(L$103,TUNet_Usage_PerRate_1[#Headers],0)),TUNet_Usage_PerRate_1[Customer type],Calc_TUV_Net_1[[#This Row],[Customer type]],TUNet_Usage_PerRate_1[Description],"Usage per customer - Block 1"),0),
IFERROR(L125/100*SUMIFS(INDEX(TUNet_Usage_PerRate_1[],0,MATCH(L$103,TUNet_Usage_PerRate_1[#Headers],0)),TUNet_Usage_PerRate_1[Customer type],Calc_TUV_Net_1[[#This Row],[Customer type]],TUNet_Usage_PerRate_1[Description],"Usage per customer - Balance"),0),
IFERROR(L126/100*SUMIFS(INDEX(TUNet_Usage_PerRate_1[],0,MATCH(L$103,TUNet_Usage_PerRate_1[#Headers],0)),TUNet_Usage_PerRate_1[Customer type],Calc_TUV_Net_1[[#This Row],[Customer type]],TUNet_Usage_PerRate_1[Description],"Usage per customer - Single rate"),0))</f>
        <v>0</v>
      </c>
      <c r="M127" s="68">
        <f>SUM(
IFERROR(M124/100*SUMIFS(INDEX(TUNet_Usage_PerRate_1[],0,MATCH(M$103,TUNet_Usage_PerRate_1[#Headers],0)),TUNet_Usage_PerRate_1[Customer type],Calc_TUV_Net_1[[#This Row],[Customer type]],TUNet_Usage_PerRate_1[Description],"Usage per customer - Block 1"),0),
IFERROR(M125/100*SUMIFS(INDEX(TUNet_Usage_PerRate_1[],0,MATCH(M$103,TUNet_Usage_PerRate_1[#Headers],0)),TUNet_Usage_PerRate_1[Customer type],Calc_TUV_Net_1[[#This Row],[Customer type]],TUNet_Usage_PerRate_1[Description],"Usage per customer - Balance"),0),
IFERROR(M126/100*SUMIFS(INDEX(TUNet_Usage_PerRate_1[],0,MATCH(M$103,TUNet_Usage_PerRate_1[#Headers],0)),TUNet_Usage_PerRate_1[Customer type],Calc_TUV_Net_1[[#This Row],[Customer type]],TUNet_Usage_PerRate_1[Description],"Usage per customer - Single rate"),0))</f>
        <v>0</v>
      </c>
      <c r="N127" s="68">
        <f>SUM(
IFERROR(N124/100*SUMIFS(INDEX(TUNet_Usage_PerRate_1[],0,MATCH(N$103,TUNet_Usage_PerRate_1[#Headers],0)),TUNet_Usage_PerRate_1[Customer type],Calc_TUV_Net_1[[#This Row],[Customer type]],TUNet_Usage_PerRate_1[Description],"Usage per customer - Block 1"),0),
IFERROR(N125/100*SUMIFS(INDEX(TUNet_Usage_PerRate_1[],0,MATCH(N$103,TUNet_Usage_PerRate_1[#Headers],0)),TUNet_Usage_PerRate_1[Customer type],Calc_TUV_Net_1[[#This Row],[Customer type]],TUNet_Usage_PerRate_1[Description],"Usage per customer - Balance"),0),
IFERROR(N126/100*SUMIFS(INDEX(TUNet_Usage_PerRate_1[],0,MATCH(N$103,TUNet_Usage_PerRate_1[#Headers],0)),TUNet_Usage_PerRate_1[Customer type],Calc_TUV_Net_1[[#This Row],[Customer type]],TUNet_Usage_PerRate_1[Description],"Usage per customer - Single rate"),0))</f>
        <v>0</v>
      </c>
      <c r="O127" s="68">
        <f>SUM(
IFERROR(O124/100*SUMIFS(INDEX(TUNet_Usage_PerRate_1[],0,MATCH(O$103,TUNet_Usage_PerRate_1[#Headers],0)),TUNet_Usage_PerRate_1[Customer type],Calc_TUV_Net_1[[#This Row],[Customer type]],TUNet_Usage_PerRate_1[Description],"Usage per customer - Block 1"),0),
IFERROR(O125/100*SUMIFS(INDEX(TUNet_Usage_PerRate_1[],0,MATCH(O$103,TUNet_Usage_PerRate_1[#Headers],0)),TUNet_Usage_PerRate_1[Customer type],Calc_TUV_Net_1[[#This Row],[Customer type]],TUNet_Usage_PerRate_1[Description],"Usage per customer - Balance"),0),
IFERROR(O126/100*SUMIFS(INDEX(TUNet_Usage_PerRate_1[],0,MATCH(O$103,TUNet_Usage_PerRate_1[#Headers],0)),TUNet_Usage_PerRate_1[Customer type],Calc_TUV_Net_1[[#This Row],[Customer type]],TUNet_Usage_PerRate_1[Description],"Usage per customer - Single rate"),0))</f>
        <v>0</v>
      </c>
    </row>
    <row r="128" spans="3:15" hidden="1" x14ac:dyDescent="0.25">
      <c r="C128" s="60" t="s">
        <v>328</v>
      </c>
      <c r="D128" s="24"/>
      <c r="E128" s="24"/>
      <c r="F128" s="24"/>
      <c r="G128" s="24"/>
      <c r="H128" s="24" t="s">
        <v>139</v>
      </c>
      <c r="I128" s="24" t="s">
        <v>118</v>
      </c>
      <c r="J128" s="60" t="s">
        <v>100</v>
      </c>
      <c r="K128" s="66" t="str">
        <f>IF(K127=0,"-",K123-K127)</f>
        <v>-</v>
      </c>
      <c r="L128" s="66" t="str">
        <f t="shared" ref="L128:O128" si="45">IF(L127=0,"-",L123-L127)</f>
        <v>-</v>
      </c>
      <c r="M128" s="66" t="str">
        <f t="shared" si="45"/>
        <v>-</v>
      </c>
      <c r="N128" s="66" t="str">
        <f t="shared" si="45"/>
        <v>-</v>
      </c>
      <c r="O128" s="66" t="str">
        <f t="shared" si="45"/>
        <v>-</v>
      </c>
    </row>
    <row r="129" spans="3:15" hidden="1" x14ac:dyDescent="0.25">
      <c r="C129" s="60" t="s">
        <v>435</v>
      </c>
      <c r="D129" s="24"/>
      <c r="E129" s="24"/>
      <c r="F129" s="24"/>
      <c r="G129" s="24"/>
      <c r="H129" s="24" t="s">
        <v>139</v>
      </c>
      <c r="I129" s="24" t="s">
        <v>118</v>
      </c>
      <c r="J129" s="60" t="s">
        <v>100</v>
      </c>
      <c r="K129" s="67" t="str">
        <f>IFERROR(IF($D$11="Yes",K128*(1+WACC_adj_1),""),"-")</f>
        <v/>
      </c>
      <c r="L129" s="67" t="str">
        <f>IFERROR(IF($D$11="Yes",L128*(1+WACC_adj_1),""),"-")</f>
        <v/>
      </c>
      <c r="M129" s="67" t="str">
        <f>IFERROR(IF($D$11="Yes",M128*(1+WACC_adj_1),""),"-")</f>
        <v/>
      </c>
      <c r="N129" s="67" t="str">
        <f>IFERROR(IF($D$11="Yes",N128*(1+WACC_adj_1),""),"-")</f>
        <v/>
      </c>
      <c r="O129" s="67" t="str">
        <f>IFERROR(IF($D$11="Yes",O128*(1+WACC_adj_1),""),"-")</f>
        <v/>
      </c>
    </row>
    <row r="130" spans="3:15" hidden="1" x14ac:dyDescent="0.25">
      <c r="C130" s="60" t="s">
        <v>330</v>
      </c>
      <c r="D130" s="83" t="str">
        <f>INDEX(Input_DecisionActual[[Decision]:[Decision]],MATCH(Calc_TU_values!$D$5,Input_DecisionActual[[VDO period]:[VDO period]],0),1)</f>
        <v>VDO 2021 - Final</v>
      </c>
      <c r="E130" s="24" t="s">
        <v>525</v>
      </c>
      <c r="F130" s="83" t="str">
        <f>IF($D130="-","-",INDEX(Inputs!$H$10:$Q$10,1,MATCH($D130,Inputs!$H$8:$Q$8,0)))</f>
        <v>F-CurrentVDO_Input</v>
      </c>
      <c r="G130" s="24"/>
      <c r="H130" s="24" t="s">
        <v>139</v>
      </c>
      <c r="I130" s="24" t="s">
        <v>118</v>
      </c>
      <c r="J130" s="60" t="s">
        <v>100</v>
      </c>
      <c r="K130" s="67" cm="1">
        <f t="array" ref="K130">IFERROR(SUM(K128:K129)*(INDEX(Inputs!$H$11:$Q$127,MATCH("Retail operating margin",Input_ForRateCalc[[Cost item]:[Cost item]],0),MATCH(Calc_TUV_Net_1[[#This Row],[Decision ref]:[Decision ref]],Inputs!$H$10:$Q$10,0))),"-")</f>
        <v>0</v>
      </c>
      <c r="L130" s="67" cm="1">
        <f t="array" ref="L130">IFERROR(SUM(L128:L129)*(INDEX(Inputs!$H$11:$Q$127,MATCH("Retail operating margin",Input_ForRateCalc[[Cost item]:[Cost item]],0),MATCH(Calc_TUV_Net_1[[#This Row],[Decision ref]:[Decision ref]],Inputs!$H$10:$Q$10,0))),"-")</f>
        <v>0</v>
      </c>
      <c r="M130" s="67" cm="1">
        <f t="array" ref="M130">IFERROR(SUM(M128:M129)*(INDEX(Inputs!$H$11:$Q$127,MATCH("Retail operating margin",Input_ForRateCalc[[Cost item]:[Cost item]],0),MATCH(Calc_TUV_Net_1[[#This Row],[Decision ref]:[Decision ref]],Inputs!$H$10:$Q$10,0))),"-")</f>
        <v>0</v>
      </c>
      <c r="N130" s="67" cm="1">
        <f t="array" ref="N130">IFERROR(SUM(N128:N129)*(INDEX(Inputs!$H$11:$Q$127,MATCH("Retail operating margin",Input_ForRateCalc[[Cost item]:[Cost item]],0),MATCH(Calc_TUV_Net_1[[#This Row],[Decision ref]:[Decision ref]],Inputs!$H$10:$Q$10,0))),"-")</f>
        <v>0</v>
      </c>
      <c r="O130" s="67" cm="1">
        <f t="array" ref="O130">IFERROR(SUM(O128:O129)*(INDEX(Inputs!$H$11:$Q$127,MATCH("Retail operating margin",Input_ForRateCalc[[Cost item]:[Cost item]],0),MATCH(Calc_TUV_Net_1[[#This Row],[Decision ref]:[Decision ref]],Inputs!$H$10:$Q$10,0))),"-")</f>
        <v>0</v>
      </c>
    </row>
    <row r="131" spans="3:15" hidden="1" x14ac:dyDescent="0.25">
      <c r="C131" s="60" t="s">
        <v>436</v>
      </c>
      <c r="D131" s="24"/>
      <c r="E131" s="24"/>
      <c r="F131" s="24"/>
      <c r="G131" s="24"/>
      <c r="H131" s="24" t="s">
        <v>139</v>
      </c>
      <c r="I131" s="24" t="s">
        <v>118</v>
      </c>
      <c r="J131" s="60" t="s">
        <v>100</v>
      </c>
      <c r="K131" s="67" t="str">
        <f>IF(K127=0,"-",SUM(K128:K130)*GST)</f>
        <v>-</v>
      </c>
      <c r="L131" s="67" t="str">
        <f>IF(L127=0,"-",SUM(L128:L130)*GST)</f>
        <v>-</v>
      </c>
      <c r="M131" s="67" t="str">
        <f>IF(M127=0,"-",SUM(M128:M130)*GST)</f>
        <v>-</v>
      </c>
      <c r="N131" s="67" t="str">
        <f>IF(N127=0,"-",SUM(N128:N130)*GST)</f>
        <v>-</v>
      </c>
      <c r="O131" s="67" t="str">
        <f>IF(O127=0,"-",SUM(O128:O130)*GST)</f>
        <v>-</v>
      </c>
    </row>
    <row r="132" spans="3:15" hidden="1" x14ac:dyDescent="0.25">
      <c r="C132" s="60" t="s">
        <v>495</v>
      </c>
      <c r="D132" s="118"/>
      <c r="E132" s="118"/>
      <c r="F132" s="118"/>
      <c r="H132" s="24" t="s">
        <v>139</v>
      </c>
      <c r="I132" s="24" t="s">
        <v>118</v>
      </c>
      <c r="J132" s="60" t="s">
        <v>100</v>
      </c>
      <c r="K132" s="67" t="str">
        <f>IF(K127=0,"-",SUM(K128:K131))</f>
        <v>-</v>
      </c>
      <c r="L132" s="67" t="str">
        <f t="shared" ref="L132:O132" si="46">IF(L127=0,"-",SUM(L128:L131))</f>
        <v>-</v>
      </c>
      <c r="M132" s="67" t="str">
        <f t="shared" si="46"/>
        <v>-</v>
      </c>
      <c r="N132" s="67" t="str">
        <f t="shared" si="46"/>
        <v>-</v>
      </c>
      <c r="O132" s="67" t="str">
        <f t="shared" si="46"/>
        <v>-</v>
      </c>
    </row>
    <row r="133" spans="3:15" hidden="1" x14ac:dyDescent="0.25">
      <c r="C133" s="60"/>
      <c r="D133" s="128"/>
      <c r="E133" s="128"/>
      <c r="F133" s="128"/>
      <c r="G133" s="128"/>
      <c r="H133" s="128"/>
      <c r="I133" s="128"/>
      <c r="J133" s="128"/>
      <c r="K133" s="139"/>
      <c r="L133" s="139"/>
      <c r="M133" s="139"/>
      <c r="N133" s="139"/>
      <c r="O133" s="139"/>
    </row>
    <row r="134" spans="3:15" hidden="1" x14ac:dyDescent="0.25">
      <c r="C134" s="58" t="s">
        <v>549</v>
      </c>
      <c r="D134" s="24"/>
      <c r="E134" s="24"/>
      <c r="F134" s="24"/>
      <c r="G134" s="69" t="s">
        <v>570</v>
      </c>
      <c r="H134" s="24"/>
      <c r="I134" s="24"/>
      <c r="J134" s="24"/>
      <c r="K134" s="139"/>
      <c r="L134" s="139"/>
      <c r="M134" s="139"/>
      <c r="N134" s="139"/>
      <c r="O134" s="139"/>
    </row>
    <row r="135" spans="3:15" hidden="1" x14ac:dyDescent="0.25">
      <c r="C135" s="60" t="s">
        <v>548</v>
      </c>
      <c r="D135" s="83" t="str">
        <f>Calc_TU_values!$D$5</f>
        <v>VDO 2021 - Variation final</v>
      </c>
      <c r="E135" s="24" t="s">
        <v>524</v>
      </c>
      <c r="F135" s="83" t="str">
        <f>INDEX(Inputs!$H$10:$Q$10,1,MATCH($D135,Inputs!$H$8:$Q$8,0))</f>
        <v>VF-CurrentVDO_Input</v>
      </c>
      <c r="G135" s="24"/>
      <c r="H135" s="24" t="s">
        <v>139</v>
      </c>
      <c r="I135" s="24" t="s">
        <v>174</v>
      </c>
      <c r="J135" s="60" t="s">
        <v>100</v>
      </c>
      <c r="K135" s="67" cm="1">
        <f t="array" ref="K135">IFERROR(INDEX(Input_ForRateCalc[],MATCH($C135&amp;" - "&amp;K$103,Input_ForRateCalc[[Cost item]:[Cost item]],0),MATCH(Calc_TUV_Net_1[[#This Row],[Decision ref]:[Decision ref]],Input_ForRateCalc[#Headers],0)),"-")</f>
        <v>4.2622999999999998</v>
      </c>
      <c r="L135" s="67" cm="1">
        <f t="array" ref="L135">IFERROR(INDEX(Input_ForRateCalc[],MATCH($C135&amp;" - "&amp;L$103,Input_ForRateCalc[[Cost item]:[Cost item]],0),MATCH(Calc_TUV_Net_1[[#This Row],[Decision ref]:[Decision ref]],Input_ForRateCalc[#Headers],0)),"-")</f>
        <v>2.4700000000000002</v>
      </c>
      <c r="M135" s="67" cm="1">
        <f t="array" ref="M135">IFERROR(INDEX(Input_ForRateCalc[],MATCH($C135&amp;" - "&amp;M$103,Input_ForRateCalc[[Cost item]:[Cost item]],0),MATCH(Calc_TUV_Net_1[[#This Row],[Decision ref]:[Decision ref]],Input_ForRateCalc[#Headers],0)),"-")</f>
        <v>3.5990000000000002</v>
      </c>
      <c r="N135" s="67" cm="1">
        <f t="array" ref="N135">IFERROR(INDEX(Input_ForRateCalc[],MATCH($C135&amp;" - "&amp;N$103,Input_ForRateCalc[[Cost item]:[Cost item]],0),MATCH(Calc_TUV_Net_1[[#This Row],[Decision ref]:[Decision ref]],Input_ForRateCalc[#Headers],0)),"-")</f>
        <v>2.39</v>
      </c>
      <c r="O135" s="67" cm="1">
        <f t="array" ref="O135">IFERROR(INDEX(Input_ForRateCalc[],MATCH($C135&amp;" - "&amp;O$103,Input_ForRateCalc[[Cost item]:[Cost item]],0),MATCH(Calc_TUV_Net_1[[#This Row],[Decision ref]:[Decision ref]],Input_ForRateCalc[#Headers],0)),"-")</f>
        <v>2.17</v>
      </c>
    </row>
    <row r="136" spans="3:15" hidden="1" x14ac:dyDescent="0.25">
      <c r="C136" s="60" t="s">
        <v>327</v>
      </c>
      <c r="D136" s="83" t="str">
        <f>Calc_TU_values!$D$5</f>
        <v>VDO 2021 - Variation final</v>
      </c>
      <c r="E136" s="24" t="s">
        <v>524</v>
      </c>
      <c r="F136" s="83" t="str">
        <f>INDEX(Inputs!$H$10:$Q$10,1,MATCH($D136,Inputs!$H$8:$Q$8,0))</f>
        <v>VF-CurrentVDO_Input</v>
      </c>
      <c r="G136" s="128"/>
      <c r="H136" s="24" t="s">
        <v>139</v>
      </c>
      <c r="I136" s="24" t="s">
        <v>118</v>
      </c>
      <c r="J136" s="60" t="s">
        <v>100</v>
      </c>
      <c r="K136" s="68" cm="1">
        <f t="array" ref="K136">TUProp_Days_1*SUM(
IFERROR(K135/100*INDEX(Input_Usage[#All],MATCH(Calc_TUV_Net_1[[#This Row],[Customer type]:[Customer type]]&amp;" - medium - controlled load",Input_Usage[[#All],[Ref]],0),MATCH($F136,Input_Usage[#Headers],0)),0))</f>
        <v>0</v>
      </c>
      <c r="L136" s="68" cm="1">
        <f t="array" ref="L136">TUProp_Days_1*SUM(
IFERROR(L135/100*INDEX(Input_Usage[#All],MATCH(Calc_TUV_Net_1[[#This Row],[Customer type]:[Customer type]]&amp;" - medium - controlled load",Input_Usage[[#All],[Ref]],0),MATCH($F136,Input_Usage[#Headers],0)),0))</f>
        <v>0</v>
      </c>
      <c r="M136" s="68" cm="1">
        <f t="array" ref="M136">TUProp_Days_1*SUM(
IFERROR(M135/100*INDEX(Input_Usage[#All],MATCH(Calc_TUV_Net_1[[#This Row],[Customer type]:[Customer type]]&amp;" - medium - controlled load",Input_Usage[[#All],[Ref]],0),MATCH($F136,Input_Usage[#Headers],0)),0))</f>
        <v>0</v>
      </c>
      <c r="N136" s="68" cm="1">
        <f t="array" ref="N136">TUProp_Days_1*SUM(
IFERROR(N135/100*INDEX(Input_Usage[#All],MATCH(Calc_TUV_Net_1[[#This Row],[Customer type]:[Customer type]]&amp;" - medium - controlled load",Input_Usage[[#All],[Ref]],0),MATCH($F136,Input_Usage[#Headers],0)),0))</f>
        <v>0</v>
      </c>
      <c r="O136" s="68" cm="1">
        <f t="array" ref="O136">TUProp_Days_1*SUM(
IFERROR(O135/100*INDEX(Input_Usage[#All],MATCH(Calc_TUV_Net_1[[#This Row],[Customer type]:[Customer type]]&amp;" - medium - controlled load",Input_Usage[[#All],[Ref]],0),MATCH($F136,Input_Usage[#Headers],0)),0))</f>
        <v>0</v>
      </c>
    </row>
    <row r="137" spans="3:15" hidden="1" x14ac:dyDescent="0.25">
      <c r="C137" s="60" t="s">
        <v>548</v>
      </c>
      <c r="D137" s="83" t="str">
        <f>INDEX(Input_DecisionActual[[Decision]:[Decision]],MATCH(Calc_TU_values!$D$5,Input_DecisionActual[[VDO period]:[VDO period]],0),1)</f>
        <v>VDO 2021 - Final</v>
      </c>
      <c r="E137" s="24" t="s">
        <v>525</v>
      </c>
      <c r="F137" s="83" t="str">
        <f>IF($D137="-","-",INDEX(Inputs!$H$10:$Q$10,1,MATCH($D137,Inputs!$H$8:$Q$8,0)))</f>
        <v>F-CurrentVDO_Input</v>
      </c>
      <c r="G137" s="128"/>
      <c r="H137" s="24" t="s">
        <v>139</v>
      </c>
      <c r="I137" s="24" t="s">
        <v>174</v>
      </c>
      <c r="J137" s="60" t="s">
        <v>100</v>
      </c>
      <c r="K137" s="67">
        <f>IFERROR(INDEX(Input_ForRateCalc[],MATCH($C137&amp;" - "&amp;K$103,Input_ForRateCalc[[Cost item]:[Cost item]],0),MATCH($F137,Input_ForRateCalc[#Headers],0)),"-")</f>
        <v>3.8612000000000002</v>
      </c>
      <c r="L137" s="67">
        <f>IFERROR(INDEX(Input_ForRateCalc[],MATCH($C137&amp;" - "&amp;L$103,Input_ForRateCalc[[Cost item]:[Cost item]],0),MATCH($F137,Input_ForRateCalc[#Headers],0)),"-")</f>
        <v>2.09</v>
      </c>
      <c r="M137" s="67">
        <f>IFERROR(INDEX(Input_ForRateCalc[],MATCH($C137&amp;" - "&amp;M$103,Input_ForRateCalc[[Cost item]:[Cost item]],0),MATCH($F137,Input_ForRateCalc[#Headers],0)),"-")</f>
        <v>2.9159999999999999</v>
      </c>
      <c r="N137" s="67">
        <f>IFERROR(INDEX(Input_ForRateCalc[],MATCH($C137&amp;" - "&amp;N$103,Input_ForRateCalc[[Cost item]:[Cost item]],0),MATCH($F137,Input_ForRateCalc[#Headers],0)),"-")</f>
        <v>2.14</v>
      </c>
      <c r="O137" s="67">
        <f>IFERROR(INDEX(Input_ForRateCalc[],MATCH($C137&amp;" - "&amp;O$103,Input_ForRateCalc[[Cost item]:[Cost item]],0),MATCH($F137,Input_ForRateCalc[#Headers],0)),"-")</f>
        <v>1.73</v>
      </c>
    </row>
    <row r="138" spans="3:15" hidden="1" x14ac:dyDescent="0.25">
      <c r="C138" s="60" t="s">
        <v>327</v>
      </c>
      <c r="D138" s="83" t="str">
        <f>INDEX(Input_DecisionActual[[Decision]:[Decision]],MATCH(Calc_TU_values!$D$5,Input_DecisionActual[[VDO period]:[VDO period]],0),1)</f>
        <v>VDO 2021 - Final</v>
      </c>
      <c r="E138" s="24" t="s">
        <v>525</v>
      </c>
      <c r="F138" s="83" t="str">
        <f>IF($D138="-","-",INDEX(Inputs!$H$10:$Q$10,1,MATCH($D138,Inputs!$H$8:$Q$8,0)))</f>
        <v>F-CurrentVDO_Input</v>
      </c>
      <c r="G138" s="128"/>
      <c r="H138" s="24" t="s">
        <v>139</v>
      </c>
      <c r="I138" s="24" t="s">
        <v>118</v>
      </c>
      <c r="J138" s="60" t="s">
        <v>100</v>
      </c>
      <c r="K138" s="68" cm="1">
        <f t="array" ref="K138">TUProp_Days_1*SUM(
IFERROR(K137/100*INDEX(Input_Usage[#All],MATCH(Calc_TUV_Net_1[[#This Row],[Customer type]:[Customer type]]&amp;" - medium - controlled load",Input_Usage[[#All],[Ref]],0),MATCH($F138,Input_Usage[#Headers],0)),0))</f>
        <v>0</v>
      </c>
      <c r="L138" s="68" cm="1">
        <f t="array" ref="L138">TUProp_Days_1*SUM(
IFERROR(L137/100*INDEX(Input_Usage[#All],MATCH(Calc_TUV_Net_1[[#This Row],[Customer type]:[Customer type]]&amp;" - medium - controlled load",Input_Usage[[#All],[Ref]],0),MATCH($F138,Input_Usage[#Headers],0)),0))</f>
        <v>0</v>
      </c>
      <c r="M138" s="68" cm="1">
        <f t="array" ref="M138">TUProp_Days_1*SUM(
IFERROR(M137/100*INDEX(Input_Usage[#All],MATCH(Calc_TUV_Net_1[[#This Row],[Customer type]:[Customer type]]&amp;" - medium - controlled load",Input_Usage[[#All],[Ref]],0),MATCH($F138,Input_Usage[#Headers],0)),0))</f>
        <v>0</v>
      </c>
      <c r="N138" s="68" cm="1">
        <f t="array" ref="N138">TUProp_Days_1*SUM(
IFERROR(N137/100*INDEX(Input_Usage[#All],MATCH(Calc_TUV_Net_1[[#This Row],[Customer type]:[Customer type]]&amp;" - medium - controlled load",Input_Usage[[#All],[Ref]],0),MATCH($F138,Input_Usage[#Headers],0)),0))</f>
        <v>0</v>
      </c>
      <c r="O138" s="68" cm="1">
        <f t="array" ref="O138">TUProp_Days_1*SUM(
IFERROR(O137/100*INDEX(Input_Usage[#All],MATCH(Calc_TUV_Net_1[[#This Row],[Customer type]:[Customer type]]&amp;" - medium - controlled load",Input_Usage[[#All],[Ref]],0),MATCH($F138,Input_Usage[#Headers],0)),0))</f>
        <v>0</v>
      </c>
    </row>
    <row r="139" spans="3:15" hidden="1" x14ac:dyDescent="0.25">
      <c r="C139" s="60" t="s">
        <v>328</v>
      </c>
      <c r="D139" s="24"/>
      <c r="E139" s="24"/>
      <c r="F139" s="24"/>
      <c r="G139" s="24"/>
      <c r="H139" s="24" t="s">
        <v>139</v>
      </c>
      <c r="I139" s="24" t="s">
        <v>118</v>
      </c>
      <c r="J139" s="60" t="s">
        <v>100</v>
      </c>
      <c r="K139" s="66" t="str">
        <f>IF(K138=0,"-",K136-K138)</f>
        <v>-</v>
      </c>
      <c r="L139" s="66" t="str">
        <f t="shared" ref="L139:O139" si="47">IF(L138=0,"-",L136-L138)</f>
        <v>-</v>
      </c>
      <c r="M139" s="66" t="str">
        <f t="shared" si="47"/>
        <v>-</v>
      </c>
      <c r="N139" s="66" t="str">
        <f t="shared" si="47"/>
        <v>-</v>
      </c>
      <c r="O139" s="66" t="str">
        <f t="shared" si="47"/>
        <v>-</v>
      </c>
    </row>
    <row r="140" spans="3:15" hidden="1" x14ac:dyDescent="0.25">
      <c r="C140" s="60" t="s">
        <v>435</v>
      </c>
      <c r="D140" s="24"/>
      <c r="E140" s="24"/>
      <c r="F140" s="24"/>
      <c r="G140" s="24"/>
      <c r="H140" s="24" t="s">
        <v>139</v>
      </c>
      <c r="I140" s="24" t="s">
        <v>118</v>
      </c>
      <c r="J140" s="60" t="s">
        <v>100</v>
      </c>
      <c r="K140" s="67" t="str">
        <f>IFERROR(IF($D$11="Yes",K139*(1+WACC_adj_1),""),"-")</f>
        <v/>
      </c>
      <c r="L140" s="67" t="str">
        <f>IFERROR(IF($D$11="Yes",L139*(1+WACC_adj_1),""),"-")</f>
        <v/>
      </c>
      <c r="M140" s="67" t="str">
        <f>IFERROR(IF($D$11="Yes",M139*(1+WACC_adj_1),""),"-")</f>
        <v/>
      </c>
      <c r="N140" s="67" t="str">
        <f>IFERROR(IF($D$11="Yes",N139*(1+WACC_adj_1),""),"-")</f>
        <v/>
      </c>
      <c r="O140" s="67" t="str">
        <f>IFERROR(IF($D$11="Yes",O139*(1+WACC_adj_1),""),"-")</f>
        <v/>
      </c>
    </row>
    <row r="141" spans="3:15" hidden="1" x14ac:dyDescent="0.25">
      <c r="C141" s="60" t="s">
        <v>330</v>
      </c>
      <c r="D141" s="83" t="str">
        <f>INDEX(Input_DecisionActual[[Decision]:[Decision]],MATCH(Calc_TU_values!$D$5,Input_DecisionActual[[VDO period]:[VDO period]],0),1)</f>
        <v>VDO 2021 - Final</v>
      </c>
      <c r="E141" s="24" t="s">
        <v>525</v>
      </c>
      <c r="F141" s="83" t="str">
        <f>IF($D141="-","-",INDEX(Inputs!$H$10:$Q$10,1,MATCH($D141,Inputs!$H$8:$Q$8,0)))</f>
        <v>F-CurrentVDO_Input</v>
      </c>
      <c r="G141" s="24"/>
      <c r="H141" s="24" t="s">
        <v>139</v>
      </c>
      <c r="I141" s="24" t="s">
        <v>118</v>
      </c>
      <c r="J141" s="60" t="s">
        <v>100</v>
      </c>
      <c r="K141" s="67" cm="1">
        <f t="array" ref="K141">IFERROR(SUM(K139:K140)*(INDEX(Inputs!$H$11:$Q$127,MATCH("Retail operating margin",Input_ForRateCalc[[Cost item]:[Cost item]],0),MATCH(Calc_TUV_Net_1[[#This Row],[Decision ref]:[Decision ref]],Inputs!$H$10:$Q$10,0))),"-")</f>
        <v>0</v>
      </c>
      <c r="L141" s="67" cm="1">
        <f t="array" ref="L141">IFERROR(SUM(L139:L140)*(INDEX(Inputs!$H$11:$Q$127,MATCH("Retail operating margin",Input_ForRateCalc[[Cost item]:[Cost item]],0),MATCH(Calc_TUV_Net_1[[#This Row],[Decision ref]:[Decision ref]],Inputs!$H$10:$Q$10,0))),"-")</f>
        <v>0</v>
      </c>
      <c r="M141" s="67" cm="1">
        <f t="array" ref="M141">IFERROR(SUM(M139:M140)*(INDEX(Inputs!$H$11:$Q$127,MATCH("Retail operating margin",Input_ForRateCalc[[Cost item]:[Cost item]],0),MATCH(Calc_TUV_Net_1[[#This Row],[Decision ref]:[Decision ref]],Inputs!$H$10:$Q$10,0))),"-")</f>
        <v>0</v>
      </c>
      <c r="N141" s="67" cm="1">
        <f t="array" ref="N141">IFERROR(SUM(N139:N140)*(INDEX(Inputs!$H$11:$Q$127,MATCH("Retail operating margin",Input_ForRateCalc[[Cost item]:[Cost item]],0),MATCH(Calc_TUV_Net_1[[#This Row],[Decision ref]:[Decision ref]],Inputs!$H$10:$Q$10,0))),"-")</f>
        <v>0</v>
      </c>
      <c r="O141" s="67" cm="1">
        <f t="array" ref="O141">IFERROR(SUM(O139:O140)*(INDEX(Inputs!$H$11:$Q$127,MATCH("Retail operating margin",Input_ForRateCalc[[Cost item]:[Cost item]],0),MATCH(Calc_TUV_Net_1[[#This Row],[Decision ref]:[Decision ref]],Inputs!$H$10:$Q$10,0))),"-")</f>
        <v>0</v>
      </c>
    </row>
    <row r="142" spans="3:15" hidden="1" x14ac:dyDescent="0.25">
      <c r="C142" s="60" t="s">
        <v>436</v>
      </c>
      <c r="D142" s="24"/>
      <c r="E142" s="24"/>
      <c r="F142" s="24"/>
      <c r="G142" s="24"/>
      <c r="H142" s="24" t="s">
        <v>139</v>
      </c>
      <c r="I142" s="24" t="s">
        <v>118</v>
      </c>
      <c r="J142" s="60" t="s">
        <v>100</v>
      </c>
      <c r="K142" s="67" t="str">
        <f>IF(K138=0,"-",SUM(K139:K141)*GST)</f>
        <v>-</v>
      </c>
      <c r="L142" s="67" t="str">
        <f>IF(L138=0,"-",SUM(L139:L141)*GST)</f>
        <v>-</v>
      </c>
      <c r="M142" s="67" t="str">
        <f>IF(M138=0,"-",SUM(M139:M141)*GST)</f>
        <v>-</v>
      </c>
      <c r="N142" s="67" t="str">
        <f>IF(N138=0,"-",SUM(N139:N141)*GST)</f>
        <v>-</v>
      </c>
      <c r="O142" s="67" t="str">
        <f>IF(O138=0,"-",SUM(O139:O141)*GST)</f>
        <v>-</v>
      </c>
    </row>
    <row r="143" spans="3:15" hidden="1" x14ac:dyDescent="0.25">
      <c r="C143" s="60" t="s">
        <v>571</v>
      </c>
      <c r="D143" s="118"/>
      <c r="E143" s="118"/>
      <c r="F143" s="118"/>
      <c r="H143" s="24" t="s">
        <v>139</v>
      </c>
      <c r="I143" s="24" t="s">
        <v>118</v>
      </c>
      <c r="J143" s="60" t="s">
        <v>100</v>
      </c>
      <c r="K143" s="67" t="str">
        <f>IF(K138=0,"-",SUM(K139:K142))</f>
        <v>-</v>
      </c>
      <c r="L143" s="67" t="str">
        <f>IF(L138=0,"-",SUM(L139:L142))</f>
        <v>-</v>
      </c>
      <c r="M143" s="67" t="str">
        <f>IF(M138=0,"-",SUM(M139:M142))</f>
        <v>-</v>
      </c>
      <c r="N143" s="67" t="str">
        <f>IF(N138=0,"-",SUM(N139:N142))</f>
        <v>-</v>
      </c>
      <c r="O143" s="67" t="str">
        <f>IF(O138=0,"-",SUM(O139:O142))</f>
        <v>-</v>
      </c>
    </row>
    <row r="144" spans="3:15" hidden="1" x14ac:dyDescent="0.25">
      <c r="C144" s="60"/>
      <c r="D144" s="128"/>
      <c r="E144" s="128"/>
      <c r="F144" s="128"/>
      <c r="G144" s="128"/>
      <c r="H144" s="128"/>
      <c r="I144" s="128"/>
      <c r="J144" s="128"/>
      <c r="K144" s="139"/>
      <c r="L144" s="139"/>
      <c r="M144" s="139"/>
      <c r="N144" s="139"/>
      <c r="O144" s="139"/>
    </row>
    <row r="145" spans="3:15" ht="15.75" hidden="1" x14ac:dyDescent="0.25">
      <c r="C145" s="153" t="s">
        <v>485</v>
      </c>
      <c r="D145" s="24"/>
      <c r="E145" s="24"/>
      <c r="F145" s="24"/>
      <c r="G145" s="69" t="s">
        <v>570</v>
      </c>
      <c r="H145" s="24"/>
      <c r="I145" s="24"/>
      <c r="J145" s="24"/>
      <c r="K145" s="66"/>
      <c r="L145" s="24"/>
      <c r="M145" s="24"/>
      <c r="N145" s="24"/>
      <c r="O145" s="24"/>
    </row>
    <row r="146" spans="3:15" hidden="1" x14ac:dyDescent="0.25">
      <c r="C146" s="58" t="s">
        <v>500</v>
      </c>
      <c r="D146" s="58"/>
      <c r="E146" s="58"/>
      <c r="F146" s="58"/>
      <c r="G146" s="69"/>
      <c r="H146" s="69"/>
      <c r="I146" s="24"/>
      <c r="J146" s="24"/>
      <c r="K146" s="66"/>
      <c r="L146" s="24"/>
      <c r="M146" s="24"/>
      <c r="N146" s="24"/>
      <c r="O146" s="24"/>
    </row>
    <row r="147" spans="3:15" hidden="1" x14ac:dyDescent="0.25">
      <c r="C147" s="60" t="s">
        <v>480</v>
      </c>
      <c r="D147" s="83" t="str">
        <f>Calc_TU_values!$D$5</f>
        <v>VDO 2021 - Variation final</v>
      </c>
      <c r="E147" s="24" t="s">
        <v>524</v>
      </c>
      <c r="F147" s="83" t="str">
        <f>INDEX(Inputs!$H$10:$Q$10,1,MATCH($D147,Inputs!$H$8:$Q$8,0))</f>
        <v>VF-CurrentVDO_Input</v>
      </c>
      <c r="G147" s="59"/>
      <c r="H147" s="24" t="s">
        <v>117</v>
      </c>
      <c r="I147" s="24" t="s">
        <v>118</v>
      </c>
      <c r="J147" s="60" t="s">
        <v>101</v>
      </c>
      <c r="K147" s="67" cm="1">
        <f t="array" ref="K147">IFERROR(INDEX(Input_ForRateCalc[],MATCH($C147&amp;" - "&amp;K$103,Input_ForRateCalc[[Cost item]:[Cost item]],0),MATCH(Calc_TUV_Net_1[[#This Row],[Decision ref]:[Decision ref]],Input_ForRateCalc[#Headers],0)),"-")*TUProp_Days_1</f>
        <v>0</v>
      </c>
      <c r="L147" s="67" cm="1">
        <f t="array" ref="L147">IFERROR(INDEX(Input_ForRateCalc[],MATCH($C147&amp;" - "&amp;L$103,Input_ForRateCalc[[Cost item]:[Cost item]],0),MATCH(Calc_TUV_Net_1[[#This Row],[Decision ref]:[Decision ref]],Input_ForRateCalc[#Headers],0)),"-")*TUProp_Days_1</f>
        <v>0</v>
      </c>
      <c r="M147" s="67" cm="1">
        <f t="array" ref="M147">IFERROR(INDEX(Input_ForRateCalc[],MATCH($C147&amp;" - "&amp;M$103,Input_ForRateCalc[[Cost item]:[Cost item]],0),MATCH(Calc_TUV_Net_1[[#This Row],[Decision ref]:[Decision ref]],Input_ForRateCalc[#Headers],0)),"-")*TUProp_Days_1</f>
        <v>0</v>
      </c>
      <c r="N147" s="67" cm="1">
        <f t="array" ref="N147">IFERROR(INDEX(Input_ForRateCalc[],MATCH($C147&amp;" - "&amp;N$103,Input_ForRateCalc[[Cost item]:[Cost item]],0),MATCH(Calc_TUV_Net_1[[#This Row],[Decision ref]:[Decision ref]],Input_ForRateCalc[#Headers],0)),"-")*TUProp_Days_1</f>
        <v>0</v>
      </c>
      <c r="O147" s="67" cm="1">
        <f t="array" ref="O147">IFERROR(INDEX(Input_ForRateCalc[],MATCH($C147&amp;" - "&amp;O$103,Input_ForRateCalc[[Cost item]:[Cost item]],0),MATCH(Calc_TUV_Net_1[[#This Row],[Decision ref]:[Decision ref]],Input_ForRateCalc[#Headers],0)),"-")*TUProp_Days_1</f>
        <v>0</v>
      </c>
    </row>
    <row r="148" spans="3:15" hidden="1" x14ac:dyDescent="0.25">
      <c r="C148" s="60" t="s">
        <v>284</v>
      </c>
      <c r="D148" s="83" t="str">
        <f>Calc_TU_values!$D$5</f>
        <v>VDO 2021 - Variation final</v>
      </c>
      <c r="E148" s="24" t="s">
        <v>524</v>
      </c>
      <c r="F148" s="83" t="str">
        <f>INDEX(Inputs!$H$10:$Q$10,1,MATCH($D148,Inputs!$H$8:$Q$8,0))</f>
        <v>VF-CurrentVDO_Input</v>
      </c>
      <c r="G148" s="59"/>
      <c r="H148" s="24" t="s">
        <v>117</v>
      </c>
      <c r="I148" s="24" t="s">
        <v>118</v>
      </c>
      <c r="J148" s="60" t="s">
        <v>101</v>
      </c>
      <c r="K148" s="67" cm="1">
        <f t="array" ref="K148">IFERROR(INDEX(Input_ForRateCalc[],MATCH($C148&amp;" - "&amp;K$103,Input_ForRateCalc[[Cost item]:[Cost item]],0),MATCH(Calc_TUV_Net_1[[#This Row],[Decision ref]:[Decision ref]],Input_ForRateCalc[#Headers],0)),"-")*TUProp_Days_1</f>
        <v>0</v>
      </c>
      <c r="L148" s="67" cm="1">
        <f t="array" ref="L148">IFERROR(INDEX(Input_ForRateCalc[],MATCH($C148&amp;" - "&amp;L$103,Input_ForRateCalc[[Cost item]:[Cost item]],0),MATCH(Calc_TUV_Net_1[[#This Row],[Decision ref]:[Decision ref]],Input_ForRateCalc[#Headers],0)),"-")*TUProp_Days_1</f>
        <v>0</v>
      </c>
      <c r="M148" s="67" cm="1">
        <f t="array" ref="M148">IFERROR(INDEX(Input_ForRateCalc[],MATCH($C148&amp;" - "&amp;M$103,Input_ForRateCalc[[Cost item]:[Cost item]],0),MATCH(Calc_TUV_Net_1[[#This Row],[Decision ref]:[Decision ref]],Input_ForRateCalc[#Headers],0)),"-")*TUProp_Days_1</f>
        <v>0</v>
      </c>
      <c r="N148" s="67" cm="1">
        <f t="array" ref="N148">IFERROR(INDEX(Input_ForRateCalc[],MATCH($C148&amp;" - "&amp;N$103,Input_ForRateCalc[[Cost item]:[Cost item]],0),MATCH(Calc_TUV_Net_1[[#This Row],[Decision ref]:[Decision ref]],Input_ForRateCalc[#Headers],0)),"-")*TUProp_Days_1</f>
        <v>0</v>
      </c>
      <c r="O148" s="67" cm="1">
        <f t="array" ref="O148">IFERROR(INDEX(Input_ForRateCalc[],MATCH($C148&amp;" - "&amp;O$103,Input_ForRateCalc[[Cost item]:[Cost item]],0),MATCH(Calc_TUV_Net_1[[#This Row],[Decision ref]:[Decision ref]],Input_ForRateCalc[#Headers],0)),"-")*TUProp_Days_1</f>
        <v>0</v>
      </c>
    </row>
    <row r="149" spans="3:15" hidden="1" x14ac:dyDescent="0.25">
      <c r="C149" s="60" t="s">
        <v>327</v>
      </c>
      <c r="D149" s="83" t="str">
        <f>Calc_TU_values!$D$5</f>
        <v>VDO 2021 - Variation final</v>
      </c>
      <c r="E149" s="24" t="s">
        <v>524</v>
      </c>
      <c r="F149" s="83" t="str">
        <f>INDEX(Inputs!$H$10:$Q$10,1,MATCH($D149,Inputs!$H$8:$Q$8,0))</f>
        <v>VF-CurrentVDO_Input</v>
      </c>
      <c r="G149" s="59"/>
      <c r="H149" s="24" t="s">
        <v>117</v>
      </c>
      <c r="I149" s="24" t="s">
        <v>118</v>
      </c>
      <c r="J149" s="60" t="s">
        <v>101</v>
      </c>
      <c r="K149" s="65">
        <f>IFERROR(SUM(K147:K148),"-")</f>
        <v>0</v>
      </c>
      <c r="L149" s="65">
        <f>IFERROR(SUM(L147:L148),"-")</f>
        <v>0</v>
      </c>
      <c r="M149" s="65">
        <f>IFERROR(SUM(M147:M148),"-")</f>
        <v>0</v>
      </c>
      <c r="N149" s="65">
        <f>IFERROR(SUM(N147:N148),"-")</f>
        <v>0</v>
      </c>
      <c r="O149" s="65">
        <f>IFERROR(SUM(O147:O148),"-")</f>
        <v>0</v>
      </c>
    </row>
    <row r="150" spans="3:15" hidden="1" x14ac:dyDescent="0.25">
      <c r="C150" s="60" t="s">
        <v>480</v>
      </c>
      <c r="D150" s="83" t="str">
        <f>INDEX(Input_DecisionActual[[Decision]:[Decision]],MATCH(Calc_TU_values!$D$5,Input_DecisionActual[[VDO period]:[VDO period]],0),1)</f>
        <v>VDO 2021 - Final</v>
      </c>
      <c r="E150" s="24" t="s">
        <v>525</v>
      </c>
      <c r="F150" s="83" t="str">
        <f>IF($D150="-","-",INDEX(Inputs!$H$10:$Q$10,1,MATCH($D150,Inputs!$H$8:$Q$8,0)))</f>
        <v>F-CurrentVDO_Input</v>
      </c>
      <c r="G150" s="59"/>
      <c r="H150" s="24" t="s">
        <v>117</v>
      </c>
      <c r="I150" s="24" t="s">
        <v>118</v>
      </c>
      <c r="J150" s="60" t="s">
        <v>101</v>
      </c>
      <c r="K150" s="67" cm="1">
        <f t="array" ref="K150">IFERROR(INDEX(Input_ForRateCalc[],MATCH($C150&amp;" - "&amp;K$103,Input_ForRateCalc[[Cost item]:[Cost item]],0),MATCH(Calc_TUV_Net_1[[#This Row],[Decision ref]:[Decision ref]],Input_ForRateCalc[#Headers],0)),"-")*TUProp_Days_1</f>
        <v>0</v>
      </c>
      <c r="L150" s="67" cm="1">
        <f t="array" ref="L150">IFERROR(INDEX(Input_ForRateCalc[],MATCH($C150&amp;" - "&amp;L$103,Input_ForRateCalc[[Cost item]:[Cost item]],0),MATCH(Calc_TUV_Net_1[[#This Row],[Decision ref]:[Decision ref]],Input_ForRateCalc[#Headers],0)),"-")*TUProp_Days_1</f>
        <v>0</v>
      </c>
      <c r="M150" s="67" cm="1">
        <f t="array" ref="M150">IFERROR(INDEX(Input_ForRateCalc[],MATCH($C150&amp;" - "&amp;M$103,Input_ForRateCalc[[Cost item]:[Cost item]],0),MATCH(Calc_TUV_Net_1[[#This Row],[Decision ref]:[Decision ref]],Input_ForRateCalc[#Headers],0)),"-")*TUProp_Days_1</f>
        <v>0</v>
      </c>
      <c r="N150" s="67" cm="1">
        <f t="array" ref="N150">IFERROR(INDEX(Input_ForRateCalc[],MATCH($C150&amp;" - "&amp;N$103,Input_ForRateCalc[[Cost item]:[Cost item]],0),MATCH(Calc_TUV_Net_1[[#This Row],[Decision ref]:[Decision ref]],Input_ForRateCalc[#Headers],0)),"-")*TUProp_Days_1</f>
        <v>0</v>
      </c>
      <c r="O150" s="67" cm="1">
        <f t="array" ref="O150">IFERROR(INDEX(Input_ForRateCalc[],MATCH($C150&amp;" - "&amp;O$103,Input_ForRateCalc[[Cost item]:[Cost item]],0),MATCH(Calc_TUV_Net_1[[#This Row],[Decision ref]:[Decision ref]],Input_ForRateCalc[#Headers],0)),"-")*TUProp_Days_1</f>
        <v>0</v>
      </c>
    </row>
    <row r="151" spans="3:15" hidden="1" x14ac:dyDescent="0.25">
      <c r="C151" s="60" t="s">
        <v>284</v>
      </c>
      <c r="D151" s="83" t="str">
        <f>INDEX(Input_DecisionActual[[Decision]:[Decision]],MATCH(Calc_TU_values!$D$5,Input_DecisionActual[[VDO period]:[VDO period]],0),1)</f>
        <v>VDO 2021 - Final</v>
      </c>
      <c r="E151" s="24" t="s">
        <v>525</v>
      </c>
      <c r="F151" s="83" t="str">
        <f>IF($D151="-","-",INDEX(Inputs!$H$10:$Q$10,1,MATCH($D151,Inputs!$H$8:$Q$8,0)))</f>
        <v>F-CurrentVDO_Input</v>
      </c>
      <c r="G151" s="59"/>
      <c r="H151" s="24" t="s">
        <v>117</v>
      </c>
      <c r="I151" s="24" t="s">
        <v>118</v>
      </c>
      <c r="J151" s="60" t="s">
        <v>101</v>
      </c>
      <c r="K151" s="67" cm="1">
        <f t="array" ref="K151">IFERROR(INDEX(Input_ForRateCalc[],MATCH($C151&amp;" - "&amp;K$103,Input_ForRateCalc[[Cost item]:[Cost item]],0),MATCH(Calc_TUV_Net_1[[#This Row],[Decision ref]:[Decision ref]],Input_ForRateCalc[#Headers],0)),"-")*TUProp_Days_1</f>
        <v>0</v>
      </c>
      <c r="L151" s="67" cm="1">
        <f t="array" ref="L151">IFERROR(INDEX(Input_ForRateCalc[],MATCH($C151&amp;" - "&amp;L$103,Input_ForRateCalc[[Cost item]:[Cost item]],0),MATCH(Calc_TUV_Net_1[[#This Row],[Decision ref]:[Decision ref]],Input_ForRateCalc[#Headers],0)),"-")*TUProp_Days_1</f>
        <v>0</v>
      </c>
      <c r="M151" s="67" cm="1">
        <f t="array" ref="M151">IFERROR(INDEX(Input_ForRateCalc[],MATCH($C151&amp;" - "&amp;M$103,Input_ForRateCalc[[Cost item]:[Cost item]],0),MATCH(Calc_TUV_Net_1[[#This Row],[Decision ref]:[Decision ref]],Input_ForRateCalc[#Headers],0)),"-")*TUProp_Days_1</f>
        <v>0</v>
      </c>
      <c r="N151" s="67" cm="1">
        <f t="array" ref="N151">IFERROR(INDEX(Input_ForRateCalc[],MATCH($C151&amp;" - "&amp;N$103,Input_ForRateCalc[[Cost item]:[Cost item]],0),MATCH(Calc_TUV_Net_1[[#This Row],[Decision ref]:[Decision ref]],Input_ForRateCalc[#Headers],0)),"-")*TUProp_Days_1</f>
        <v>0</v>
      </c>
      <c r="O151" s="67" cm="1">
        <f t="array" ref="O151">IFERROR(INDEX(Input_ForRateCalc[],MATCH($C151&amp;" - "&amp;O$103,Input_ForRateCalc[[Cost item]:[Cost item]],0),MATCH(Calc_TUV_Net_1[[#This Row],[Decision ref]:[Decision ref]],Input_ForRateCalc[#Headers],0)),"-")*TUProp_Days_1</f>
        <v>0</v>
      </c>
    </row>
    <row r="152" spans="3:15" hidden="1" x14ac:dyDescent="0.25">
      <c r="C152" s="60" t="s">
        <v>327</v>
      </c>
      <c r="D152" s="83" t="str">
        <f>INDEX(Input_DecisionActual[[Decision]:[Decision]],MATCH(Calc_TU_values!$D$5,Input_DecisionActual[[VDO period]:[VDO period]],0),1)</f>
        <v>VDO 2021 - Final</v>
      </c>
      <c r="E152" s="24" t="s">
        <v>525</v>
      </c>
      <c r="F152" s="83" t="str">
        <f>IF($D152="-","-",INDEX(Inputs!$H$10:$Q$10,1,MATCH($D152,Inputs!$H$8:$Q$8,0)))</f>
        <v>F-CurrentVDO_Input</v>
      </c>
      <c r="G152" s="59"/>
      <c r="H152" s="24" t="s">
        <v>117</v>
      </c>
      <c r="I152" s="24" t="s">
        <v>118</v>
      </c>
      <c r="J152" s="60" t="s">
        <v>101</v>
      </c>
      <c r="K152" s="66">
        <f>SUM(K150:K151)</f>
        <v>0</v>
      </c>
      <c r="L152" s="66">
        <f>SUM(L150:L151)</f>
        <v>0</v>
      </c>
      <c r="M152" s="66">
        <f>SUM(M150:M151)</f>
        <v>0</v>
      </c>
      <c r="N152" s="66">
        <f>SUM(N150:N151)</f>
        <v>0</v>
      </c>
      <c r="O152" s="66">
        <f>SUM(O150:O151)</f>
        <v>0</v>
      </c>
    </row>
    <row r="153" spans="3:15" hidden="1" x14ac:dyDescent="0.25">
      <c r="C153" s="60" t="s">
        <v>328</v>
      </c>
      <c r="D153" s="24"/>
      <c r="E153" s="24"/>
      <c r="F153" s="24"/>
      <c r="G153" s="60"/>
      <c r="H153" s="24" t="s">
        <v>117</v>
      </c>
      <c r="I153" s="24" t="s">
        <v>118</v>
      </c>
      <c r="J153" s="60" t="s">
        <v>101</v>
      </c>
      <c r="K153" s="66" t="str">
        <f>IF(K152=0,"-",K149-K152)</f>
        <v>-</v>
      </c>
      <c r="L153" s="66" t="str">
        <f t="shared" ref="L153:O153" si="48">IF(L152=0,"-",L149-L152)</f>
        <v>-</v>
      </c>
      <c r="M153" s="66" t="str">
        <f t="shared" si="48"/>
        <v>-</v>
      </c>
      <c r="N153" s="66" t="str">
        <f t="shared" si="48"/>
        <v>-</v>
      </c>
      <c r="O153" s="66" t="str">
        <f t="shared" si="48"/>
        <v>-</v>
      </c>
    </row>
    <row r="154" spans="3:15" hidden="1" x14ac:dyDescent="0.25">
      <c r="C154" s="60" t="s">
        <v>435</v>
      </c>
      <c r="D154" s="24"/>
      <c r="E154" s="24"/>
      <c r="F154" s="24"/>
      <c r="G154" s="60"/>
      <c r="H154" s="24" t="s">
        <v>117</v>
      </c>
      <c r="I154" s="24" t="s">
        <v>118</v>
      </c>
      <c r="J154" s="60" t="s">
        <v>101</v>
      </c>
      <c r="K154" s="67" t="str">
        <f>IFERROR(IF($D$11="Yes",K153*(1+WACC_adj_1),""),"-")</f>
        <v/>
      </c>
      <c r="L154" s="67" t="str">
        <f>IFERROR(IF($D$11="Yes",L153*(1+WACC_adj_1),""),"-")</f>
        <v/>
      </c>
      <c r="M154" s="67" t="str">
        <f>IFERROR(IF($D$11="Yes",M153*(1+WACC_adj_1),""),"-")</f>
        <v/>
      </c>
      <c r="N154" s="67" t="str">
        <f>IFERROR(IF($D$11="Yes",N153*(1+WACC_adj_1),""),"-")</f>
        <v/>
      </c>
      <c r="O154" s="67" t="str">
        <f>IFERROR(IF($D$11="Yes",O153*(1+WACC_adj_1),""),"-")</f>
        <v/>
      </c>
    </row>
    <row r="155" spans="3:15" hidden="1" x14ac:dyDescent="0.25">
      <c r="C155" s="60" t="s">
        <v>330</v>
      </c>
      <c r="D155" s="83" t="str">
        <f>INDEX(Input_DecisionActual[[Decision]:[Decision]],MATCH(Calc_TU_values!$D$5,Input_DecisionActual[[VDO period]:[VDO period]],0),1)</f>
        <v>VDO 2021 - Final</v>
      </c>
      <c r="E155" s="24" t="s">
        <v>525</v>
      </c>
      <c r="F155" s="83" t="str">
        <f>IF($D155="-","-",INDEX(Inputs!$H$10:$Q$10,1,MATCH($D155,Inputs!$H$8:$Q$8,0)))</f>
        <v>F-CurrentVDO_Input</v>
      </c>
      <c r="G155" s="60"/>
      <c r="H155" s="24" t="s">
        <v>117</v>
      </c>
      <c r="I155" s="24" t="s">
        <v>118</v>
      </c>
      <c r="J155" s="60" t="s">
        <v>101</v>
      </c>
      <c r="K155" s="67" cm="1">
        <f t="array" ref="K155">IFERROR(SUM(K153:K154)*(INDEX(Inputs!$H$11:$Q$127,MATCH("Retail operating margin",Input_ForRateCalc[[Cost item]:[Cost item]],0),MATCH(Calc_TUV_Net_1[[#This Row],[Decision ref]:[Decision ref]],Inputs!$H$10:$Q$10,0))),"-")</f>
        <v>0</v>
      </c>
      <c r="L155" s="67" cm="1">
        <f t="array" ref="L155">IFERROR(SUM(L153:L154)*(INDEX(Inputs!$H$11:$Q$127,MATCH("Retail operating margin",Input_ForRateCalc[[Cost item]:[Cost item]],0),MATCH(Calc_TUV_Net_1[[#This Row],[Decision ref]:[Decision ref]],Inputs!$H$10:$Q$10,0))),"-")</f>
        <v>0</v>
      </c>
      <c r="M155" s="67" cm="1">
        <f t="array" ref="M155">IFERROR(SUM(M153:M154)*(INDEX(Inputs!$H$11:$Q$127,MATCH("Retail operating margin",Input_ForRateCalc[[Cost item]:[Cost item]],0),MATCH(Calc_TUV_Net_1[[#This Row],[Decision ref]:[Decision ref]],Inputs!$H$10:$Q$10,0))),"-")</f>
        <v>0</v>
      </c>
      <c r="N155" s="67" cm="1">
        <f t="array" ref="N155">IFERROR(SUM(N153:N154)*(INDEX(Inputs!$H$11:$Q$127,MATCH("Retail operating margin",Input_ForRateCalc[[Cost item]:[Cost item]],0),MATCH(Calc_TUV_Net_1[[#This Row],[Decision ref]:[Decision ref]],Inputs!$H$10:$Q$10,0))),"-")</f>
        <v>0</v>
      </c>
      <c r="O155" s="67" cm="1">
        <f t="array" ref="O155">IFERROR(SUM(O153:O154)*(INDEX(Inputs!$H$11:$Q$127,MATCH("Retail operating margin",Input_ForRateCalc[[Cost item]:[Cost item]],0),MATCH(Calc_TUV_Net_1[[#This Row],[Decision ref]:[Decision ref]],Inputs!$H$10:$Q$10,0))),"-")</f>
        <v>0</v>
      </c>
    </row>
    <row r="156" spans="3:15" hidden="1" x14ac:dyDescent="0.25">
      <c r="C156" s="60" t="s">
        <v>436</v>
      </c>
      <c r="D156" s="24"/>
      <c r="E156" s="24"/>
      <c r="F156" s="24"/>
      <c r="G156" s="60"/>
      <c r="H156" s="24" t="s">
        <v>117</v>
      </c>
      <c r="I156" s="24" t="s">
        <v>118</v>
      </c>
      <c r="J156" s="60" t="s">
        <v>101</v>
      </c>
      <c r="K156" s="67" t="str">
        <f>IF(K152=0,"-",SUM(K153:K155)*GST)</f>
        <v>-</v>
      </c>
      <c r="L156" s="67" t="str">
        <f>IF(L152=0,"-",SUM(L153:L155)*GST)</f>
        <v>-</v>
      </c>
      <c r="M156" s="67" t="str">
        <f>IF(M152=0,"-",SUM(M153:M155)*GST)</f>
        <v>-</v>
      </c>
      <c r="N156" s="67" t="str">
        <f>IF(N152=0,"-",SUM(N153:N155)*GST)</f>
        <v>-</v>
      </c>
      <c r="O156" s="67" t="str">
        <f>IF(O152=0,"-",SUM(O153:O155)*GST)</f>
        <v>-</v>
      </c>
    </row>
    <row r="157" spans="3:15" hidden="1" x14ac:dyDescent="0.25">
      <c r="C157" s="24" t="s">
        <v>494</v>
      </c>
      <c r="D157" s="24"/>
      <c r="E157" s="24"/>
      <c r="F157" s="24"/>
      <c r="G157" s="60"/>
      <c r="H157" s="24" t="s">
        <v>117</v>
      </c>
      <c r="I157" s="24" t="s">
        <v>118</v>
      </c>
      <c r="J157" s="60" t="s">
        <v>101</v>
      </c>
      <c r="K157" s="67" t="str">
        <f>IF(K152=0,"-",SUM(K153:K156))</f>
        <v>-</v>
      </c>
      <c r="L157" s="67" t="str">
        <f>IF(L152=0,"-",SUM(L153:L156))</f>
        <v>-</v>
      </c>
      <c r="M157" s="67" t="str">
        <f>IF(M152=0,"-",SUM(M153:M156))</f>
        <v>-</v>
      </c>
      <c r="N157" s="67" t="str">
        <f>IF(N152=0,"-",SUM(N153:N156))</f>
        <v>-</v>
      </c>
      <c r="O157" s="67" t="str">
        <f>IF(O152=0,"-",SUM(O153:O156))</f>
        <v>-</v>
      </c>
    </row>
    <row r="158" spans="3:15" hidden="1" x14ac:dyDescent="0.25">
      <c r="C158" s="60"/>
      <c r="D158" s="60"/>
      <c r="E158" s="60"/>
      <c r="F158" s="60"/>
      <c r="H158" s="60"/>
      <c r="I158" s="24"/>
      <c r="J158" s="24"/>
      <c r="K158" s="132"/>
      <c r="L158" s="132"/>
      <c r="M158" s="132"/>
      <c r="N158" s="132"/>
      <c r="O158" s="132"/>
    </row>
    <row r="159" spans="3:15" hidden="1" x14ac:dyDescent="0.25">
      <c r="C159" s="58" t="s">
        <v>501</v>
      </c>
      <c r="D159" s="60"/>
      <c r="E159" s="60"/>
      <c r="F159" s="60"/>
      <c r="G159" s="69"/>
      <c r="H159" s="60"/>
      <c r="I159" s="24"/>
      <c r="J159" s="60"/>
      <c r="K159" s="132"/>
      <c r="L159" s="132"/>
      <c r="M159" s="132"/>
      <c r="N159" s="132"/>
      <c r="O159" s="132"/>
    </row>
    <row r="160" spans="3:15" hidden="1" x14ac:dyDescent="0.25">
      <c r="C160" s="60" t="s">
        <v>481</v>
      </c>
      <c r="D160" s="83" t="str">
        <f>Calc_TU_values!$D$5</f>
        <v>VDO 2021 - Variation final</v>
      </c>
      <c r="E160" s="24" t="s">
        <v>524</v>
      </c>
      <c r="F160" s="83" t="str">
        <f>INDEX(Inputs!$H$10:$Q$10,1,MATCH($D160,Inputs!$H$8:$Q$8,0))</f>
        <v>VF-CurrentVDO_Input</v>
      </c>
      <c r="G160" s="60"/>
      <c r="H160" s="24" t="s">
        <v>139</v>
      </c>
      <c r="I160" s="24" t="s">
        <v>174</v>
      </c>
      <c r="J160" s="60" t="s">
        <v>101</v>
      </c>
      <c r="K160" s="67" cm="1">
        <f t="array" ref="K160">IFERROR(INDEX(Input_ForRateCalc[],MATCH($C160&amp;" - "&amp;K$103,Input_ForRateCalc[[Cost item]:[Cost item]],0),MATCH(Calc_TUV_Net_1[[#This Row],[Decision ref]:[Decision ref]],Input_ForRateCalc[#Headers],0)),"-")</f>
        <v>15.538600000000001</v>
      </c>
      <c r="L160" s="67" t="str" cm="1">
        <f t="array" ref="L160">IFERROR(INDEX(Input_ForRateCalc[],MATCH($C160&amp;" - "&amp;L$103,Input_ForRateCalc[[Cost item]:[Cost item]],0),MATCH(Calc_TUV_Net_1[[#This Row],[Decision ref]:[Decision ref]],Input_ForRateCalc[#Headers],0)),"-")</f>
        <v>-</v>
      </c>
      <c r="M160" s="67" t="str" cm="1">
        <f t="array" ref="M160">IFERROR(INDEX(Input_ForRateCalc[],MATCH($C160&amp;" - "&amp;M$103,Input_ForRateCalc[[Cost item]:[Cost item]],0),MATCH(Calc_TUV_Net_1[[#This Row],[Decision ref]:[Decision ref]],Input_ForRateCalc[#Headers],0)),"-")</f>
        <v>-</v>
      </c>
      <c r="N160" s="67" t="str" cm="1">
        <f t="array" ref="N160">IFERROR(INDEX(Input_ForRateCalc[],MATCH($C160&amp;" - "&amp;N$103,Input_ForRateCalc[[Cost item]:[Cost item]],0),MATCH(Calc_TUV_Net_1[[#This Row],[Decision ref]:[Decision ref]],Input_ForRateCalc[#Headers],0)),"-")</f>
        <v>-</v>
      </c>
      <c r="O160" s="67" t="str" cm="1">
        <f t="array" ref="O160">IFERROR(INDEX(Input_ForRateCalc[],MATCH($C160&amp;" - "&amp;O$103,Input_ForRateCalc[[Cost item]:[Cost item]],0),MATCH(Calc_TUV_Net_1[[#This Row],[Decision ref]:[Decision ref]],Input_ForRateCalc[#Headers],0)),"-")</f>
        <v>-</v>
      </c>
    </row>
    <row r="161" spans="3:15" hidden="1" x14ac:dyDescent="0.25">
      <c r="C161" s="60" t="s">
        <v>482</v>
      </c>
      <c r="D161" s="83" t="str">
        <f>Calc_TU_values!$D$5</f>
        <v>VDO 2021 - Variation final</v>
      </c>
      <c r="E161" s="24" t="s">
        <v>524</v>
      </c>
      <c r="F161" s="83" t="str">
        <f>INDEX(Inputs!$H$10:$Q$10,1,MATCH($D161,Inputs!$H$8:$Q$8,0))</f>
        <v>VF-CurrentVDO_Input</v>
      </c>
      <c r="G161" s="69"/>
      <c r="H161" s="24" t="s">
        <v>139</v>
      </c>
      <c r="I161" s="24" t="s">
        <v>174</v>
      </c>
      <c r="J161" s="60" t="s">
        <v>101</v>
      </c>
      <c r="K161" s="67" cm="1">
        <f t="array" ref="K161">IFERROR(INDEX(Input_ForRateCalc[],MATCH($C161&amp;" - "&amp;K$103,Input_ForRateCalc[[Cost item]:[Cost item]],0),MATCH(Calc_TUV_Net_1[[#This Row],[Decision ref]:[Decision ref]],Input_ForRateCalc[#Headers],0)),"-")</f>
        <v>18.2667</v>
      </c>
      <c r="L161" s="67" t="str" cm="1">
        <f t="array" ref="L161">IFERROR(INDEX(Input_ForRateCalc[],MATCH($C161&amp;" - "&amp;L$103,Input_ForRateCalc[[Cost item]:[Cost item]],0),MATCH(Calc_TUV_Net_1[[#This Row],[Decision ref]:[Decision ref]],Input_ForRateCalc[#Headers],0)),"-")</f>
        <v>-</v>
      </c>
      <c r="M161" s="67" t="str" cm="1">
        <f t="array" ref="M161">IFERROR(INDEX(Input_ForRateCalc[],MATCH($C161&amp;" - "&amp;M$103,Input_ForRateCalc[[Cost item]:[Cost item]],0),MATCH(Calc_TUV_Net_1[[#This Row],[Decision ref]:[Decision ref]],Input_ForRateCalc[#Headers],0)),"-")</f>
        <v>-</v>
      </c>
      <c r="N161" s="67" t="str" cm="1">
        <f t="array" ref="N161">IFERROR(INDEX(Input_ForRateCalc[],MATCH($C161&amp;" - "&amp;N$103,Input_ForRateCalc[[Cost item]:[Cost item]],0),MATCH(Calc_TUV_Net_1[[#This Row],[Decision ref]:[Decision ref]],Input_ForRateCalc[#Headers],0)),"-")</f>
        <v>-</v>
      </c>
      <c r="O161" s="67" t="str" cm="1">
        <f t="array" ref="O161">IFERROR(INDEX(Input_ForRateCalc[],MATCH($C161&amp;" - "&amp;O$103,Input_ForRateCalc[[Cost item]:[Cost item]],0),MATCH(Calc_TUV_Net_1[[#This Row],[Decision ref]:[Decision ref]],Input_ForRateCalc[#Headers],0)),"-")</f>
        <v>-</v>
      </c>
    </row>
    <row r="162" spans="3:15" hidden="1" x14ac:dyDescent="0.25">
      <c r="C162" s="60" t="s">
        <v>483</v>
      </c>
      <c r="D162" s="83" t="str">
        <f>Calc_TU_values!$D$5</f>
        <v>VDO 2021 - Variation final</v>
      </c>
      <c r="E162" s="24" t="s">
        <v>524</v>
      </c>
      <c r="F162" s="83" t="str">
        <f>INDEX(Inputs!$H$10:$Q$10,1,MATCH($D162,Inputs!$H$8:$Q$8,0))</f>
        <v>VF-CurrentVDO_Input</v>
      </c>
      <c r="G162" s="59"/>
      <c r="H162" s="24" t="s">
        <v>139</v>
      </c>
      <c r="I162" s="24" t="s">
        <v>174</v>
      </c>
      <c r="J162" s="60" t="s">
        <v>101</v>
      </c>
      <c r="K162" s="67" t="str" cm="1">
        <f t="array" ref="K162">IFERROR(INDEX(Input_ForRateCalc[],MATCH($C162&amp;" - "&amp;K$103,Input_ForRateCalc[[Cost item]:[Cost item]],0),MATCH(Calc_TUV_Net_1[[#This Row],[Decision ref]:[Decision ref]],Input_ForRateCalc[#Headers],0)),"-")</f>
        <v>-</v>
      </c>
      <c r="L162" s="67" cm="1">
        <f t="array" ref="L162">IFERROR(INDEX(Input_ForRateCalc[],MATCH($C162&amp;" - "&amp;L$103,Input_ForRateCalc[[Cost item]:[Cost item]],0),MATCH(Calc_TUV_Net_1[[#This Row],[Decision ref]:[Decision ref]],Input_ForRateCalc[#Headers],0)),"-")</f>
        <v>8.2100000000000009</v>
      </c>
      <c r="M162" s="67" cm="1">
        <f t="array" ref="M162">IFERROR(INDEX(Input_ForRateCalc[],MATCH($C162&amp;" - "&amp;M$103,Input_ForRateCalc[[Cost item]:[Cost item]],0),MATCH(Calc_TUV_Net_1[[#This Row],[Decision ref]:[Decision ref]],Input_ForRateCalc[#Headers],0)),"-")</f>
        <v>10.973000000000001</v>
      </c>
      <c r="N162" s="67" cm="1">
        <f t="array" ref="N162">IFERROR(INDEX(Input_ForRateCalc[],MATCH($C162&amp;" - "&amp;N$103,Input_ForRateCalc[[Cost item]:[Cost item]],0),MATCH(Calc_TUV_Net_1[[#This Row],[Decision ref]:[Decision ref]],Input_ForRateCalc[#Headers],0)),"-")</f>
        <v>9.2899999999999991</v>
      </c>
      <c r="O162" s="67" cm="1">
        <f t="array" ref="O162">IFERROR(INDEX(Input_ForRateCalc[],MATCH($C162&amp;" - "&amp;O$103,Input_ForRateCalc[[Cost item]:[Cost item]],0),MATCH(Calc_TUV_Net_1[[#This Row],[Decision ref]:[Decision ref]],Input_ForRateCalc[#Headers],0)),"-")</f>
        <v>8.7899999999999991</v>
      </c>
    </row>
    <row r="163" spans="3:15" hidden="1" x14ac:dyDescent="0.25">
      <c r="C163" s="60" t="s">
        <v>327</v>
      </c>
      <c r="D163" s="83" t="str">
        <f>Calc_TU_values!$D$5</f>
        <v>VDO 2021 - Variation final</v>
      </c>
      <c r="E163" s="24" t="s">
        <v>524</v>
      </c>
      <c r="F163" s="83" t="str">
        <f>INDEX(Inputs!$H$10:$Q$10,1,MATCH($D163,Inputs!$H$8:$Q$8,0))</f>
        <v>VF-CurrentVDO_Input</v>
      </c>
      <c r="G163" s="59"/>
      <c r="H163" s="24" t="s">
        <v>139</v>
      </c>
      <c r="I163" s="24" t="s">
        <v>118</v>
      </c>
      <c r="J163" s="60" t="s">
        <v>101</v>
      </c>
      <c r="K163" s="68">
        <f>SUM(
IFERROR(K160/100*SUMIFS(INDEX(TUNet_Usage_PerRate_1[],0,MATCH(K$103,TUNet_Usage_PerRate_1[#Headers],0)),TUNet_Usage_PerRate_1[Customer type],Calc_TUV_Net_1[[#This Row],[Customer type]],TUNet_Usage_PerRate_1[Description],"Usage per customer - Block 1"),0),
IFERROR(K161/100*SUMIFS(INDEX(TUNet_Usage_PerRate_1[],0,MATCH(K$103,TUNet_Usage_PerRate_1[#Headers],0)),TUNet_Usage_PerRate_1[Customer type],Calc_TUV_Net_1[[#This Row],[Customer type]],TUNet_Usage_PerRate_1[Description],"Usage per customer - Balance"),0),
IFERROR(K162/100*SUMIFS(INDEX(TUNet_Usage_PerRate_1[],0,MATCH(K$103,TUNet_Usage_PerRate_1[#Headers],0)),TUNet_Usage_PerRate_1[Customer type],Calc_TUV_Net_1[[#This Row],[Customer type]],TUNet_Usage_PerRate_1[Description],"Usage per customer - Single rate"),0))</f>
        <v>0</v>
      </c>
      <c r="L163" s="68">
        <f>SUM(
IFERROR(L160/100*SUMIFS(INDEX(TUNet_Usage_PerRate_1[],0,MATCH(L$103,TUNet_Usage_PerRate_1[#Headers],0)),TUNet_Usage_PerRate_1[Customer type],Calc_TUV_Net_1[[#This Row],[Customer type]],TUNet_Usage_PerRate_1[Description],"Usage per customer - Block 1"),0),
IFERROR(L161/100*SUMIFS(INDEX(TUNet_Usage_PerRate_1[],0,MATCH(L$103,TUNet_Usage_PerRate_1[#Headers],0)),TUNet_Usage_PerRate_1[Customer type],Calc_TUV_Net_1[[#This Row],[Customer type]],TUNet_Usage_PerRate_1[Description],"Usage per customer - Balance"),0),
IFERROR(L162/100*SUMIFS(INDEX(TUNet_Usage_PerRate_1[],0,MATCH(L$103,TUNet_Usage_PerRate_1[#Headers],0)),TUNet_Usage_PerRate_1[Customer type],Calc_TUV_Net_1[[#This Row],[Customer type]],TUNet_Usage_PerRate_1[Description],"Usage per customer - Single rate"),0))</f>
        <v>0</v>
      </c>
      <c r="M163" s="68">
        <f>SUM(
IFERROR(M160/100*SUMIFS(INDEX(TUNet_Usage_PerRate_1[],0,MATCH(M$103,TUNet_Usage_PerRate_1[#Headers],0)),TUNet_Usage_PerRate_1[Customer type],Calc_TUV_Net_1[[#This Row],[Customer type]],TUNet_Usage_PerRate_1[Description],"Usage per customer - Block 1"),0),
IFERROR(M161/100*SUMIFS(INDEX(TUNet_Usage_PerRate_1[],0,MATCH(M$103,TUNet_Usage_PerRate_1[#Headers],0)),TUNet_Usage_PerRate_1[Customer type],Calc_TUV_Net_1[[#This Row],[Customer type]],TUNet_Usage_PerRate_1[Description],"Usage per customer - Balance"),0),
IFERROR(M162/100*SUMIFS(INDEX(TUNet_Usage_PerRate_1[],0,MATCH(M$103,TUNet_Usage_PerRate_1[#Headers],0)),TUNet_Usage_PerRate_1[Customer type],Calc_TUV_Net_1[[#This Row],[Customer type]],TUNet_Usage_PerRate_1[Description],"Usage per customer - Single rate"),0))</f>
        <v>0</v>
      </c>
      <c r="N163" s="68">
        <f>SUM(
IFERROR(N160/100*SUMIFS(INDEX(TUNet_Usage_PerRate_1[],0,MATCH(N$103,TUNet_Usage_PerRate_1[#Headers],0)),TUNet_Usage_PerRate_1[Customer type],Calc_TUV_Net_1[[#This Row],[Customer type]],TUNet_Usage_PerRate_1[Description],"Usage per customer - Block 1"),0),
IFERROR(N161/100*SUMIFS(INDEX(TUNet_Usage_PerRate_1[],0,MATCH(N$103,TUNet_Usage_PerRate_1[#Headers],0)),TUNet_Usage_PerRate_1[Customer type],Calc_TUV_Net_1[[#This Row],[Customer type]],TUNet_Usage_PerRate_1[Description],"Usage per customer - Balance"),0),
IFERROR(N162/100*SUMIFS(INDEX(TUNet_Usage_PerRate_1[],0,MATCH(N$103,TUNet_Usage_PerRate_1[#Headers],0)),TUNet_Usage_PerRate_1[Customer type],Calc_TUV_Net_1[[#This Row],[Customer type]],TUNet_Usage_PerRate_1[Description],"Usage per customer - Single rate"),0))</f>
        <v>0</v>
      </c>
      <c r="O163" s="68">
        <f>SUM(
IFERROR(O160/100*SUMIFS(INDEX(TUNet_Usage_PerRate_1[],0,MATCH(O$103,TUNet_Usage_PerRate_1[#Headers],0)),TUNet_Usage_PerRate_1[Customer type],Calc_TUV_Net_1[[#This Row],[Customer type]],TUNet_Usage_PerRate_1[Description],"Usage per customer - Block 1"),0),
IFERROR(O161/100*SUMIFS(INDEX(TUNet_Usage_PerRate_1[],0,MATCH(O$103,TUNet_Usage_PerRate_1[#Headers],0)),TUNet_Usage_PerRate_1[Customer type],Calc_TUV_Net_1[[#This Row],[Customer type]],TUNet_Usage_PerRate_1[Description],"Usage per customer - Balance"),0),
IFERROR(O162/100*SUMIFS(INDEX(TUNet_Usage_PerRate_1[],0,MATCH(O$103,TUNet_Usage_PerRate_1[#Headers],0)),TUNet_Usage_PerRate_1[Customer type],Calc_TUV_Net_1[[#This Row],[Customer type]],TUNet_Usage_PerRate_1[Description],"Usage per customer - Single rate"),0))</f>
        <v>0</v>
      </c>
    </row>
    <row r="164" spans="3:15" hidden="1" x14ac:dyDescent="0.25">
      <c r="C164" s="60" t="s">
        <v>481</v>
      </c>
      <c r="D164" s="83" t="str">
        <f>INDEX(Input_DecisionActual[[Decision]:[Decision]],MATCH(Calc_TU_values!$D$5,Input_DecisionActual[[VDO period]:[VDO period]],0),1)</f>
        <v>VDO 2021 - Final</v>
      </c>
      <c r="E164" s="24" t="s">
        <v>525</v>
      </c>
      <c r="F164" s="83" t="str">
        <f>IF($D164="-","-",INDEX(Inputs!$H$10:$Q$10,1,MATCH($D164,Inputs!$H$8:$Q$8,0)))</f>
        <v>F-CurrentVDO_Input</v>
      </c>
      <c r="G164" s="59"/>
      <c r="H164" s="24" t="s">
        <v>139</v>
      </c>
      <c r="I164" s="24" t="s">
        <v>174</v>
      </c>
      <c r="J164" s="60" t="s">
        <v>101</v>
      </c>
      <c r="K164" s="67" cm="1">
        <f t="array" ref="K164">IFERROR(INDEX(Input_ForRateCalc[],MATCH($C164&amp;" - "&amp;K$103,Input_ForRateCalc[[Cost item]:[Cost item]],0),MATCH(Calc_TUV_Net_1[[#This Row],[Decision ref]:[Decision ref]],Input_ForRateCalc[#Headers],0)),"-")</f>
        <v>13.9602</v>
      </c>
      <c r="L164" s="67" t="str" cm="1">
        <f t="array" ref="L164">IFERROR(INDEX(Input_ForRateCalc[],MATCH($C164&amp;" - "&amp;L$103,Input_ForRateCalc[[Cost item]:[Cost item]],0),MATCH(Calc_TUV_Net_1[[#This Row],[Decision ref]:[Decision ref]],Input_ForRateCalc[#Headers],0)),"-")</f>
        <v>-</v>
      </c>
      <c r="M164" s="67" t="str" cm="1">
        <f t="array" ref="M164">IFERROR(INDEX(Input_ForRateCalc[],MATCH($C164&amp;" - "&amp;M$103,Input_ForRateCalc[[Cost item]:[Cost item]],0),MATCH(Calc_TUV_Net_1[[#This Row],[Decision ref]:[Decision ref]],Input_ForRateCalc[#Headers],0)),"-")</f>
        <v>-</v>
      </c>
      <c r="N164" s="67" t="str" cm="1">
        <f t="array" ref="N164">IFERROR(INDEX(Input_ForRateCalc[],MATCH($C164&amp;" - "&amp;N$103,Input_ForRateCalc[[Cost item]:[Cost item]],0),MATCH(Calc_TUV_Net_1[[#This Row],[Decision ref]:[Decision ref]],Input_ForRateCalc[#Headers],0)),"-")</f>
        <v>-</v>
      </c>
      <c r="O164" s="67" t="str" cm="1">
        <f t="array" ref="O164">IFERROR(INDEX(Input_ForRateCalc[],MATCH($C164&amp;" - "&amp;O$103,Input_ForRateCalc[[Cost item]:[Cost item]],0),MATCH(Calc_TUV_Net_1[[#This Row],[Decision ref]:[Decision ref]],Input_ForRateCalc[#Headers],0)),"-")</f>
        <v>-</v>
      </c>
    </row>
    <row r="165" spans="3:15" hidden="1" x14ac:dyDescent="0.25">
      <c r="C165" s="60" t="s">
        <v>482</v>
      </c>
      <c r="D165" s="83" t="str">
        <f>INDEX(Input_DecisionActual[[Decision]:[Decision]],MATCH(Calc_TU_values!$D$5,Input_DecisionActual[[VDO period]:[VDO period]],0),1)</f>
        <v>VDO 2021 - Final</v>
      </c>
      <c r="E165" s="24" t="s">
        <v>525</v>
      </c>
      <c r="F165" s="83" t="str">
        <f>IF($D165="-","-",INDEX(Inputs!$H$10:$Q$10,1,MATCH($D165,Inputs!$H$8:$Q$8,0)))</f>
        <v>F-CurrentVDO_Input</v>
      </c>
      <c r="G165" s="59"/>
      <c r="H165" s="24" t="s">
        <v>139</v>
      </c>
      <c r="I165" s="24" t="s">
        <v>174</v>
      </c>
      <c r="J165" s="60" t="s">
        <v>101</v>
      </c>
      <c r="K165" s="67" cm="1">
        <f t="array" ref="K165">IFERROR(INDEX(Input_ForRateCalc[],MATCH($C165&amp;" - "&amp;K$103,Input_ForRateCalc[[Cost item]:[Cost item]],0),MATCH(Calc_TUV_Net_1[[#This Row],[Decision ref]:[Decision ref]],Input_ForRateCalc[#Headers],0)),"-")</f>
        <v>16.934899999999999</v>
      </c>
      <c r="L165" s="67" t="str" cm="1">
        <f t="array" ref="L165">IFERROR(INDEX(Input_ForRateCalc[],MATCH($C165&amp;" - "&amp;L$103,Input_ForRateCalc[[Cost item]:[Cost item]],0),MATCH(Calc_TUV_Net_1[[#This Row],[Decision ref]:[Decision ref]],Input_ForRateCalc[#Headers],0)),"-")</f>
        <v>-</v>
      </c>
      <c r="M165" s="67" t="str" cm="1">
        <f t="array" ref="M165">IFERROR(INDEX(Input_ForRateCalc[],MATCH($C165&amp;" - "&amp;M$103,Input_ForRateCalc[[Cost item]:[Cost item]],0),MATCH(Calc_TUV_Net_1[[#This Row],[Decision ref]:[Decision ref]],Input_ForRateCalc[#Headers],0)),"-")</f>
        <v>-</v>
      </c>
      <c r="N165" s="67" t="str" cm="1">
        <f t="array" ref="N165">IFERROR(INDEX(Input_ForRateCalc[],MATCH($C165&amp;" - "&amp;N$103,Input_ForRateCalc[[Cost item]:[Cost item]],0),MATCH(Calc_TUV_Net_1[[#This Row],[Decision ref]:[Decision ref]],Input_ForRateCalc[#Headers],0)),"-")</f>
        <v>-</v>
      </c>
      <c r="O165" s="67" t="str" cm="1">
        <f t="array" ref="O165">IFERROR(INDEX(Input_ForRateCalc[],MATCH($C165&amp;" - "&amp;O$103,Input_ForRateCalc[[Cost item]:[Cost item]],0),MATCH(Calc_TUV_Net_1[[#This Row],[Decision ref]:[Decision ref]],Input_ForRateCalc[#Headers],0)),"-")</f>
        <v>-</v>
      </c>
    </row>
    <row r="166" spans="3:15" hidden="1" x14ac:dyDescent="0.25">
      <c r="C166" s="60" t="s">
        <v>483</v>
      </c>
      <c r="D166" s="83" t="str">
        <f>INDEX(Input_DecisionActual[[Decision]:[Decision]],MATCH(Calc_TU_values!$D$5,Input_DecisionActual[[VDO period]:[VDO period]],0),1)</f>
        <v>VDO 2021 - Final</v>
      </c>
      <c r="E166" s="24" t="s">
        <v>525</v>
      </c>
      <c r="F166" s="83" t="str">
        <f>IF($D166="-","-",INDEX(Inputs!$H$10:$Q$10,1,MATCH($D166,Inputs!$H$8:$Q$8,0)))</f>
        <v>F-CurrentVDO_Input</v>
      </c>
      <c r="G166" s="59"/>
      <c r="H166" s="24" t="s">
        <v>139</v>
      </c>
      <c r="I166" s="24" t="s">
        <v>174</v>
      </c>
      <c r="J166" s="60" t="s">
        <v>101</v>
      </c>
      <c r="K166" s="67" t="str" cm="1">
        <f t="array" ref="K166">IFERROR(INDEX(Input_ForRateCalc[],MATCH($C166&amp;" - "&amp;K$103,Input_ForRateCalc[[Cost item]:[Cost item]],0),MATCH(Calc_TUV_Net_1[[#This Row],[Decision ref]:[Decision ref]],Input_ForRateCalc[#Headers],0)),"-")</f>
        <v>-</v>
      </c>
      <c r="L166" s="67" cm="1">
        <f t="array" ref="L166">IFERROR(INDEX(Input_ForRateCalc[],MATCH($C166&amp;" - "&amp;L$103,Input_ForRateCalc[[Cost item]:[Cost item]],0),MATCH(Calc_TUV_Net_1[[#This Row],[Decision ref]:[Decision ref]],Input_ForRateCalc[#Headers],0)),"-")</f>
        <v>7.54</v>
      </c>
      <c r="M166" s="67" cm="1">
        <f t="array" ref="M166">IFERROR(INDEX(Input_ForRateCalc[],MATCH($C166&amp;" - "&amp;M$103,Input_ForRateCalc[[Cost item]:[Cost item]],0),MATCH(Calc_TUV_Net_1[[#This Row],[Decision ref]:[Decision ref]],Input_ForRateCalc[#Headers],0)),"-")</f>
        <v>9.3260000000000005</v>
      </c>
      <c r="N166" s="67" cm="1">
        <f t="array" ref="N166">IFERROR(INDEX(Input_ForRateCalc[],MATCH($C166&amp;" - "&amp;N$103,Input_ForRateCalc[[Cost item]:[Cost item]],0),MATCH(Calc_TUV_Net_1[[#This Row],[Decision ref]:[Decision ref]],Input_ForRateCalc[#Headers],0)),"-")</f>
        <v>8.44</v>
      </c>
      <c r="O166" s="67" cm="1">
        <f t="array" ref="O166">IFERROR(INDEX(Input_ForRateCalc[],MATCH($C166&amp;" - "&amp;O$103,Input_ForRateCalc[[Cost item]:[Cost item]],0),MATCH(Calc_TUV_Net_1[[#This Row],[Decision ref]:[Decision ref]],Input_ForRateCalc[#Headers],0)),"-")</f>
        <v>9.27</v>
      </c>
    </row>
    <row r="167" spans="3:15" hidden="1" x14ac:dyDescent="0.25">
      <c r="C167" s="60" t="s">
        <v>327</v>
      </c>
      <c r="D167" s="83" t="str">
        <f>INDEX(Input_DecisionActual[[Decision]:[Decision]],MATCH(Calc_TU_values!$D$5,Input_DecisionActual[[VDO period]:[VDO period]],0),1)</f>
        <v>VDO 2021 - Final</v>
      </c>
      <c r="E167" s="24" t="s">
        <v>525</v>
      </c>
      <c r="F167" s="83" t="str">
        <f>IF($D167="-","-",INDEX(Inputs!$H$10:$Q$10,1,MATCH($D167,Inputs!$H$8:$Q$8,0)))</f>
        <v>F-CurrentVDO_Input</v>
      </c>
      <c r="G167" s="59"/>
      <c r="H167" s="24" t="s">
        <v>139</v>
      </c>
      <c r="I167" s="24" t="s">
        <v>118</v>
      </c>
      <c r="J167" s="60" t="s">
        <v>101</v>
      </c>
      <c r="K167" s="68">
        <f>SUM(
IFERROR(K164/100*SUMIFS(INDEX(TUNet_Usage_PerRate_1[],0,MATCH(K$103,TUNet_Usage_PerRate_1[#Headers],0)),TUNet_Usage_PerRate_1[Customer type],Calc_TUV_Net_1[[#This Row],[Customer type]],TUNet_Usage_PerRate_1[Description],"Usage per customer - Block 1"),0),
IFERROR(K165/100*SUMIFS(INDEX(TUNet_Usage_PerRate_1[],0,MATCH(K$103,TUNet_Usage_PerRate_1[#Headers],0)),TUNet_Usage_PerRate_1[Customer type],Calc_TUV_Net_1[[#This Row],[Customer type]],TUNet_Usage_PerRate_1[Description],"Usage per customer - Balance"),0),
IFERROR(K166/100*SUMIFS(INDEX(TUNet_Usage_PerRate_1[],0,MATCH(K$103,TUNet_Usage_PerRate_1[#Headers],0)),TUNet_Usage_PerRate_1[Customer type],Calc_TUV_Net_1[[#This Row],[Customer type]],TUNet_Usage_PerRate_1[Description],"Usage per customer - Single rate"),0))</f>
        <v>0</v>
      </c>
      <c r="L167" s="68">
        <f>SUM(
IFERROR(L164/100*SUMIFS(INDEX(TUNet_Usage_PerRate_1[],0,MATCH(L$103,TUNet_Usage_PerRate_1[#Headers],0)),TUNet_Usage_PerRate_1[Customer type],Calc_TUV_Net_1[[#This Row],[Customer type]],TUNet_Usage_PerRate_1[Description],"Usage per customer - Block 1"),0),
IFERROR(L165/100*SUMIFS(INDEX(TUNet_Usage_PerRate_1[],0,MATCH(L$103,TUNet_Usage_PerRate_1[#Headers],0)),TUNet_Usage_PerRate_1[Customer type],Calc_TUV_Net_1[[#This Row],[Customer type]],TUNet_Usage_PerRate_1[Description],"Usage per customer - Balance"),0),
IFERROR(L166/100*SUMIFS(INDEX(TUNet_Usage_PerRate_1[],0,MATCH(L$103,TUNet_Usage_PerRate_1[#Headers],0)),TUNet_Usage_PerRate_1[Customer type],Calc_TUV_Net_1[[#This Row],[Customer type]],TUNet_Usage_PerRate_1[Description],"Usage per customer - Single rate"),0))</f>
        <v>0</v>
      </c>
      <c r="M167" s="68">
        <f>SUM(
IFERROR(M164/100*SUMIFS(INDEX(TUNet_Usage_PerRate_1[],0,MATCH(M$103,TUNet_Usage_PerRate_1[#Headers],0)),TUNet_Usage_PerRate_1[Customer type],Calc_TUV_Net_1[[#This Row],[Customer type]],TUNet_Usage_PerRate_1[Description],"Usage per customer - Block 1"),0),
IFERROR(M165/100*SUMIFS(INDEX(TUNet_Usage_PerRate_1[],0,MATCH(M$103,TUNet_Usage_PerRate_1[#Headers],0)),TUNet_Usage_PerRate_1[Customer type],Calc_TUV_Net_1[[#This Row],[Customer type]],TUNet_Usage_PerRate_1[Description],"Usage per customer - Balance"),0),
IFERROR(M166/100*SUMIFS(INDEX(TUNet_Usage_PerRate_1[],0,MATCH(M$103,TUNet_Usage_PerRate_1[#Headers],0)),TUNet_Usage_PerRate_1[Customer type],Calc_TUV_Net_1[[#This Row],[Customer type]],TUNet_Usage_PerRate_1[Description],"Usage per customer - Single rate"),0))</f>
        <v>0</v>
      </c>
      <c r="N167" s="68">
        <f>SUM(
IFERROR(N164/100*SUMIFS(INDEX(TUNet_Usage_PerRate_1[],0,MATCH(N$103,TUNet_Usage_PerRate_1[#Headers],0)),TUNet_Usage_PerRate_1[Customer type],Calc_TUV_Net_1[[#This Row],[Customer type]],TUNet_Usage_PerRate_1[Description],"Usage per customer - Block 1"),0),
IFERROR(N165/100*SUMIFS(INDEX(TUNet_Usage_PerRate_1[],0,MATCH(N$103,TUNet_Usage_PerRate_1[#Headers],0)),TUNet_Usage_PerRate_1[Customer type],Calc_TUV_Net_1[[#This Row],[Customer type]],TUNet_Usage_PerRate_1[Description],"Usage per customer - Balance"),0),
IFERROR(N166/100*SUMIFS(INDEX(TUNet_Usage_PerRate_1[],0,MATCH(N$103,TUNet_Usage_PerRate_1[#Headers],0)),TUNet_Usage_PerRate_1[Customer type],Calc_TUV_Net_1[[#This Row],[Customer type]],TUNet_Usage_PerRate_1[Description],"Usage per customer - Single rate"),0))</f>
        <v>0</v>
      </c>
      <c r="O167" s="68">
        <f>SUM(
IFERROR(O164/100*SUMIFS(INDEX(TUNet_Usage_PerRate_1[],0,MATCH(O$103,TUNet_Usage_PerRate_1[#Headers],0)),TUNet_Usage_PerRate_1[Customer type],Calc_TUV_Net_1[[#This Row],[Customer type]],TUNet_Usage_PerRate_1[Description],"Usage per customer - Block 1"),0),
IFERROR(O165/100*SUMIFS(INDEX(TUNet_Usage_PerRate_1[],0,MATCH(O$103,TUNet_Usage_PerRate_1[#Headers],0)),TUNet_Usage_PerRate_1[Customer type],Calc_TUV_Net_1[[#This Row],[Customer type]],TUNet_Usage_PerRate_1[Description],"Usage per customer - Balance"),0),
IFERROR(O166/100*SUMIFS(INDEX(TUNet_Usage_PerRate_1[],0,MATCH(O$103,TUNet_Usage_PerRate_1[#Headers],0)),TUNet_Usage_PerRate_1[Customer type],Calc_TUV_Net_1[[#This Row],[Customer type]],TUNet_Usage_PerRate_1[Description],"Usage per customer - Single rate"),0))</f>
        <v>0</v>
      </c>
    </row>
    <row r="168" spans="3:15" hidden="1" x14ac:dyDescent="0.25">
      <c r="C168" s="60" t="s">
        <v>328</v>
      </c>
      <c r="D168" s="24"/>
      <c r="E168" s="24"/>
      <c r="F168" s="24"/>
      <c r="G168" s="60"/>
      <c r="H168" s="24" t="s">
        <v>139</v>
      </c>
      <c r="I168" s="24" t="s">
        <v>118</v>
      </c>
      <c r="J168" s="60" t="s">
        <v>101</v>
      </c>
      <c r="K168" s="66" t="str">
        <f>IF(K167=0,"-",K163-K167)</f>
        <v>-</v>
      </c>
      <c r="L168" s="66" t="str">
        <f t="shared" ref="L168:O168" si="49">IF(L167=0,"-",L163-L167)</f>
        <v>-</v>
      </c>
      <c r="M168" s="66" t="str">
        <f t="shared" si="49"/>
        <v>-</v>
      </c>
      <c r="N168" s="66" t="str">
        <f t="shared" si="49"/>
        <v>-</v>
      </c>
      <c r="O168" s="66" t="str">
        <f t="shared" si="49"/>
        <v>-</v>
      </c>
    </row>
    <row r="169" spans="3:15" hidden="1" x14ac:dyDescent="0.25">
      <c r="C169" s="60" t="s">
        <v>435</v>
      </c>
      <c r="D169" s="24"/>
      <c r="E169" s="24"/>
      <c r="F169" s="24"/>
      <c r="G169" s="60"/>
      <c r="H169" s="24" t="s">
        <v>139</v>
      </c>
      <c r="I169" s="24" t="s">
        <v>118</v>
      </c>
      <c r="J169" s="60" t="s">
        <v>101</v>
      </c>
      <c r="K169" s="67" t="str">
        <f>IFERROR(IF($D$11="Yes",K168*(1+WACC_adj_1),""),"-")</f>
        <v/>
      </c>
      <c r="L169" s="67" t="str">
        <f>IFERROR(IF($D$11="Yes",L168*(1+WACC_adj_1),""),"-")</f>
        <v/>
      </c>
      <c r="M169" s="67" t="str">
        <f>IFERROR(IF($D$11="Yes",M168*(1+WACC_adj_1),""),"-")</f>
        <v/>
      </c>
      <c r="N169" s="67" t="str">
        <f>IFERROR(IF($D$11="Yes",N168*(1+WACC_adj_1),""),"-")</f>
        <v/>
      </c>
      <c r="O169" s="67" t="str">
        <f>IFERROR(IF($D$11="Yes",O168*(1+WACC_adj_1),""),"-")</f>
        <v/>
      </c>
    </row>
    <row r="170" spans="3:15" hidden="1" x14ac:dyDescent="0.25">
      <c r="C170" s="60" t="s">
        <v>330</v>
      </c>
      <c r="D170" s="83" t="str">
        <f>INDEX(Input_DecisionActual[[Decision]:[Decision]],MATCH(Calc_TU_values!$D$5,Input_DecisionActual[[VDO period]:[VDO period]],0),1)</f>
        <v>VDO 2021 - Final</v>
      </c>
      <c r="E170" s="24" t="s">
        <v>525</v>
      </c>
      <c r="F170" s="83" t="str">
        <f>IF($D170="-","-",INDEX(Inputs!$H$10:$Q$10,1,MATCH($D170,Inputs!$H$8:$Q$8,0)))</f>
        <v>F-CurrentVDO_Input</v>
      </c>
      <c r="G170" s="60"/>
      <c r="H170" s="24" t="s">
        <v>139</v>
      </c>
      <c r="I170" s="24" t="s">
        <v>118</v>
      </c>
      <c r="J170" s="60" t="s">
        <v>101</v>
      </c>
      <c r="K170" s="67" cm="1">
        <f t="array" ref="K170">IFERROR(SUM(K168:K169)*(INDEX(Inputs!$H$11:$Q$127,MATCH("Retail operating margin",Input_ForRateCalc[[Cost item]:[Cost item]],0),MATCH(Calc_TUV_Net_1[[#This Row],[Decision ref]:[Decision ref]],Inputs!$H$10:$Q$10,0))),"-")</f>
        <v>0</v>
      </c>
      <c r="L170" s="67" cm="1">
        <f t="array" ref="L170">IFERROR(SUM(L168:L169)*(INDEX(Inputs!$H$11:$Q$127,MATCH("Retail operating margin",Input_ForRateCalc[[Cost item]:[Cost item]],0),MATCH(Calc_TUV_Net_1[[#This Row],[Decision ref]:[Decision ref]],Inputs!$H$10:$Q$10,0))),"-")</f>
        <v>0</v>
      </c>
      <c r="M170" s="67" cm="1">
        <f t="array" ref="M170">IFERROR(SUM(M168:M169)*(INDEX(Inputs!$H$11:$Q$127,MATCH("Retail operating margin",Input_ForRateCalc[[Cost item]:[Cost item]],0),MATCH(Calc_TUV_Net_1[[#This Row],[Decision ref]:[Decision ref]],Inputs!$H$10:$Q$10,0))),"-")</f>
        <v>0</v>
      </c>
      <c r="N170" s="67" cm="1">
        <f t="array" ref="N170">IFERROR(SUM(N168:N169)*(INDEX(Inputs!$H$11:$Q$127,MATCH("Retail operating margin",Input_ForRateCalc[[Cost item]:[Cost item]],0),MATCH(Calc_TUV_Net_1[[#This Row],[Decision ref]:[Decision ref]],Inputs!$H$10:$Q$10,0))),"-")</f>
        <v>0</v>
      </c>
      <c r="O170" s="67" cm="1">
        <f t="array" ref="O170">IFERROR(SUM(O168:O169)*(INDEX(Inputs!$H$11:$Q$127,MATCH("Retail operating margin",Input_ForRateCalc[[Cost item]:[Cost item]],0),MATCH(Calc_TUV_Net_1[[#This Row],[Decision ref]:[Decision ref]],Inputs!$H$10:$Q$10,0))),"-")</f>
        <v>0</v>
      </c>
    </row>
    <row r="171" spans="3:15" hidden="1" x14ac:dyDescent="0.25">
      <c r="C171" s="60" t="s">
        <v>436</v>
      </c>
      <c r="D171" s="24"/>
      <c r="E171" s="24"/>
      <c r="F171" s="24"/>
      <c r="G171" s="60"/>
      <c r="H171" s="24" t="s">
        <v>139</v>
      </c>
      <c r="I171" s="24" t="s">
        <v>118</v>
      </c>
      <c r="J171" s="60" t="s">
        <v>101</v>
      </c>
      <c r="K171" s="67" t="str">
        <f>IF(K167=0,"-",SUM(K168:K170)*GST)</f>
        <v>-</v>
      </c>
      <c r="L171" s="67" t="str">
        <f>IF(L167=0,"-",SUM(L168:L170)*GST)</f>
        <v>-</v>
      </c>
      <c r="M171" s="67" t="str">
        <f>IF(M167=0,"-",SUM(M168:M170)*GST)</f>
        <v>-</v>
      </c>
      <c r="N171" s="67" t="str">
        <f>IF(N167=0,"-",SUM(N168:N170)*GST)</f>
        <v>-</v>
      </c>
      <c r="O171" s="67" t="str">
        <f>IF(O167=0,"-",SUM(O168:O170)*GST)</f>
        <v>-</v>
      </c>
    </row>
    <row r="172" spans="3:15" hidden="1" x14ac:dyDescent="0.25">
      <c r="C172" s="60" t="s">
        <v>495</v>
      </c>
      <c r="D172" s="118"/>
      <c r="E172" s="118"/>
      <c r="F172" s="118"/>
      <c r="H172" s="24" t="s">
        <v>139</v>
      </c>
      <c r="I172" s="24" t="s">
        <v>118</v>
      </c>
      <c r="J172" s="60" t="s">
        <v>101</v>
      </c>
      <c r="K172" s="67" t="str">
        <f>IF(K167=0,"-",SUM(K168:K171))</f>
        <v>-</v>
      </c>
      <c r="L172" s="67" t="str">
        <f t="shared" ref="L172:O172" si="50">IF(L167=0,"-",SUM(L168:L171))</f>
        <v>-</v>
      </c>
      <c r="M172" s="67" t="str">
        <f t="shared" si="50"/>
        <v>-</v>
      </c>
      <c r="N172" s="67" t="str">
        <f t="shared" si="50"/>
        <v>-</v>
      </c>
      <c r="O172" s="67" t="str">
        <f t="shared" si="50"/>
        <v>-</v>
      </c>
    </row>
    <row r="173" spans="3:15" hidden="1" x14ac:dyDescent="0.25">
      <c r="C173" s="58"/>
      <c r="D173" s="58"/>
      <c r="E173" s="58"/>
      <c r="F173" s="58"/>
      <c r="G173" s="69"/>
      <c r="H173" s="69"/>
      <c r="I173" s="24"/>
      <c r="J173" s="24"/>
      <c r="K173" s="66"/>
      <c r="L173" s="24"/>
      <c r="M173" s="24"/>
      <c r="N173" s="24"/>
      <c r="O173" s="24"/>
    </row>
    <row r="174" spans="3:15" hidden="1" x14ac:dyDescent="0.25">
      <c r="C174" s="58"/>
      <c r="D174" s="58"/>
      <c r="E174" s="58"/>
      <c r="F174" s="58"/>
      <c r="G174" s="69"/>
      <c r="H174" s="69"/>
      <c r="I174" s="24"/>
      <c r="J174" s="24"/>
      <c r="K174" s="66"/>
      <c r="L174" s="24"/>
      <c r="M174" s="24"/>
      <c r="N174" s="24"/>
      <c r="O174" s="24"/>
    </row>
    <row r="175" spans="3:15" ht="15.75" hidden="1" x14ac:dyDescent="0.25">
      <c r="C175" s="1" t="s">
        <v>486</v>
      </c>
      <c r="D175" s="60"/>
      <c r="E175" s="60"/>
      <c r="F175" s="60"/>
      <c r="G175" s="69" t="s">
        <v>570</v>
      </c>
      <c r="H175" s="60"/>
      <c r="I175" s="24"/>
      <c r="J175" s="24"/>
      <c r="K175" s="66"/>
      <c r="L175" s="24"/>
      <c r="M175" s="24"/>
      <c r="N175" s="24"/>
      <c r="O175" s="24"/>
    </row>
    <row r="176" spans="3:15" hidden="1" x14ac:dyDescent="0.25">
      <c r="C176" s="58" t="s">
        <v>502</v>
      </c>
      <c r="D176" s="58"/>
      <c r="E176" s="58"/>
      <c r="F176" s="58"/>
      <c r="G176" s="69"/>
      <c r="H176" s="69"/>
      <c r="I176" s="24"/>
      <c r="J176" s="24"/>
      <c r="K176" s="66"/>
      <c r="L176" s="24"/>
      <c r="M176" s="24"/>
      <c r="N176" s="24"/>
      <c r="O176" s="24"/>
    </row>
    <row r="177" spans="3:15" hidden="1" x14ac:dyDescent="0.25">
      <c r="C177" s="60" t="s">
        <v>488</v>
      </c>
      <c r="D177" s="83" t="str">
        <f>Calc_TU_values!$D$5</f>
        <v>VDO 2021 - Variation final</v>
      </c>
      <c r="E177" s="24" t="s">
        <v>524</v>
      </c>
      <c r="F177" s="83" t="str">
        <f>INDEX(Inputs!$H$10:$Q$10,1,MATCH($D177,Inputs!$H$8:$Q$8,0))</f>
        <v>VF-CurrentVDO_Input</v>
      </c>
      <c r="G177" s="59"/>
      <c r="H177" s="24" t="s">
        <v>117</v>
      </c>
      <c r="I177" s="24" t="s">
        <v>118</v>
      </c>
      <c r="J177" s="60" t="s">
        <v>100</v>
      </c>
      <c r="K177" s="67" cm="1">
        <f t="array" ref="K177">IFERROR(INDEX(Input_ForRateCalc[],MATCH($C177&amp;" - "&amp;K$103,Input_ForRateCalc[[Cost item]:[Cost item]],0),MATCH(Calc_TUV_Net_1[[#This Row],[Decision ref]:[Decision ref]],Input_ForRateCalc[#Headers],0)),"-")*TUProp_Days_1</f>
        <v>0</v>
      </c>
      <c r="L177" s="67" cm="1">
        <f t="array" ref="L177">IFERROR(INDEX(Input_ForRateCalc[],MATCH($C177&amp;" - "&amp;L$103,Input_ForRateCalc[[Cost item]:[Cost item]],0),MATCH(Calc_TUV_Net_1[[#This Row],[Decision ref]:[Decision ref]],Input_ForRateCalc[#Headers],0)),"-")*TUProp_Days_1</f>
        <v>0</v>
      </c>
      <c r="M177" s="67" cm="1">
        <f t="array" ref="M177">IFERROR(INDEX(Input_ForRateCalc[],MATCH($C177&amp;" - "&amp;M$103,Input_ForRateCalc[[Cost item]:[Cost item]],0),MATCH(Calc_TUV_Net_1[[#This Row],[Decision ref]:[Decision ref]],Input_ForRateCalc[#Headers],0)),"-")*TUProp_Days_1</f>
        <v>0</v>
      </c>
      <c r="N177" s="67" cm="1">
        <f t="array" ref="N177">IFERROR(INDEX(Input_ForRateCalc[],MATCH($C177&amp;" - "&amp;N$103,Input_ForRateCalc[[Cost item]:[Cost item]],0),MATCH(Calc_TUV_Net_1[[#This Row],[Decision ref]:[Decision ref]],Input_ForRateCalc[#Headers],0)),"-")*TUProp_Days_1</f>
        <v>0</v>
      </c>
      <c r="O177" s="67" cm="1">
        <f t="array" ref="O177">IFERROR(INDEX(Input_ForRateCalc[],MATCH($C177&amp;" - "&amp;O$103,Input_ForRateCalc[[Cost item]:[Cost item]],0),MATCH(Calc_TUV_Net_1[[#This Row],[Decision ref]:[Decision ref]],Input_ForRateCalc[#Headers],0)),"-")*TUProp_Days_1</f>
        <v>0</v>
      </c>
    </row>
    <row r="178" spans="3:15" hidden="1" x14ac:dyDescent="0.25">
      <c r="C178" s="60" t="s">
        <v>284</v>
      </c>
      <c r="D178" s="83" t="str">
        <f>Calc_TU_values!$D$5</f>
        <v>VDO 2021 - Variation final</v>
      </c>
      <c r="E178" s="24" t="s">
        <v>524</v>
      </c>
      <c r="F178" s="83" t="str">
        <f>INDEX(Inputs!$H$10:$Q$10,1,MATCH($D178,Inputs!$H$8:$Q$8,0))</f>
        <v>VF-CurrentVDO_Input</v>
      </c>
      <c r="G178" s="59"/>
      <c r="H178" s="24" t="s">
        <v>117</v>
      </c>
      <c r="I178" s="24" t="s">
        <v>118</v>
      </c>
      <c r="J178" s="60" t="s">
        <v>100</v>
      </c>
      <c r="K178" s="67" cm="1">
        <f t="array" ref="K178">IFERROR(INDEX(Input_ForRateCalc[],MATCH($C178&amp;" - "&amp;K$103,Input_ForRateCalc[[Cost item]:[Cost item]],0),MATCH(Calc_TUV_Net_1[[#This Row],[Decision ref]:[Decision ref]],Input_ForRateCalc[#Headers],0)),"-")*TUProp_Days_1</f>
        <v>0</v>
      </c>
      <c r="L178" s="67" cm="1">
        <f t="array" ref="L178">IFERROR(INDEX(Input_ForRateCalc[],MATCH($C178&amp;" - "&amp;L$103,Input_ForRateCalc[[Cost item]:[Cost item]],0),MATCH(Calc_TUV_Net_1[[#This Row],[Decision ref]:[Decision ref]],Input_ForRateCalc[#Headers],0)),"-")*TUProp_Days_1</f>
        <v>0</v>
      </c>
      <c r="M178" s="67" cm="1">
        <f t="array" ref="M178">IFERROR(INDEX(Input_ForRateCalc[],MATCH($C178&amp;" - "&amp;M$103,Input_ForRateCalc[[Cost item]:[Cost item]],0),MATCH(Calc_TUV_Net_1[[#This Row],[Decision ref]:[Decision ref]],Input_ForRateCalc[#Headers],0)),"-")*TUProp_Days_1</f>
        <v>0</v>
      </c>
      <c r="N178" s="67" cm="1">
        <f t="array" ref="N178">IFERROR(INDEX(Input_ForRateCalc[],MATCH($C178&amp;" - "&amp;N$103,Input_ForRateCalc[[Cost item]:[Cost item]],0),MATCH(Calc_TUV_Net_1[[#This Row],[Decision ref]:[Decision ref]],Input_ForRateCalc[#Headers],0)),"-")*TUProp_Days_1</f>
        <v>0</v>
      </c>
      <c r="O178" s="67" cm="1">
        <f t="array" ref="O178">IFERROR(INDEX(Input_ForRateCalc[],MATCH($C178&amp;" - "&amp;O$103,Input_ForRateCalc[[Cost item]:[Cost item]],0),MATCH(Calc_TUV_Net_1[[#This Row],[Decision ref]:[Decision ref]],Input_ForRateCalc[#Headers],0)),"-")*TUProp_Days_1</f>
        <v>0</v>
      </c>
    </row>
    <row r="179" spans="3:15" hidden="1" x14ac:dyDescent="0.25">
      <c r="C179" s="60" t="s">
        <v>327</v>
      </c>
      <c r="D179" s="83" t="str">
        <f>Calc_TU_values!$D$5</f>
        <v>VDO 2021 - Variation final</v>
      </c>
      <c r="E179" s="24" t="s">
        <v>524</v>
      </c>
      <c r="F179" s="83" t="str">
        <f>INDEX(Inputs!$H$10:$Q$10,1,MATCH($D179,Inputs!$H$8:$Q$8,0))</f>
        <v>VF-CurrentVDO_Input</v>
      </c>
      <c r="G179" s="59"/>
      <c r="H179" s="24" t="s">
        <v>117</v>
      </c>
      <c r="I179" s="24" t="s">
        <v>118</v>
      </c>
      <c r="J179" s="60" t="s">
        <v>100</v>
      </c>
      <c r="K179" s="65">
        <f>IFERROR(SUM(K177:K178),"-")</f>
        <v>0</v>
      </c>
      <c r="L179" s="65">
        <f>IFERROR(SUM(L177:L178),"-")</f>
        <v>0</v>
      </c>
      <c r="M179" s="65">
        <f>IFERROR(SUM(M177:M178),"-")</f>
        <v>0</v>
      </c>
      <c r="N179" s="65">
        <f>IFERROR(SUM(N177:N178),"-")</f>
        <v>0</v>
      </c>
      <c r="O179" s="65">
        <f>IFERROR(SUM(O177:O178),"-")</f>
        <v>0</v>
      </c>
    </row>
    <row r="180" spans="3:15" hidden="1" x14ac:dyDescent="0.25">
      <c r="C180" s="60" t="s">
        <v>473</v>
      </c>
      <c r="D180" s="83" t="str">
        <f>INDEX(Input_DecisionActual[[Decision]:[Decision]],MATCH(Calc_TU_values!$D$5,Input_DecisionActual[[VDO period]:[VDO period]],0),1)</f>
        <v>VDO 2021 - Final</v>
      </c>
      <c r="E180" s="24" t="s">
        <v>525</v>
      </c>
      <c r="F180" s="83" t="str">
        <f>IF($D180="-","-",INDEX(Inputs!$H$10:$Q$10,1,MATCH($D180,Inputs!$H$8:$Q$8,0)))</f>
        <v>F-CurrentVDO_Input</v>
      </c>
      <c r="G180" s="59"/>
      <c r="H180" s="24" t="s">
        <v>117</v>
      </c>
      <c r="I180" s="24" t="s">
        <v>118</v>
      </c>
      <c r="J180" s="60" t="s">
        <v>100</v>
      </c>
      <c r="K180" s="67" cm="1">
        <f t="array" ref="K180">IFERROR(INDEX(Input_ForRateCalc[],MATCH($C180&amp;" - "&amp;K$103,Input_ForRateCalc[[Cost item]:[Cost item]],0),MATCH(Calc_TUV_Net_1[[#This Row],[Decision ref]:[Decision ref]],Input_ForRateCalc[#Headers],0)),"-")*TUProp_Days_1</f>
        <v>0</v>
      </c>
      <c r="L180" s="67" cm="1">
        <f t="array" ref="L180">IFERROR(INDEX(Input_ForRateCalc[],MATCH($C180&amp;" - "&amp;L$103,Input_ForRateCalc[[Cost item]:[Cost item]],0),MATCH(Calc_TUV_Net_1[[#This Row],[Decision ref]:[Decision ref]],Input_ForRateCalc[#Headers],0)),"-")*TUProp_Days_1</f>
        <v>0</v>
      </c>
      <c r="M180" s="67" cm="1">
        <f t="array" ref="M180">IFERROR(INDEX(Input_ForRateCalc[],MATCH($C180&amp;" - "&amp;M$103,Input_ForRateCalc[[Cost item]:[Cost item]],0),MATCH(Calc_TUV_Net_1[[#This Row],[Decision ref]:[Decision ref]],Input_ForRateCalc[#Headers],0)),"-")*TUProp_Days_1</f>
        <v>0</v>
      </c>
      <c r="N180" s="67" cm="1">
        <f t="array" ref="N180">IFERROR(INDEX(Input_ForRateCalc[],MATCH($C180&amp;" - "&amp;N$103,Input_ForRateCalc[[Cost item]:[Cost item]],0),MATCH(Calc_TUV_Net_1[[#This Row],[Decision ref]:[Decision ref]],Input_ForRateCalc[#Headers],0)),"-")*TUProp_Days_1</f>
        <v>0</v>
      </c>
      <c r="O180" s="67" cm="1">
        <f t="array" ref="O180">IFERROR(INDEX(Input_ForRateCalc[],MATCH($C180&amp;" - "&amp;O$103,Input_ForRateCalc[[Cost item]:[Cost item]],0),MATCH(Calc_TUV_Net_1[[#This Row],[Decision ref]:[Decision ref]],Input_ForRateCalc[#Headers],0)),"-")*TUProp_Days_1</f>
        <v>0</v>
      </c>
    </row>
    <row r="181" spans="3:15" hidden="1" x14ac:dyDescent="0.25">
      <c r="C181" s="60" t="s">
        <v>284</v>
      </c>
      <c r="D181" s="83" t="str">
        <f>INDEX(Input_DecisionActual[[Decision]:[Decision]],MATCH(Calc_TU_values!$D$5,Input_DecisionActual[[VDO period]:[VDO period]],0),1)</f>
        <v>VDO 2021 - Final</v>
      </c>
      <c r="E181" s="24" t="s">
        <v>525</v>
      </c>
      <c r="F181" s="83" t="str">
        <f>IF($D181="-","-",INDEX(Inputs!$H$10:$Q$10,1,MATCH($D181,Inputs!$H$8:$Q$8,0)))</f>
        <v>F-CurrentVDO_Input</v>
      </c>
      <c r="G181" s="59"/>
      <c r="H181" s="24" t="s">
        <v>117</v>
      </c>
      <c r="I181" s="24" t="s">
        <v>118</v>
      </c>
      <c r="J181" s="60" t="s">
        <v>100</v>
      </c>
      <c r="K181" s="67" cm="1">
        <f t="array" ref="K181">IFERROR(INDEX(Input_ForRateCalc[],MATCH($C181&amp;" - "&amp;K$103,Input_ForRateCalc[[Cost item]:[Cost item]],0),MATCH(Calc_TUV_Net_1[[#This Row],[Decision ref]:[Decision ref]],Input_ForRateCalc[#Headers],0)),"-")*TUProp_Days_1</f>
        <v>0</v>
      </c>
      <c r="L181" s="67" cm="1">
        <f t="array" ref="L181">IFERROR(INDEX(Input_ForRateCalc[],MATCH($C181&amp;" - "&amp;L$103,Input_ForRateCalc[[Cost item]:[Cost item]],0),MATCH(Calc_TUV_Net_1[[#This Row],[Decision ref]:[Decision ref]],Input_ForRateCalc[#Headers],0)),"-")*TUProp_Days_1</f>
        <v>0</v>
      </c>
      <c r="M181" s="67" cm="1">
        <f t="array" ref="M181">IFERROR(INDEX(Input_ForRateCalc[],MATCH($C181&amp;" - "&amp;M$103,Input_ForRateCalc[[Cost item]:[Cost item]],0),MATCH(Calc_TUV_Net_1[[#This Row],[Decision ref]:[Decision ref]],Input_ForRateCalc[#Headers],0)),"-")*TUProp_Days_1</f>
        <v>0</v>
      </c>
      <c r="N181" s="67" cm="1">
        <f t="array" ref="N181">IFERROR(INDEX(Input_ForRateCalc[],MATCH($C181&amp;" - "&amp;N$103,Input_ForRateCalc[[Cost item]:[Cost item]],0),MATCH(Calc_TUV_Net_1[[#This Row],[Decision ref]:[Decision ref]],Input_ForRateCalc[#Headers],0)),"-")*TUProp_Days_1</f>
        <v>0</v>
      </c>
      <c r="O181" s="67" cm="1">
        <f t="array" ref="O181">IFERROR(INDEX(Input_ForRateCalc[],MATCH($C181&amp;" - "&amp;O$103,Input_ForRateCalc[[Cost item]:[Cost item]],0),MATCH(Calc_TUV_Net_1[[#This Row],[Decision ref]:[Decision ref]],Input_ForRateCalc[#Headers],0)),"-")*TUProp_Days_1</f>
        <v>0</v>
      </c>
    </row>
    <row r="182" spans="3:15" hidden="1" x14ac:dyDescent="0.25">
      <c r="C182" s="60" t="s">
        <v>327</v>
      </c>
      <c r="D182" s="83" t="str">
        <f>INDEX(Input_DecisionActual[[Decision]:[Decision]],MATCH(Calc_TU_values!$D$5,Input_DecisionActual[[VDO period]:[VDO period]],0),1)</f>
        <v>VDO 2021 - Final</v>
      </c>
      <c r="E182" s="24" t="s">
        <v>525</v>
      </c>
      <c r="F182" s="83" t="str">
        <f>IF($D182="-","-",INDEX(Inputs!$H$10:$Q$10,1,MATCH($D182,Inputs!$H$8:$Q$8,0)))</f>
        <v>F-CurrentVDO_Input</v>
      </c>
      <c r="G182" s="59"/>
      <c r="H182" s="24" t="s">
        <v>117</v>
      </c>
      <c r="I182" s="24" t="s">
        <v>118</v>
      </c>
      <c r="J182" s="60" t="s">
        <v>100</v>
      </c>
      <c r="K182" s="66">
        <f>SUM(K180:K181)</f>
        <v>0</v>
      </c>
      <c r="L182" s="66">
        <f>SUM(L180:L181)</f>
        <v>0</v>
      </c>
      <c r="M182" s="66">
        <f>SUM(M180:M181)</f>
        <v>0</v>
      </c>
      <c r="N182" s="66">
        <f>SUM(N180:N181)</f>
        <v>0</v>
      </c>
      <c r="O182" s="66">
        <f>SUM(O180:O181)</f>
        <v>0</v>
      </c>
    </row>
    <row r="183" spans="3:15" hidden="1" x14ac:dyDescent="0.25">
      <c r="C183" s="60" t="s">
        <v>328</v>
      </c>
      <c r="D183" s="24"/>
      <c r="E183" s="24"/>
      <c r="F183" s="24"/>
      <c r="G183" s="60"/>
      <c r="H183" s="24" t="s">
        <v>117</v>
      </c>
      <c r="I183" s="24" t="s">
        <v>118</v>
      </c>
      <c r="J183" s="60" t="s">
        <v>100</v>
      </c>
      <c r="K183" s="66" t="str">
        <f>IF(K182=0,"-",K179-K182)</f>
        <v>-</v>
      </c>
      <c r="L183" s="66" t="str">
        <f t="shared" ref="L183:O183" si="51">IF(L182=0,"-",L179-L182)</f>
        <v>-</v>
      </c>
      <c r="M183" s="66" t="str">
        <f t="shared" si="51"/>
        <v>-</v>
      </c>
      <c r="N183" s="66" t="str">
        <f t="shared" si="51"/>
        <v>-</v>
      </c>
      <c r="O183" s="66" t="str">
        <f t="shared" si="51"/>
        <v>-</v>
      </c>
    </row>
    <row r="184" spans="3:15" hidden="1" x14ac:dyDescent="0.25">
      <c r="C184" s="60" t="s">
        <v>435</v>
      </c>
      <c r="D184" s="24"/>
      <c r="E184" s="24"/>
      <c r="F184" s="24"/>
      <c r="G184" s="60"/>
      <c r="H184" s="24" t="s">
        <v>117</v>
      </c>
      <c r="I184" s="24" t="s">
        <v>118</v>
      </c>
      <c r="J184" s="60" t="s">
        <v>100</v>
      </c>
      <c r="K184" s="67" t="str">
        <f>IFERROR(IF($D$11="Yes",K183*(1+WACC_adj_1),""),"-")</f>
        <v/>
      </c>
      <c r="L184" s="67" t="str">
        <f>IFERROR(IF($D$11="Yes",L183*(1+WACC_adj_1),""),"-")</f>
        <v/>
      </c>
      <c r="M184" s="67" t="str">
        <f>IFERROR(IF($D$11="Yes",M183*(1+WACC_adj_1),""),"-")</f>
        <v/>
      </c>
      <c r="N184" s="67" t="str">
        <f>IFERROR(IF($D$11="Yes",N183*(1+WACC_adj_1),""),"-")</f>
        <v/>
      </c>
      <c r="O184" s="67" t="str">
        <f>IFERROR(IF($D$11="Yes",O183*(1+WACC_adj_1),""),"-")</f>
        <v/>
      </c>
    </row>
    <row r="185" spans="3:15" hidden="1" x14ac:dyDescent="0.25">
      <c r="C185" s="60" t="s">
        <v>330</v>
      </c>
      <c r="D185" s="83" t="str">
        <f>INDEX(Input_DecisionActual[[Decision]:[Decision]],MATCH(Calc_TU_values!$D$5,Input_DecisionActual[[VDO period]:[VDO period]],0),1)</f>
        <v>VDO 2021 - Final</v>
      </c>
      <c r="E185" s="24" t="s">
        <v>525</v>
      </c>
      <c r="F185" s="83" t="str">
        <f>IF($D185="-","-",INDEX(Inputs!$H$10:$Q$10,1,MATCH($D185,Inputs!$H$8:$Q$8,0)))</f>
        <v>F-CurrentVDO_Input</v>
      </c>
      <c r="G185" s="60"/>
      <c r="H185" s="24" t="s">
        <v>117</v>
      </c>
      <c r="I185" s="24" t="s">
        <v>118</v>
      </c>
      <c r="J185" s="60" t="s">
        <v>100</v>
      </c>
      <c r="K185" s="67" cm="1">
        <f t="array" ref="K185">IFERROR(SUM(K183:K184)*(INDEX(Inputs!$H$11:$Q$127,MATCH("Retail operating margin",Input_ForRateCalc[[Cost item]:[Cost item]],0),MATCH(Calc_TUV_Net_1[[#This Row],[Decision ref]:[Decision ref]],Inputs!$H$10:$Q$10,0))),"-")</f>
        <v>0</v>
      </c>
      <c r="L185" s="67" cm="1">
        <f t="array" ref="L185">IFERROR(SUM(L183:L184)*(INDEX(Inputs!$H$11:$Q$127,MATCH("Retail operating margin",Input_ForRateCalc[[Cost item]:[Cost item]],0),MATCH(Calc_TUV_Net_1[[#This Row],[Decision ref]:[Decision ref]],Inputs!$H$10:$Q$10,0))),"-")</f>
        <v>0</v>
      </c>
      <c r="M185" s="67" cm="1">
        <f t="array" ref="M185">IFERROR(SUM(M183:M184)*(INDEX(Inputs!$H$11:$Q$127,MATCH("Retail operating margin",Input_ForRateCalc[[Cost item]:[Cost item]],0),MATCH(Calc_TUV_Net_1[[#This Row],[Decision ref]:[Decision ref]],Inputs!$H$10:$Q$10,0))),"-")</f>
        <v>0</v>
      </c>
      <c r="N185" s="67" cm="1">
        <f t="array" ref="N185">IFERROR(SUM(N183:N184)*(INDEX(Inputs!$H$11:$Q$127,MATCH("Retail operating margin",Input_ForRateCalc[[Cost item]:[Cost item]],0),MATCH(Calc_TUV_Net_1[[#This Row],[Decision ref]:[Decision ref]],Inputs!$H$10:$Q$10,0))),"-")</f>
        <v>0</v>
      </c>
      <c r="O185" s="67" cm="1">
        <f t="array" ref="O185">IFERROR(SUM(O183:O184)*(INDEX(Inputs!$H$11:$Q$127,MATCH("Retail operating margin",Input_ForRateCalc[[Cost item]:[Cost item]],0),MATCH(Calc_TUV_Net_1[[#This Row],[Decision ref]:[Decision ref]],Inputs!$H$10:$Q$10,0))),"-")</f>
        <v>0</v>
      </c>
    </row>
    <row r="186" spans="3:15" hidden="1" x14ac:dyDescent="0.25">
      <c r="C186" s="60" t="s">
        <v>436</v>
      </c>
      <c r="D186" s="24"/>
      <c r="E186" s="24"/>
      <c r="F186" s="24"/>
      <c r="G186" s="60"/>
      <c r="H186" s="24" t="s">
        <v>117</v>
      </c>
      <c r="I186" s="24" t="s">
        <v>118</v>
      </c>
      <c r="J186" s="60" t="s">
        <v>100</v>
      </c>
      <c r="K186" s="67" t="str">
        <f>IF(K182=0,"-",SUM(K183:K185)*GST)</f>
        <v>-</v>
      </c>
      <c r="L186" s="67" t="str">
        <f>IF(L182=0,"-",SUM(L183:L185)*GST)</f>
        <v>-</v>
      </c>
      <c r="M186" s="67" t="str">
        <f>IF(M182=0,"-",SUM(M183:M185)*GST)</f>
        <v>-</v>
      </c>
      <c r="N186" s="67" t="str">
        <f>IF(N182=0,"-",SUM(N183:N185)*GST)</f>
        <v>-</v>
      </c>
      <c r="O186" s="67" t="str">
        <f>IF(O182=0,"-",SUM(O183:O185)*GST)</f>
        <v>-</v>
      </c>
    </row>
    <row r="187" spans="3:15" hidden="1" x14ac:dyDescent="0.25">
      <c r="C187" s="24" t="s">
        <v>496</v>
      </c>
      <c r="D187" s="24"/>
      <c r="E187" s="24"/>
      <c r="F187" s="24"/>
      <c r="G187" s="60"/>
      <c r="H187" s="24" t="s">
        <v>117</v>
      </c>
      <c r="I187" s="24" t="s">
        <v>118</v>
      </c>
      <c r="J187" s="60" t="s">
        <v>100</v>
      </c>
      <c r="K187" s="67" t="str">
        <f>IF(K182=0,"-",SUM(K183:K186))</f>
        <v>-</v>
      </c>
      <c r="L187" s="67" t="str">
        <f>IF(L182=0,"-",SUM(L183:L186))</f>
        <v>-</v>
      </c>
      <c r="M187" s="67" t="str">
        <f>IF(M182=0,"-",SUM(M183:M186))</f>
        <v>-</v>
      </c>
      <c r="N187" s="67" t="str">
        <f>IF(N182=0,"-",SUM(N183:N186))</f>
        <v>-</v>
      </c>
      <c r="O187" s="67" t="str">
        <f>IF(O182=0,"-",SUM(O183:O186))</f>
        <v>-</v>
      </c>
    </row>
    <row r="188" spans="3:15" hidden="1" x14ac:dyDescent="0.25">
      <c r="C188" s="60"/>
      <c r="D188" s="60"/>
      <c r="E188" s="60"/>
      <c r="F188" s="60"/>
      <c r="H188" s="60"/>
      <c r="I188" s="24"/>
      <c r="J188" s="24"/>
      <c r="K188" s="132"/>
      <c r="L188" s="132"/>
      <c r="M188" s="132"/>
      <c r="N188" s="132"/>
      <c r="O188" s="132"/>
    </row>
    <row r="189" spans="3:15" hidden="1" x14ac:dyDescent="0.25">
      <c r="C189" s="58" t="s">
        <v>503</v>
      </c>
      <c r="D189" s="60"/>
      <c r="E189" s="60"/>
      <c r="F189" s="60"/>
      <c r="G189" s="69"/>
      <c r="H189" s="60"/>
      <c r="I189" s="24"/>
      <c r="J189" s="24"/>
      <c r="K189" s="132"/>
      <c r="L189" s="132"/>
      <c r="M189" s="132"/>
      <c r="N189" s="132"/>
      <c r="O189" s="132"/>
    </row>
    <row r="190" spans="3:15" hidden="1" x14ac:dyDescent="0.25">
      <c r="C190" s="60" t="s">
        <v>489</v>
      </c>
      <c r="D190" s="83" t="str">
        <f>Calc_TU_values!$D$5</f>
        <v>VDO 2021 - Variation final</v>
      </c>
      <c r="E190" s="24" t="s">
        <v>524</v>
      </c>
      <c r="F190" s="83" t="str">
        <f>INDEX(Inputs!$H$10:$Q$10,1,MATCH($D190,Inputs!$H$8:$Q$8,0))</f>
        <v>VF-CurrentVDO_Input</v>
      </c>
      <c r="G190" s="60"/>
      <c r="H190" s="24" t="s">
        <v>139</v>
      </c>
      <c r="I190" s="24" t="s">
        <v>174</v>
      </c>
      <c r="J190" s="60" t="s">
        <v>100</v>
      </c>
      <c r="K190" s="67" cm="1">
        <f t="array" ref="K190">IFERROR(INDEX(Input_ForRateCalc[],MATCH($C190&amp;" - "&amp;K$103,Input_ForRateCalc[[Cost item]:[Cost item]],0),MATCH(Calc_TUV_Net_1[[#This Row],[Decision ref]:[Decision ref]],Input_ForRateCalc[#Headers],0)),"-")</f>
        <v>20.853200000000001</v>
      </c>
      <c r="L190" s="67" cm="1">
        <f t="array" ref="L190">IFERROR(INDEX(Input_ForRateCalc[],MATCH($C190&amp;" - "&amp;L$103,Input_ForRateCalc[[Cost item]:[Cost item]],0),MATCH(Calc_TUV_Net_1[[#This Row],[Decision ref]:[Decision ref]],Input_ForRateCalc[#Headers],0)),"-")</f>
        <v>15.94</v>
      </c>
      <c r="M190" s="67" cm="1">
        <f t="array" ref="M190">IFERROR(INDEX(Input_ForRateCalc[],MATCH($C190&amp;" - "&amp;M$103,Input_ForRateCalc[[Cost item]:[Cost item]],0),MATCH(Calc_TUV_Net_1[[#This Row],[Decision ref]:[Decision ref]],Input_ForRateCalc[#Headers],0)),"-")</f>
        <v>13.492000000000001</v>
      </c>
      <c r="N190" s="67" cm="1">
        <f t="array" ref="N190">IFERROR(INDEX(Input_ForRateCalc[],MATCH($C190&amp;" - "&amp;N$103,Input_ForRateCalc[[Cost item]:[Cost item]],0),MATCH(Calc_TUV_Net_1[[#This Row],[Decision ref]:[Decision ref]],Input_ForRateCalc[#Headers],0)),"-")</f>
        <v>15.87</v>
      </c>
      <c r="O190" s="67" cm="1">
        <f t="array" ref="O190">IFERROR(INDEX(Input_ForRateCalc[],MATCH($C190&amp;" - "&amp;O$103,Input_ForRateCalc[[Cost item]:[Cost item]],0),MATCH(Calc_TUV_Net_1[[#This Row],[Decision ref]:[Decision ref]],Input_ForRateCalc[#Headers],0)),"-")</f>
        <v>15.79</v>
      </c>
    </row>
    <row r="191" spans="3:15" hidden="1" x14ac:dyDescent="0.25">
      <c r="C191" s="60" t="s">
        <v>490</v>
      </c>
      <c r="D191" s="83" t="str">
        <f>Calc_TU_values!$D$5</f>
        <v>VDO 2021 - Variation final</v>
      </c>
      <c r="E191" s="24" t="s">
        <v>524</v>
      </c>
      <c r="F191" s="83" t="str">
        <f>INDEX(Inputs!$H$10:$Q$10,1,MATCH($D191,Inputs!$H$8:$Q$8,0))</f>
        <v>VF-CurrentVDO_Input</v>
      </c>
      <c r="G191" s="69"/>
      <c r="H191" s="24" t="s">
        <v>139</v>
      </c>
      <c r="I191" s="24" t="s">
        <v>174</v>
      </c>
      <c r="J191" s="60" t="s">
        <v>100</v>
      </c>
      <c r="K191" s="67" cm="1">
        <f t="array" ref="K191">IFERROR(INDEX(Input_ForRateCalc[],MATCH($C191&amp;" - "&amp;K$103,Input_ForRateCalc[[Cost item]:[Cost item]],0),MATCH(Calc_TUV_Net_1[[#This Row],[Decision ref]:[Decision ref]],Input_ForRateCalc[#Headers],0)),"-")</f>
        <v>4.3418999999999999</v>
      </c>
      <c r="L191" s="67" cm="1">
        <f t="array" ref="L191">IFERROR(INDEX(Input_ForRateCalc[],MATCH($C191&amp;" - "&amp;L$103,Input_ForRateCalc[[Cost item]:[Cost item]],0),MATCH(Calc_TUV_Net_1[[#This Row],[Decision ref]:[Decision ref]],Input_ForRateCalc[#Headers],0)),"-")</f>
        <v>3.98</v>
      </c>
      <c r="M191" s="67" cm="1">
        <f t="array" ref="M191">IFERROR(INDEX(Input_ForRateCalc[],MATCH($C191&amp;" - "&amp;M$103,Input_ForRateCalc[[Cost item]:[Cost item]],0),MATCH(Calc_TUV_Net_1[[#This Row],[Decision ref]:[Decision ref]],Input_ForRateCalc[#Headers],0)),"-")</f>
        <v>3.89</v>
      </c>
      <c r="N191" s="67" cm="1">
        <f t="array" ref="N191">IFERROR(INDEX(Input_ForRateCalc[],MATCH($C191&amp;" - "&amp;N$103,Input_ForRateCalc[[Cost item]:[Cost item]],0),MATCH(Calc_TUV_Net_1[[#This Row],[Decision ref]:[Decision ref]],Input_ForRateCalc[#Headers],0)),"-")</f>
        <v>3.96</v>
      </c>
      <c r="O191" s="67" cm="1">
        <f t="array" ref="O191">IFERROR(INDEX(Input_ForRateCalc[],MATCH($C191&amp;" - "&amp;O$103,Input_ForRateCalc[[Cost item]:[Cost item]],0),MATCH(Calc_TUV_Net_1[[#This Row],[Decision ref]:[Decision ref]],Input_ForRateCalc[#Headers],0)),"-")</f>
        <v>3.95</v>
      </c>
    </row>
    <row r="192" spans="3:15" hidden="1" x14ac:dyDescent="0.25">
      <c r="C192" s="60" t="s">
        <v>327</v>
      </c>
      <c r="D192" s="83" t="str">
        <f>Calc_TU_values!$D$5</f>
        <v>VDO 2021 - Variation final</v>
      </c>
      <c r="E192" s="24" t="s">
        <v>524</v>
      </c>
      <c r="F192" s="83" t="str">
        <f>INDEX(Inputs!$H$10:$Q$10,1,MATCH($D192,Inputs!$H$8:$Q$8,0))</f>
        <v>VF-CurrentVDO_Input</v>
      </c>
      <c r="G192" s="59"/>
      <c r="H192" s="24" t="s">
        <v>139</v>
      </c>
      <c r="I192" s="24" t="s">
        <v>174</v>
      </c>
      <c r="J192" s="60" t="s">
        <v>100</v>
      </c>
      <c r="K192" s="68">
        <f>SUMIFS(TUNet_Usage_Actual_1[Value],TUNet_Usage_Actual_1[Customer type],Calc_TUV_Net_1[[#This Row],[Customer type]],TUNet_Usage_Actual_1[Description],"Usage per customer")*SUM(
IFERROR(K190/100*SUMIFS(Input_TUNet_Props[F-NextVDO_Input],Input_TUNet_Props[Customer type],Calc_TUV_Net_1[[#This Row],[Customer type]],Input_TUNet_Props[Usage type],"Peak"),0),
IFERROR(K191/100*SUMIFS(Input_TUNet_Props[F-NextVDO_Input],Input_TUNet_Props[Customer type],Calc_TUV_Net_1[[#This Row],[Customer type]],Input_TUNet_Props[Usage type],"Off peak"),0))</f>
        <v>0</v>
      </c>
      <c r="L192" s="68">
        <f>SUMIFS(TUNet_Usage_Actual_1[Value],TUNet_Usage_Actual_1[Customer type],Calc_TUV_Net_1[[#This Row],[Customer type]],TUNet_Usage_Actual_1[Description],"Usage per customer")*SUM(
IFERROR(L190/100*SUMIFS(Input_TUNet_Props[F-NextVDO_Input],Input_TUNet_Props[Customer type],Calc_TUV_Net_1[[#This Row],[Customer type]],Input_TUNet_Props[Usage type],"Peak"),0),
IFERROR(L191/100*SUMIFS(Input_TUNet_Props[F-NextVDO_Input],Input_TUNet_Props[Customer type],Calc_TUV_Net_1[[#This Row],[Customer type]],Input_TUNet_Props[Usage type],"Off peak"),0))</f>
        <v>0</v>
      </c>
      <c r="M192" s="68">
        <f>SUMIFS(TUNet_Usage_Actual_1[Value],TUNet_Usage_Actual_1[Customer type],Calc_TUV_Net_1[[#This Row],[Customer type]],TUNet_Usage_Actual_1[Description],"Usage per customer")*SUM(
IFERROR(M190/100*SUMIFS(Input_TUNet_Props[F-NextVDO_Input],Input_TUNet_Props[Customer type],Calc_TUV_Net_1[[#This Row],[Customer type]],Input_TUNet_Props[Usage type],"Peak"),0),
IFERROR(M191/100*SUMIFS(Input_TUNet_Props[F-NextVDO_Input],Input_TUNet_Props[Customer type],Calc_TUV_Net_1[[#This Row],[Customer type]],Input_TUNet_Props[Usage type],"Off peak"),0))</f>
        <v>0</v>
      </c>
      <c r="N192" s="68">
        <f>SUMIFS(TUNet_Usage_Actual_1[Value],TUNet_Usage_Actual_1[Customer type],Calc_TUV_Net_1[[#This Row],[Customer type]],TUNet_Usage_Actual_1[Description],"Usage per customer")*SUM(
IFERROR(N190/100*SUMIFS(Input_TUNet_Props[F-NextVDO_Input],Input_TUNet_Props[Customer type],Calc_TUV_Net_1[[#This Row],[Customer type]],Input_TUNet_Props[Usage type],"Peak"),0),
IFERROR(N191/100*SUMIFS(Input_TUNet_Props[F-NextVDO_Input],Input_TUNet_Props[Customer type],Calc_TUV_Net_1[[#This Row],[Customer type]],Input_TUNet_Props[Usage type],"Off peak"),0))</f>
        <v>0</v>
      </c>
      <c r="O192" s="68">
        <f>SUMIFS(TUNet_Usage_Actual_1[Value],TUNet_Usage_Actual_1[Customer type],Calc_TUV_Net_1[[#This Row],[Customer type]],TUNet_Usage_Actual_1[Description],"Usage per customer")*SUM(
IFERROR(O190/100*SUMIFS(Input_TUNet_Props[F-NextVDO_Input],Input_TUNet_Props[Customer type],Calc_TUV_Net_1[[#This Row],[Customer type]],Input_TUNet_Props[Usage type],"Peak"),0),
IFERROR(O191/100*SUMIFS(Input_TUNet_Props[F-NextVDO_Input],Input_TUNet_Props[Customer type],Calc_TUV_Net_1[[#This Row],[Customer type]],Input_TUNet_Props[Usage type],"Off peak"),0))</f>
        <v>0</v>
      </c>
    </row>
    <row r="193" spans="3:15" hidden="1" x14ac:dyDescent="0.25">
      <c r="C193" s="60" t="s">
        <v>476</v>
      </c>
      <c r="D193" s="83" t="str">
        <f>INDEX(Input_DecisionActual[[Decision]:[Decision]],MATCH(Calc_TU_values!$D$5,Input_DecisionActual[[VDO period]:[VDO period]],0),1)</f>
        <v>VDO 2021 - Final</v>
      </c>
      <c r="E193" s="24" t="s">
        <v>525</v>
      </c>
      <c r="F193" s="83" t="str">
        <f>IF($D193="-","-",INDEX(Inputs!$H$10:$Q$10,1,MATCH($D193,Inputs!$H$8:$Q$8,0)))</f>
        <v>F-CurrentVDO_Input</v>
      </c>
      <c r="G193" s="59"/>
      <c r="H193" s="24" t="s">
        <v>139</v>
      </c>
      <c r="I193" s="24" t="s">
        <v>118</v>
      </c>
      <c r="J193" s="60" t="s">
        <v>100</v>
      </c>
      <c r="K193" s="67" cm="1">
        <f t="array" ref="K193">IFERROR(INDEX(Input_ForRateCalc[],MATCH($C193&amp;" - "&amp;K$103,Input_ForRateCalc[[Cost item]:[Cost item]],0),MATCH(Calc_TUV_Net_1[[#This Row],[Decision ref]:[Decision ref]],Input_ForRateCalc[#Headers],0)),"-")</f>
        <v>10.535</v>
      </c>
      <c r="L193" s="67" t="str" cm="1">
        <f t="array" ref="L193">IFERROR(INDEX(Input_ForRateCalc[],MATCH($C193&amp;" - "&amp;L$103,Input_ForRateCalc[[Cost item]:[Cost item]],0),MATCH(Calc_TUV_Net_1[[#This Row],[Decision ref]:[Decision ref]],Input_ForRateCalc[#Headers],0)),"-")</f>
        <v>-</v>
      </c>
      <c r="M193" s="67" t="str" cm="1">
        <f t="array" ref="M193">IFERROR(INDEX(Input_ForRateCalc[],MATCH($C193&amp;" - "&amp;M$103,Input_ForRateCalc[[Cost item]:[Cost item]],0),MATCH(Calc_TUV_Net_1[[#This Row],[Decision ref]:[Decision ref]],Input_ForRateCalc[#Headers],0)),"-")</f>
        <v>-</v>
      </c>
      <c r="N193" s="67" t="str" cm="1">
        <f t="array" ref="N193">IFERROR(INDEX(Input_ForRateCalc[],MATCH($C193&amp;" - "&amp;N$103,Input_ForRateCalc[[Cost item]:[Cost item]],0),MATCH(Calc_TUV_Net_1[[#This Row],[Decision ref]:[Decision ref]],Input_ForRateCalc[#Headers],0)),"-")</f>
        <v>-</v>
      </c>
      <c r="O193" s="67" t="str" cm="1">
        <f t="array" ref="O193">IFERROR(INDEX(Input_ForRateCalc[],MATCH($C193&amp;" - "&amp;O$103,Input_ForRateCalc[[Cost item]:[Cost item]],0),MATCH(Calc_TUV_Net_1[[#This Row],[Decision ref]:[Decision ref]],Input_ForRateCalc[#Headers],0)),"-")</f>
        <v>-</v>
      </c>
    </row>
    <row r="194" spans="3:15" hidden="1" x14ac:dyDescent="0.25">
      <c r="C194" s="60" t="s">
        <v>477</v>
      </c>
      <c r="D194" s="83" t="str">
        <f>INDEX(Input_DecisionActual[[Decision]:[Decision]],MATCH(Calc_TU_values!$D$5,Input_DecisionActual[[VDO period]:[VDO period]],0),1)</f>
        <v>VDO 2021 - Final</v>
      </c>
      <c r="E194" s="24" t="s">
        <v>525</v>
      </c>
      <c r="F194" s="83" t="str">
        <f>IF($D194="-","-",INDEX(Inputs!$H$10:$Q$10,1,MATCH($D194,Inputs!$H$8:$Q$8,0)))</f>
        <v>F-CurrentVDO_Input</v>
      </c>
      <c r="G194" s="59"/>
      <c r="H194" s="24" t="s">
        <v>139</v>
      </c>
      <c r="I194" s="24" t="s">
        <v>174</v>
      </c>
      <c r="J194" s="60" t="s">
        <v>100</v>
      </c>
      <c r="K194" s="67" cm="1">
        <f t="array" ref="K194">IFERROR(INDEX(Input_ForRateCalc[],MATCH($C194&amp;" - "&amp;K$103,Input_ForRateCalc[[Cost item]:[Cost item]],0),MATCH(Calc_TUV_Net_1[[#This Row],[Decision ref]:[Decision ref]],Input_ForRateCalc[#Headers],0)),"-")</f>
        <v>12.073700000000001</v>
      </c>
      <c r="L194" s="67" t="str" cm="1">
        <f t="array" ref="L194">IFERROR(INDEX(Input_ForRateCalc[],MATCH($C194&amp;" - "&amp;L$103,Input_ForRateCalc[[Cost item]:[Cost item]],0),MATCH(Calc_TUV_Net_1[[#This Row],[Decision ref]:[Decision ref]],Input_ForRateCalc[#Headers],0)),"-")</f>
        <v>-</v>
      </c>
      <c r="M194" s="67" t="str" cm="1">
        <f t="array" ref="M194">IFERROR(INDEX(Input_ForRateCalc[],MATCH($C194&amp;" - "&amp;M$103,Input_ForRateCalc[[Cost item]:[Cost item]],0),MATCH(Calc_TUV_Net_1[[#This Row],[Decision ref]:[Decision ref]],Input_ForRateCalc[#Headers],0)),"-")</f>
        <v>-</v>
      </c>
      <c r="N194" s="67" t="str" cm="1">
        <f t="array" ref="N194">IFERROR(INDEX(Input_ForRateCalc[],MATCH($C194&amp;" - "&amp;N$103,Input_ForRateCalc[[Cost item]:[Cost item]],0),MATCH(Calc_TUV_Net_1[[#This Row],[Decision ref]:[Decision ref]],Input_ForRateCalc[#Headers],0)),"-")</f>
        <v>-</v>
      </c>
      <c r="O194" s="67" t="str" cm="1">
        <f t="array" ref="O194">IFERROR(INDEX(Input_ForRateCalc[],MATCH($C194&amp;" - "&amp;O$103,Input_ForRateCalc[[Cost item]:[Cost item]],0),MATCH(Calc_TUV_Net_1[[#This Row],[Decision ref]:[Decision ref]],Input_ForRateCalc[#Headers],0)),"-")</f>
        <v>-</v>
      </c>
    </row>
    <row r="195" spans="3:15" hidden="1" x14ac:dyDescent="0.25">
      <c r="C195" s="60" t="s">
        <v>478</v>
      </c>
      <c r="D195" s="83" t="str">
        <f>INDEX(Input_DecisionActual[[Decision]:[Decision]],MATCH(Calc_TU_values!$D$5,Input_DecisionActual[[VDO period]:[VDO period]],0),1)</f>
        <v>VDO 2021 - Final</v>
      </c>
      <c r="E195" s="24" t="s">
        <v>525</v>
      </c>
      <c r="F195" s="83" t="str">
        <f>IF($D195="-","-",INDEX(Inputs!$H$10:$Q$10,1,MATCH($D195,Inputs!$H$8:$Q$8,0)))</f>
        <v>F-CurrentVDO_Input</v>
      </c>
      <c r="G195" s="59"/>
      <c r="H195" s="24" t="s">
        <v>139</v>
      </c>
      <c r="I195" s="24" t="s">
        <v>174</v>
      </c>
      <c r="J195" s="60" t="s">
        <v>100</v>
      </c>
      <c r="K195" s="67" t="str" cm="1">
        <f t="array" ref="K195">IFERROR(INDEX(Input_ForRateCalc[],MATCH($C195&amp;" - "&amp;K$103,Input_ForRateCalc[[Cost item]:[Cost item]],0),MATCH(Calc_TUV_Net_1[[#This Row],[Decision ref]:[Decision ref]],Input_ForRateCalc[#Headers],0)),"-")</f>
        <v>-</v>
      </c>
      <c r="L195" s="67" cm="1">
        <f t="array" ref="L195">IFERROR(INDEX(Input_ForRateCalc[],MATCH($C195&amp;" - "&amp;L$103,Input_ForRateCalc[[Cost item]:[Cost item]],0),MATCH(Calc_TUV_Net_1[[#This Row],[Decision ref]:[Decision ref]],Input_ForRateCalc[#Headers],0)),"-")</f>
        <v>6.47</v>
      </c>
      <c r="M195" s="67" cm="1">
        <f t="array" ref="M195">IFERROR(INDEX(Input_ForRateCalc[],MATCH($C195&amp;" - "&amp;M$103,Input_ForRateCalc[[Cost item]:[Cost item]],0),MATCH(Calc_TUV_Net_1[[#This Row],[Decision ref]:[Decision ref]],Input_ForRateCalc[#Headers],0)),"-")</f>
        <v>7.4139999999999997</v>
      </c>
      <c r="N195" s="67" cm="1">
        <f t="array" ref="N195">IFERROR(INDEX(Input_ForRateCalc[],MATCH($C195&amp;" - "&amp;N$103,Input_ForRateCalc[[Cost item]:[Cost item]],0),MATCH(Calc_TUV_Net_1[[#This Row],[Decision ref]:[Decision ref]],Input_ForRateCalc[#Headers],0)),"-")</f>
        <v>6.74</v>
      </c>
      <c r="O195" s="67" cm="1">
        <f t="array" ref="O195">IFERROR(INDEX(Input_ForRateCalc[],MATCH($C195&amp;" - "&amp;O$103,Input_ForRateCalc[[Cost item]:[Cost item]],0),MATCH(Calc_TUV_Net_1[[#This Row],[Decision ref]:[Decision ref]],Input_ForRateCalc[#Headers],0)),"-")</f>
        <v>7.67</v>
      </c>
    </row>
    <row r="196" spans="3:15" hidden="1" x14ac:dyDescent="0.25">
      <c r="C196" s="60" t="s">
        <v>327</v>
      </c>
      <c r="D196" s="83" t="str">
        <f>INDEX(Input_DecisionActual[[Decision]:[Decision]],MATCH(Calc_TU_values!$D$5,Input_DecisionActual[[VDO period]:[VDO period]],0),1)</f>
        <v>VDO 2021 - Final</v>
      </c>
      <c r="E196" s="24" t="s">
        <v>525</v>
      </c>
      <c r="F196" s="83" t="str">
        <f>IF($D196="-","-",INDEX(Inputs!$H$10:$Q$10,1,MATCH($D196,Inputs!$H$8:$Q$8,0)))</f>
        <v>F-CurrentVDO_Input</v>
      </c>
      <c r="G196" s="59"/>
      <c r="H196" s="24" t="s">
        <v>139</v>
      </c>
      <c r="I196" s="24" t="s">
        <v>174</v>
      </c>
      <c r="J196" s="60" t="s">
        <v>100</v>
      </c>
      <c r="K196" s="68">
        <f>SUMIFS(TUNet_Usage_Actual_1[Value],TUNet_Usage_Actual_1[Customer type],Calc_TUV_Net_1[[#This Row],[Customer type]],TUNet_Usage_Actual_1[Description],"Usage per customer")*SUM(
IFERROR(K193/100*SUMIFS(Input_TUNet_Props[F-NextVDO_Input],Input_TUNet_Props[Customer type],Calc_TUV_Net_1[[#This Row],[Customer type]],Input_TUNet_Props[Usage type],"Block 1"),0),
IFERROR(K194/100*SUMIFS(Input_TUNet_Props[F-NextVDO_Input],Input_TUNet_Props[Customer type],Calc_TUV_Net_1[[#This Row],[Customer type]],Input_TUNet_Props[Usage type],"Balance"),0),
IFERROR(K195/100*SUMIFS(Input_TUNet_Props[F-NextVDO_Input],Input_TUNet_Props[Customer type],Calc_TUV_Net_1[[#This Row],[Customer type]],Input_TUNet_Props[Usage type],"Single rate"),0))</f>
        <v>0</v>
      </c>
      <c r="L196" s="68">
        <f>SUMIFS(TUNet_Usage_Actual_1[Value],TUNet_Usage_Actual_1[Customer type],Calc_TUV_Net_1[[#This Row],[Customer type]],TUNet_Usage_Actual_1[Description],"Usage per customer")*SUM(
IFERROR(L193/100*SUMIFS(Input_TUNet_Props[F-NextVDO_Input],Input_TUNet_Props[Customer type],Calc_TUV_Net_1[[#This Row],[Customer type]],Input_TUNet_Props[Usage type],"Block 1"),0),
IFERROR(L194/100*SUMIFS(Input_TUNet_Props[F-NextVDO_Input],Input_TUNet_Props[Customer type],Calc_TUV_Net_1[[#This Row],[Customer type]],Input_TUNet_Props[Usage type],"Balance"),0),
IFERROR(L195/100*SUMIFS(Input_TUNet_Props[F-NextVDO_Input],Input_TUNet_Props[Customer type],Calc_TUV_Net_1[[#This Row],[Customer type]],Input_TUNet_Props[Usage type],"Single rate"),0))</f>
        <v>0</v>
      </c>
      <c r="M196" s="68">
        <f>SUMIFS(TUNet_Usage_Actual_1[Value],TUNet_Usage_Actual_1[Customer type],Calc_TUV_Net_1[[#This Row],[Customer type]],TUNet_Usage_Actual_1[Description],"Usage per customer")*SUM(
IFERROR(M193/100*SUMIFS(Input_TUNet_Props[F-NextVDO_Input],Input_TUNet_Props[Customer type],Calc_TUV_Net_1[[#This Row],[Customer type]],Input_TUNet_Props[Usage type],"Block 1"),0),
IFERROR(M194/100*SUMIFS(Input_TUNet_Props[F-NextVDO_Input],Input_TUNet_Props[Customer type],Calc_TUV_Net_1[[#This Row],[Customer type]],Input_TUNet_Props[Usage type],"Balance"),0),
IFERROR(M195/100*SUMIFS(Input_TUNet_Props[F-NextVDO_Input],Input_TUNet_Props[Customer type],Calc_TUV_Net_1[[#This Row],[Customer type]],Input_TUNet_Props[Usage type],"Single rate"),0))</f>
        <v>0</v>
      </c>
      <c r="N196" s="68">
        <f>SUMIFS(TUNet_Usage_Actual_1[Value],TUNet_Usage_Actual_1[Customer type],Calc_TUV_Net_1[[#This Row],[Customer type]],TUNet_Usage_Actual_1[Description],"Usage per customer")*SUM(
IFERROR(N193/100*SUMIFS(Input_TUNet_Props[F-NextVDO_Input],Input_TUNet_Props[Customer type],Calc_TUV_Net_1[[#This Row],[Customer type]],Input_TUNet_Props[Usage type],"Block 1"),0),
IFERROR(N194/100*SUMIFS(Input_TUNet_Props[F-NextVDO_Input],Input_TUNet_Props[Customer type],Calc_TUV_Net_1[[#This Row],[Customer type]],Input_TUNet_Props[Usage type],"Balance"),0),
IFERROR(N195/100*SUMIFS(Input_TUNet_Props[F-NextVDO_Input],Input_TUNet_Props[Customer type],Calc_TUV_Net_1[[#This Row],[Customer type]],Input_TUNet_Props[Usage type],"Single rate"),0))</f>
        <v>0</v>
      </c>
      <c r="O196" s="68">
        <f>SUMIFS(TUNet_Usage_Actual_1[Value],TUNet_Usage_Actual_1[Customer type],Calc_TUV_Net_1[[#This Row],[Customer type]],TUNet_Usage_Actual_1[Description],"Usage per customer")*SUM(
IFERROR(O193/100*SUMIFS(Input_TUNet_Props[F-NextVDO_Input],Input_TUNet_Props[Customer type],Calc_TUV_Net_1[[#This Row],[Customer type]],Input_TUNet_Props[Usage type],"Block 1"),0),
IFERROR(O194/100*SUMIFS(Input_TUNet_Props[F-NextVDO_Input],Input_TUNet_Props[Customer type],Calc_TUV_Net_1[[#This Row],[Customer type]],Input_TUNet_Props[Usage type],"Balance"),0),
IFERROR(O195/100*SUMIFS(Input_TUNet_Props[F-NextVDO_Input],Input_TUNet_Props[Customer type],Calc_TUV_Net_1[[#This Row],[Customer type]],Input_TUNet_Props[Usage type],"Single rate"),0))</f>
        <v>0</v>
      </c>
    </row>
    <row r="197" spans="3:15" hidden="1" x14ac:dyDescent="0.25">
      <c r="C197" s="60" t="s">
        <v>328</v>
      </c>
      <c r="D197" s="60"/>
      <c r="E197" s="60"/>
      <c r="F197" s="60"/>
      <c r="G197" s="60"/>
      <c r="H197" s="24" t="s">
        <v>139</v>
      </c>
      <c r="I197" s="24" t="s">
        <v>118</v>
      </c>
      <c r="J197" s="60" t="s">
        <v>100</v>
      </c>
      <c r="K197" s="66" t="str">
        <f>IF(K196=0,"-",K192-K196)</f>
        <v>-</v>
      </c>
      <c r="L197" s="66" t="str">
        <f t="shared" ref="L197:O197" si="52">IF(L196=0,"-",L192-L196)</f>
        <v>-</v>
      </c>
      <c r="M197" s="66" t="str">
        <f t="shared" si="52"/>
        <v>-</v>
      </c>
      <c r="N197" s="66" t="str">
        <f t="shared" si="52"/>
        <v>-</v>
      </c>
      <c r="O197" s="66" t="str">
        <f t="shared" si="52"/>
        <v>-</v>
      </c>
    </row>
    <row r="198" spans="3:15" hidden="1" x14ac:dyDescent="0.25">
      <c r="C198" s="60" t="s">
        <v>435</v>
      </c>
      <c r="D198" s="60"/>
      <c r="E198" s="60"/>
      <c r="F198" s="60"/>
      <c r="G198" s="60"/>
      <c r="H198" s="24" t="s">
        <v>139</v>
      </c>
      <c r="I198" s="24" t="s">
        <v>118</v>
      </c>
      <c r="J198" s="60" t="s">
        <v>100</v>
      </c>
      <c r="K198" s="67" t="str">
        <f>IFERROR(IF($D$11="Yes",K197*(1+WACC_adj_1),""),"-")</f>
        <v/>
      </c>
      <c r="L198" s="67" t="str">
        <f>IFERROR(IF($D$11="Yes",L197*(1+WACC_adj_1),""),"-")</f>
        <v/>
      </c>
      <c r="M198" s="67" t="str">
        <f>IFERROR(IF($D$11="Yes",M197*(1+WACC_adj_1),""),"-")</f>
        <v/>
      </c>
      <c r="N198" s="67" t="str">
        <f>IFERROR(IF($D$11="Yes",N197*(1+WACC_adj_1),""),"-")</f>
        <v/>
      </c>
      <c r="O198" s="67" t="str">
        <f>IFERROR(IF($D$11="Yes",O197*(1+WACC_adj_1),""),"-")</f>
        <v/>
      </c>
    </row>
    <row r="199" spans="3:15" hidden="1" x14ac:dyDescent="0.25">
      <c r="C199" s="60" t="s">
        <v>330</v>
      </c>
      <c r="D199" s="83" t="str">
        <f>INDEX(Input_DecisionActual[[Decision]:[Decision]],MATCH(Calc_TU_values!$D$5,Input_DecisionActual[[VDO period]:[VDO period]],0),1)</f>
        <v>VDO 2021 - Final</v>
      </c>
      <c r="E199" s="24" t="s">
        <v>525</v>
      </c>
      <c r="F199" s="83" t="str">
        <f>IF($D199="-","-",INDEX(Inputs!$H$10:$Q$10,1,MATCH($D199,Inputs!$H$8:$Q$8,0)))</f>
        <v>F-CurrentVDO_Input</v>
      </c>
      <c r="G199" s="60"/>
      <c r="H199" s="24" t="s">
        <v>139</v>
      </c>
      <c r="I199" s="24" t="s">
        <v>118</v>
      </c>
      <c r="J199" s="60" t="s">
        <v>100</v>
      </c>
      <c r="K199" s="67" cm="1">
        <f t="array" ref="K199">IFERROR(SUM(K197:K198)*(INDEX(Inputs!$H$11:$Q$127,MATCH("Retail operating margin",Input_ForRateCalc[[Cost item]:[Cost item]],0),MATCH(Calc_TUV_Net_1[[#This Row],[Decision ref]:[Decision ref]],Inputs!$H$10:$Q$10,0))),"-")</f>
        <v>0</v>
      </c>
      <c r="L199" s="67" cm="1">
        <f t="array" ref="L199">IFERROR(SUM(L197:L198)*(INDEX(Inputs!$H$11:$Q$127,MATCH("Retail operating margin",Input_ForRateCalc[[Cost item]:[Cost item]],0),MATCH(Calc_TUV_Net_1[[#This Row],[Decision ref]:[Decision ref]],Inputs!$H$10:$Q$10,0))),"-")</f>
        <v>0</v>
      </c>
      <c r="M199" s="67" cm="1">
        <f t="array" ref="M199">IFERROR(SUM(M197:M198)*(INDEX(Inputs!$H$11:$Q$127,MATCH("Retail operating margin",Input_ForRateCalc[[Cost item]:[Cost item]],0),MATCH(Calc_TUV_Net_1[[#This Row],[Decision ref]:[Decision ref]],Inputs!$H$10:$Q$10,0))),"-")</f>
        <v>0</v>
      </c>
      <c r="N199" s="67" cm="1">
        <f t="array" ref="N199">IFERROR(SUM(N197:N198)*(INDEX(Inputs!$H$11:$Q$127,MATCH("Retail operating margin",Input_ForRateCalc[[Cost item]:[Cost item]],0),MATCH(Calc_TUV_Net_1[[#This Row],[Decision ref]:[Decision ref]],Inputs!$H$10:$Q$10,0))),"-")</f>
        <v>0</v>
      </c>
      <c r="O199" s="67" cm="1">
        <f t="array" ref="O199">IFERROR(SUM(O197:O198)*(INDEX(Inputs!$H$11:$Q$127,MATCH("Retail operating margin",Input_ForRateCalc[[Cost item]:[Cost item]],0),MATCH(Calc_TUV_Net_1[[#This Row],[Decision ref]:[Decision ref]],Inputs!$H$10:$Q$10,0))),"-")</f>
        <v>0</v>
      </c>
    </row>
    <row r="200" spans="3:15" hidden="1" x14ac:dyDescent="0.25">
      <c r="C200" s="60" t="s">
        <v>436</v>
      </c>
      <c r="D200" s="60"/>
      <c r="E200" s="60"/>
      <c r="F200" s="60"/>
      <c r="G200" s="60"/>
      <c r="H200" s="24" t="s">
        <v>139</v>
      </c>
      <c r="I200" s="24" t="s">
        <v>118</v>
      </c>
      <c r="J200" s="60" t="s">
        <v>100</v>
      </c>
      <c r="K200" s="67" t="str">
        <f>IF(K196=0,"-",SUM(K197:K199)*GST)</f>
        <v>-</v>
      </c>
      <c r="L200" s="67" t="str">
        <f>IF(L196=0,"-",SUM(L197:L199)*GST)</f>
        <v>-</v>
      </c>
      <c r="M200" s="67" t="str">
        <f>IF(M196=0,"-",SUM(M197:M199)*GST)</f>
        <v>-</v>
      </c>
      <c r="N200" s="67" t="str">
        <f>IF(N196=0,"-",SUM(N197:N199)*GST)</f>
        <v>-</v>
      </c>
      <c r="O200" s="67" t="str">
        <f>IF(O196=0,"-",SUM(O197:O199)*GST)</f>
        <v>-</v>
      </c>
    </row>
    <row r="201" spans="3:15" hidden="1" x14ac:dyDescent="0.25">
      <c r="C201" s="24" t="s">
        <v>497</v>
      </c>
      <c r="D201" s="60"/>
      <c r="E201" s="60"/>
      <c r="F201" s="60"/>
      <c r="H201" s="24" t="s">
        <v>139</v>
      </c>
      <c r="I201" s="24" t="s">
        <v>118</v>
      </c>
      <c r="J201" s="60" t="s">
        <v>100</v>
      </c>
      <c r="K201" s="67" t="str">
        <f>IF(K196=0,"-",SUM(K197:K200))</f>
        <v>-</v>
      </c>
      <c r="L201" s="67" t="str">
        <f t="shared" ref="L201:O201" si="53">IF(L196=0,"-",SUM(L197:L200))</f>
        <v>-</v>
      </c>
      <c r="M201" s="67" t="str">
        <f t="shared" si="53"/>
        <v>-</v>
      </c>
      <c r="N201" s="67" t="str">
        <f t="shared" si="53"/>
        <v>-</v>
      </c>
      <c r="O201" s="67" t="str">
        <f t="shared" si="53"/>
        <v>-</v>
      </c>
    </row>
    <row r="202" spans="3:15" hidden="1" x14ac:dyDescent="0.25">
      <c r="C202" s="60"/>
      <c r="D202" s="60"/>
      <c r="E202" s="60"/>
      <c r="F202" s="60"/>
      <c r="G202" s="60"/>
      <c r="H202" s="24"/>
      <c r="I202" s="24"/>
      <c r="J202" s="60"/>
      <c r="K202" s="67"/>
      <c r="L202" s="67"/>
      <c r="M202" s="67"/>
      <c r="N202" s="67"/>
      <c r="O202" s="67"/>
    </row>
    <row r="203" spans="3:15" ht="15.75" hidden="1" x14ac:dyDescent="0.25">
      <c r="C203" s="1" t="s">
        <v>487</v>
      </c>
      <c r="D203" s="60"/>
      <c r="E203" s="60"/>
      <c r="F203" s="60"/>
      <c r="G203" s="69" t="s">
        <v>570</v>
      </c>
      <c r="H203" s="60"/>
      <c r="I203" s="24"/>
      <c r="J203" s="24"/>
      <c r="K203" s="66"/>
      <c r="L203" s="24"/>
      <c r="M203" s="24"/>
      <c r="N203" s="24"/>
      <c r="O203" s="24"/>
    </row>
    <row r="204" spans="3:15" hidden="1" x14ac:dyDescent="0.25">
      <c r="C204" s="58" t="s">
        <v>504</v>
      </c>
      <c r="D204" s="58"/>
      <c r="E204" s="58"/>
      <c r="F204" s="58"/>
      <c r="G204" s="69"/>
      <c r="H204" s="69"/>
      <c r="I204" s="24"/>
      <c r="J204" s="24"/>
      <c r="K204" s="66"/>
      <c r="L204" s="24"/>
      <c r="M204" s="24"/>
      <c r="N204" s="24"/>
      <c r="O204" s="24"/>
    </row>
    <row r="205" spans="3:15" hidden="1" x14ac:dyDescent="0.25">
      <c r="C205" s="60" t="s">
        <v>491</v>
      </c>
      <c r="D205" s="83" t="str">
        <f>Calc_TU_values!$D$5</f>
        <v>VDO 2021 - Variation final</v>
      </c>
      <c r="E205" s="24" t="s">
        <v>524</v>
      </c>
      <c r="F205" s="83" t="str">
        <f>INDEX(Inputs!$H$10:$Q$10,1,MATCH($D205,Inputs!$H$8:$Q$8,0))</f>
        <v>VF-CurrentVDO_Input</v>
      </c>
      <c r="G205" s="59"/>
      <c r="H205" s="24" t="s">
        <v>117</v>
      </c>
      <c r="I205" s="24" t="s">
        <v>118</v>
      </c>
      <c r="J205" s="60" t="s">
        <v>101</v>
      </c>
      <c r="K205" s="67" cm="1">
        <f t="array" ref="K205">IFERROR(INDEX(Input_ForRateCalc[],MATCH($C205&amp;" - "&amp;K$103,Input_ForRateCalc[[Cost item]:[Cost item]],0),MATCH(Calc_TUV_Net_1[[#This Row],[Decision ref]:[Decision ref]],Input_ForRateCalc[#Headers],0)),"-")*TUProp_Days_1</f>
        <v>0</v>
      </c>
      <c r="L205" s="67" cm="1">
        <f t="array" ref="L205">IFERROR(INDEX(Input_ForRateCalc[],MATCH($C205&amp;" - "&amp;L$103,Input_ForRateCalc[[Cost item]:[Cost item]],0),MATCH(Calc_TUV_Net_1[[#This Row],[Decision ref]:[Decision ref]],Input_ForRateCalc[#Headers],0)),"-")*TUProp_Days_1</f>
        <v>0</v>
      </c>
      <c r="M205" s="67" cm="1">
        <f t="array" ref="M205">IFERROR(INDEX(Input_ForRateCalc[],MATCH($C205&amp;" - "&amp;M$103,Input_ForRateCalc[[Cost item]:[Cost item]],0),MATCH(Calc_TUV_Net_1[[#This Row],[Decision ref]:[Decision ref]],Input_ForRateCalc[#Headers],0)),"-")*TUProp_Days_1</f>
        <v>0</v>
      </c>
      <c r="N205" s="67" cm="1">
        <f t="array" ref="N205">IFERROR(INDEX(Input_ForRateCalc[],MATCH($C205&amp;" - "&amp;N$103,Input_ForRateCalc[[Cost item]:[Cost item]],0),MATCH(Calc_TUV_Net_1[[#This Row],[Decision ref]:[Decision ref]],Input_ForRateCalc[#Headers],0)),"-")*TUProp_Days_1</f>
        <v>0</v>
      </c>
      <c r="O205" s="67" cm="1">
        <f t="array" ref="O205">IFERROR(INDEX(Input_ForRateCalc[],MATCH($C205&amp;" - "&amp;O$103,Input_ForRateCalc[[Cost item]:[Cost item]],0),MATCH(Calc_TUV_Net_1[[#This Row],[Decision ref]:[Decision ref]],Input_ForRateCalc[#Headers],0)),"-")*TUProp_Days_1</f>
        <v>0</v>
      </c>
    </row>
    <row r="206" spans="3:15" hidden="1" x14ac:dyDescent="0.25">
      <c r="C206" s="60" t="s">
        <v>284</v>
      </c>
      <c r="D206" s="83" t="str">
        <f>Calc_TU_values!$D$5</f>
        <v>VDO 2021 - Variation final</v>
      </c>
      <c r="E206" s="24" t="s">
        <v>524</v>
      </c>
      <c r="F206" s="83" t="str">
        <f>INDEX(Inputs!$H$10:$Q$10,1,MATCH($D206,Inputs!$H$8:$Q$8,0))</f>
        <v>VF-CurrentVDO_Input</v>
      </c>
      <c r="G206" s="59"/>
      <c r="H206" s="24" t="s">
        <v>117</v>
      </c>
      <c r="I206" s="24" t="s">
        <v>118</v>
      </c>
      <c r="J206" s="60" t="s">
        <v>101</v>
      </c>
      <c r="K206" s="67" cm="1">
        <f t="array" ref="K206">IFERROR(INDEX(Input_ForRateCalc[],MATCH($C206&amp;" - "&amp;K$103,Input_ForRateCalc[[Cost item]:[Cost item]],0),MATCH(Calc_TUV_Net_1[[#This Row],[Decision ref]:[Decision ref]],Input_ForRateCalc[#Headers],0)),"-")*TUProp_Days_1</f>
        <v>0</v>
      </c>
      <c r="L206" s="67" cm="1">
        <f t="array" ref="L206">IFERROR(INDEX(Input_ForRateCalc[],MATCH($C206&amp;" - "&amp;L$103,Input_ForRateCalc[[Cost item]:[Cost item]],0),MATCH(Calc_TUV_Net_1[[#This Row],[Decision ref]:[Decision ref]],Input_ForRateCalc[#Headers],0)),"-")*TUProp_Days_1</f>
        <v>0</v>
      </c>
      <c r="M206" s="67" cm="1">
        <f t="array" ref="M206">IFERROR(INDEX(Input_ForRateCalc[],MATCH($C206&amp;" - "&amp;M$103,Input_ForRateCalc[[Cost item]:[Cost item]],0),MATCH(Calc_TUV_Net_1[[#This Row],[Decision ref]:[Decision ref]],Input_ForRateCalc[#Headers],0)),"-")*TUProp_Days_1</f>
        <v>0</v>
      </c>
      <c r="N206" s="67" cm="1">
        <f t="array" ref="N206">IFERROR(INDEX(Input_ForRateCalc[],MATCH($C206&amp;" - "&amp;N$103,Input_ForRateCalc[[Cost item]:[Cost item]],0),MATCH(Calc_TUV_Net_1[[#This Row],[Decision ref]:[Decision ref]],Input_ForRateCalc[#Headers],0)),"-")*TUProp_Days_1</f>
        <v>0</v>
      </c>
      <c r="O206" s="67" cm="1">
        <f t="array" ref="O206">IFERROR(INDEX(Input_ForRateCalc[],MATCH($C206&amp;" - "&amp;O$103,Input_ForRateCalc[[Cost item]:[Cost item]],0),MATCH(Calc_TUV_Net_1[[#This Row],[Decision ref]:[Decision ref]],Input_ForRateCalc[#Headers],0)),"-")*TUProp_Days_1</f>
        <v>0</v>
      </c>
    </row>
    <row r="207" spans="3:15" hidden="1" x14ac:dyDescent="0.25">
      <c r="C207" s="60" t="s">
        <v>327</v>
      </c>
      <c r="D207" s="83" t="str">
        <f>Calc_TU_values!$D$5</f>
        <v>VDO 2021 - Variation final</v>
      </c>
      <c r="E207" s="24" t="s">
        <v>524</v>
      </c>
      <c r="F207" s="83" t="str">
        <f>INDEX(Inputs!$H$10:$Q$10,1,MATCH($D207,Inputs!$H$8:$Q$8,0))</f>
        <v>VF-CurrentVDO_Input</v>
      </c>
      <c r="G207" s="59"/>
      <c r="H207" s="24" t="s">
        <v>117</v>
      </c>
      <c r="I207" s="24" t="s">
        <v>118</v>
      </c>
      <c r="J207" s="60" t="s">
        <v>101</v>
      </c>
      <c r="K207" s="65">
        <f>IFERROR(SUM(K205:K206),"-")</f>
        <v>0</v>
      </c>
      <c r="L207" s="65">
        <f>IFERROR(SUM(L205:L206),"-")</f>
        <v>0</v>
      </c>
      <c r="M207" s="65">
        <f>IFERROR(SUM(M205:M206),"-")</f>
        <v>0</v>
      </c>
      <c r="N207" s="65">
        <f>IFERROR(SUM(N205:N206),"-")</f>
        <v>0</v>
      </c>
      <c r="O207" s="65">
        <f>IFERROR(SUM(O205:O206),"-")</f>
        <v>0</v>
      </c>
    </row>
    <row r="208" spans="3:15" hidden="1" x14ac:dyDescent="0.25">
      <c r="C208" s="60" t="s">
        <v>480</v>
      </c>
      <c r="D208" s="83" t="str">
        <f>INDEX(Input_DecisionActual[[Decision]:[Decision]],MATCH(Calc_TU_values!$D$5,Input_DecisionActual[[VDO period]:[VDO period]],0),1)</f>
        <v>VDO 2021 - Final</v>
      </c>
      <c r="E208" s="24" t="s">
        <v>525</v>
      </c>
      <c r="F208" s="83" t="str">
        <f>IF($D208="-","-",INDEX(Inputs!$H$10:$Q$10,1,MATCH($D208,Inputs!$H$8:$Q$8,0)))</f>
        <v>F-CurrentVDO_Input</v>
      </c>
      <c r="G208" s="59"/>
      <c r="H208" s="24" t="s">
        <v>117</v>
      </c>
      <c r="I208" s="24" t="s">
        <v>118</v>
      </c>
      <c r="J208" s="60" t="s">
        <v>101</v>
      </c>
      <c r="K208" s="67" cm="1">
        <f t="array" ref="K208">IFERROR(INDEX(Input_ForRateCalc[],MATCH($C208&amp;" - "&amp;K$103,Input_ForRateCalc[[Cost item]:[Cost item]],0),MATCH(Calc_TUV_Net_1[[#This Row],[Decision ref]:[Decision ref]],Input_ForRateCalc[#Headers],0)),"-")*TUProp_Days_1</f>
        <v>0</v>
      </c>
      <c r="L208" s="67" cm="1">
        <f t="array" ref="L208">IFERROR(INDEX(Input_ForRateCalc[],MATCH($C208&amp;" - "&amp;L$103,Input_ForRateCalc[[Cost item]:[Cost item]],0),MATCH(Calc_TUV_Net_1[[#This Row],[Decision ref]:[Decision ref]],Input_ForRateCalc[#Headers],0)),"-")*TUProp_Days_1</f>
        <v>0</v>
      </c>
      <c r="M208" s="67" cm="1">
        <f t="array" ref="M208">IFERROR(INDEX(Input_ForRateCalc[],MATCH($C208&amp;" - "&amp;M$103,Input_ForRateCalc[[Cost item]:[Cost item]],0),MATCH(Calc_TUV_Net_1[[#This Row],[Decision ref]:[Decision ref]],Input_ForRateCalc[#Headers],0)),"-")*TUProp_Days_1</f>
        <v>0</v>
      </c>
      <c r="N208" s="67" cm="1">
        <f t="array" ref="N208">IFERROR(INDEX(Input_ForRateCalc[],MATCH($C208&amp;" - "&amp;N$103,Input_ForRateCalc[[Cost item]:[Cost item]],0),MATCH(Calc_TUV_Net_1[[#This Row],[Decision ref]:[Decision ref]],Input_ForRateCalc[#Headers],0)),"-")*TUProp_Days_1</f>
        <v>0</v>
      </c>
      <c r="O208" s="67" cm="1">
        <f t="array" ref="O208">IFERROR(INDEX(Input_ForRateCalc[],MATCH($C208&amp;" - "&amp;O$103,Input_ForRateCalc[[Cost item]:[Cost item]],0),MATCH(Calc_TUV_Net_1[[#This Row],[Decision ref]:[Decision ref]],Input_ForRateCalc[#Headers],0)),"-")*TUProp_Days_1</f>
        <v>0</v>
      </c>
    </row>
    <row r="209" spans="3:15" hidden="1" x14ac:dyDescent="0.25">
      <c r="C209" s="60" t="s">
        <v>284</v>
      </c>
      <c r="D209" s="83" t="str">
        <f>INDEX(Input_DecisionActual[[Decision]:[Decision]],MATCH(Calc_TU_values!$D$5,Input_DecisionActual[[VDO period]:[VDO period]],0),1)</f>
        <v>VDO 2021 - Final</v>
      </c>
      <c r="E209" s="24" t="s">
        <v>525</v>
      </c>
      <c r="F209" s="83" t="str">
        <f>IF($D209="-","-",INDEX(Inputs!$H$10:$Q$10,1,MATCH($D209,Inputs!$H$8:$Q$8,0)))</f>
        <v>F-CurrentVDO_Input</v>
      </c>
      <c r="G209" s="59"/>
      <c r="H209" s="24" t="s">
        <v>117</v>
      </c>
      <c r="I209" s="24" t="s">
        <v>118</v>
      </c>
      <c r="J209" s="60" t="s">
        <v>101</v>
      </c>
      <c r="K209" s="67" cm="1">
        <f t="array" ref="K209">IFERROR(INDEX(Input_ForRateCalc[],MATCH($C209&amp;" - "&amp;K$103,Input_ForRateCalc[[Cost item]:[Cost item]],0),MATCH(Calc_TUV_Net_1[[#This Row],[Decision ref]:[Decision ref]],Input_ForRateCalc[#Headers],0)),"-")*TUProp_Days_1</f>
        <v>0</v>
      </c>
      <c r="L209" s="67" cm="1">
        <f t="array" ref="L209">IFERROR(INDEX(Input_ForRateCalc[],MATCH($C209&amp;" - "&amp;L$103,Input_ForRateCalc[[Cost item]:[Cost item]],0),MATCH(Calc_TUV_Net_1[[#This Row],[Decision ref]:[Decision ref]],Input_ForRateCalc[#Headers],0)),"-")*TUProp_Days_1</f>
        <v>0</v>
      </c>
      <c r="M209" s="67" cm="1">
        <f t="array" ref="M209">IFERROR(INDEX(Input_ForRateCalc[],MATCH($C209&amp;" - "&amp;M$103,Input_ForRateCalc[[Cost item]:[Cost item]],0),MATCH(Calc_TUV_Net_1[[#This Row],[Decision ref]:[Decision ref]],Input_ForRateCalc[#Headers],0)),"-")*TUProp_Days_1</f>
        <v>0</v>
      </c>
      <c r="N209" s="67" cm="1">
        <f t="array" ref="N209">IFERROR(INDEX(Input_ForRateCalc[],MATCH($C209&amp;" - "&amp;N$103,Input_ForRateCalc[[Cost item]:[Cost item]],0),MATCH(Calc_TUV_Net_1[[#This Row],[Decision ref]:[Decision ref]],Input_ForRateCalc[#Headers],0)),"-")*TUProp_Days_1</f>
        <v>0</v>
      </c>
      <c r="O209" s="67" cm="1">
        <f t="array" ref="O209">IFERROR(INDEX(Input_ForRateCalc[],MATCH($C209&amp;" - "&amp;O$103,Input_ForRateCalc[[Cost item]:[Cost item]],0),MATCH(Calc_TUV_Net_1[[#This Row],[Decision ref]:[Decision ref]],Input_ForRateCalc[#Headers],0)),"-")*TUProp_Days_1</f>
        <v>0</v>
      </c>
    </row>
    <row r="210" spans="3:15" hidden="1" x14ac:dyDescent="0.25">
      <c r="C210" s="60" t="s">
        <v>327</v>
      </c>
      <c r="D210" s="83" t="str">
        <f>INDEX(Input_DecisionActual[[Decision]:[Decision]],MATCH(Calc_TU_values!$D$5,Input_DecisionActual[[VDO period]:[VDO period]],0),1)</f>
        <v>VDO 2021 - Final</v>
      </c>
      <c r="E210" s="24" t="s">
        <v>525</v>
      </c>
      <c r="F210" s="83" t="str">
        <f>IF($D210="-","-",INDEX(Inputs!$H$10:$Q$10,1,MATCH($D210,Inputs!$H$8:$Q$8,0)))</f>
        <v>F-CurrentVDO_Input</v>
      </c>
      <c r="G210" s="59"/>
      <c r="H210" s="24" t="s">
        <v>117</v>
      </c>
      <c r="I210" s="24" t="s">
        <v>118</v>
      </c>
      <c r="J210" s="60" t="s">
        <v>101</v>
      </c>
      <c r="K210" s="66">
        <f>SUM(K208:K209)</f>
        <v>0</v>
      </c>
      <c r="L210" s="66">
        <f>SUM(L208:L209)</f>
        <v>0</v>
      </c>
      <c r="M210" s="66">
        <f>SUM(M208:M209)</f>
        <v>0</v>
      </c>
      <c r="N210" s="66">
        <f>SUM(N208:N209)</f>
        <v>0</v>
      </c>
      <c r="O210" s="66">
        <f>SUM(O208:O209)</f>
        <v>0</v>
      </c>
    </row>
    <row r="211" spans="3:15" hidden="1" x14ac:dyDescent="0.25">
      <c r="C211" s="60" t="s">
        <v>328</v>
      </c>
      <c r="D211" s="24"/>
      <c r="E211" s="24"/>
      <c r="F211" s="24"/>
      <c r="G211" s="60"/>
      <c r="H211" s="24" t="s">
        <v>117</v>
      </c>
      <c r="I211" s="24" t="s">
        <v>118</v>
      </c>
      <c r="J211" s="60" t="s">
        <v>101</v>
      </c>
      <c r="K211" s="66" t="str">
        <f>IF(K210=0,"-",K207-K210)</f>
        <v>-</v>
      </c>
      <c r="L211" s="66" t="str">
        <f t="shared" ref="L211:O211" si="54">IF(L210=0,"-",L207-L210)</f>
        <v>-</v>
      </c>
      <c r="M211" s="66" t="str">
        <f t="shared" si="54"/>
        <v>-</v>
      </c>
      <c r="N211" s="66" t="str">
        <f t="shared" si="54"/>
        <v>-</v>
      </c>
      <c r="O211" s="66" t="str">
        <f t="shared" si="54"/>
        <v>-</v>
      </c>
    </row>
    <row r="212" spans="3:15" hidden="1" x14ac:dyDescent="0.25">
      <c r="C212" s="60" t="s">
        <v>435</v>
      </c>
      <c r="D212" s="24"/>
      <c r="E212" s="24"/>
      <c r="F212" s="24"/>
      <c r="G212" s="60"/>
      <c r="H212" s="24" t="s">
        <v>117</v>
      </c>
      <c r="I212" s="24" t="s">
        <v>118</v>
      </c>
      <c r="J212" s="60" t="s">
        <v>101</v>
      </c>
      <c r="K212" s="67" t="str">
        <f>IFERROR(IF($D$11="Yes",K211*(1+WACC_adj_1),""),"-")</f>
        <v/>
      </c>
      <c r="L212" s="67" t="str">
        <f>IFERROR(IF($D$11="Yes",L211*(1+WACC_adj_1),""),"-")</f>
        <v/>
      </c>
      <c r="M212" s="67" t="str">
        <f>IFERROR(IF($D$11="Yes",M211*(1+WACC_adj_1),""),"-")</f>
        <v/>
      </c>
      <c r="N212" s="67" t="str">
        <f>IFERROR(IF($D$11="Yes",N211*(1+WACC_adj_1),""),"-")</f>
        <v/>
      </c>
      <c r="O212" s="67" t="str">
        <f>IFERROR(IF($D$11="Yes",O211*(1+WACC_adj_1),""),"-")</f>
        <v/>
      </c>
    </row>
    <row r="213" spans="3:15" hidden="1" x14ac:dyDescent="0.25">
      <c r="C213" s="60" t="s">
        <v>330</v>
      </c>
      <c r="D213" s="83" t="str">
        <f>INDEX(Input_DecisionActual[[Decision]:[Decision]],MATCH(Calc_TU_values!$D$5,Input_DecisionActual[[VDO period]:[VDO period]],0),1)</f>
        <v>VDO 2021 - Final</v>
      </c>
      <c r="E213" s="24" t="s">
        <v>525</v>
      </c>
      <c r="F213" s="83" t="str">
        <f>IF($D213="-","-",INDEX(Inputs!$H$10:$Q$10,1,MATCH($D213,Inputs!$H$8:$Q$8,0)))</f>
        <v>F-CurrentVDO_Input</v>
      </c>
      <c r="G213" s="60"/>
      <c r="H213" s="24" t="s">
        <v>117</v>
      </c>
      <c r="I213" s="24" t="s">
        <v>118</v>
      </c>
      <c r="J213" s="60" t="s">
        <v>101</v>
      </c>
      <c r="K213" s="67" cm="1">
        <f t="array" ref="K213">IFERROR(SUM(K211:K212)*(INDEX(Inputs!$H$11:$Q$127,MATCH("Retail operating margin",Input_ForRateCalc[[Cost item]:[Cost item]],0),MATCH(Calc_TUV_Net_1[[#This Row],[Decision ref]:[Decision ref]],Inputs!$H$10:$Q$10,0))),"-")</f>
        <v>0</v>
      </c>
      <c r="L213" s="67" cm="1">
        <f t="array" ref="L213">IFERROR(SUM(L211:L212)*(INDEX(Inputs!$H$11:$Q$127,MATCH("Retail operating margin",Input_ForRateCalc[[Cost item]:[Cost item]],0),MATCH(Calc_TUV_Net_1[[#This Row],[Decision ref]:[Decision ref]],Inputs!$H$10:$Q$10,0))),"-")</f>
        <v>0</v>
      </c>
      <c r="M213" s="67" cm="1">
        <f t="array" ref="M213">IFERROR(SUM(M211:M212)*(INDEX(Inputs!$H$11:$Q$127,MATCH("Retail operating margin",Input_ForRateCalc[[Cost item]:[Cost item]],0),MATCH(Calc_TUV_Net_1[[#This Row],[Decision ref]:[Decision ref]],Inputs!$H$10:$Q$10,0))),"-")</f>
        <v>0</v>
      </c>
      <c r="N213" s="67" cm="1">
        <f t="array" ref="N213">IFERROR(SUM(N211:N212)*(INDEX(Inputs!$H$11:$Q$127,MATCH("Retail operating margin",Input_ForRateCalc[[Cost item]:[Cost item]],0),MATCH(Calc_TUV_Net_1[[#This Row],[Decision ref]:[Decision ref]],Inputs!$H$10:$Q$10,0))),"-")</f>
        <v>0</v>
      </c>
      <c r="O213" s="67" cm="1">
        <f t="array" ref="O213">IFERROR(SUM(O211:O212)*(INDEX(Inputs!$H$11:$Q$127,MATCH("Retail operating margin",Input_ForRateCalc[[Cost item]:[Cost item]],0),MATCH(Calc_TUV_Net_1[[#This Row],[Decision ref]:[Decision ref]],Inputs!$H$10:$Q$10,0))),"-")</f>
        <v>0</v>
      </c>
    </row>
    <row r="214" spans="3:15" hidden="1" x14ac:dyDescent="0.25">
      <c r="C214" s="60" t="s">
        <v>436</v>
      </c>
      <c r="D214" s="24"/>
      <c r="E214" s="24"/>
      <c r="F214" s="24"/>
      <c r="G214" s="60"/>
      <c r="H214" s="24" t="s">
        <v>117</v>
      </c>
      <c r="I214" s="24" t="s">
        <v>118</v>
      </c>
      <c r="J214" s="60" t="s">
        <v>101</v>
      </c>
      <c r="K214" s="67" t="str">
        <f>IF(K210=0,"-",SUM(K211:K213)*GST)</f>
        <v>-</v>
      </c>
      <c r="L214" s="67" t="str">
        <f>IF(L210=0,"-",SUM(L211:L213)*GST)</f>
        <v>-</v>
      </c>
      <c r="M214" s="67" t="str">
        <f>IF(M210=0,"-",SUM(M211:M213)*GST)</f>
        <v>-</v>
      </c>
      <c r="N214" s="67" t="str">
        <f>IF(N210=0,"-",SUM(N211:N213)*GST)</f>
        <v>-</v>
      </c>
      <c r="O214" s="67" t="str">
        <f>IF(O210=0,"-",SUM(O211:O213)*GST)</f>
        <v>-</v>
      </c>
    </row>
    <row r="215" spans="3:15" hidden="1" x14ac:dyDescent="0.25">
      <c r="C215" s="24" t="s">
        <v>496</v>
      </c>
      <c r="D215" s="24"/>
      <c r="E215" s="24"/>
      <c r="F215" s="24"/>
      <c r="G215" s="60"/>
      <c r="H215" s="24" t="s">
        <v>117</v>
      </c>
      <c r="I215" s="24" t="s">
        <v>118</v>
      </c>
      <c r="J215" s="60" t="s">
        <v>101</v>
      </c>
      <c r="K215" s="67" t="str">
        <f>IF(K210=0,"-",SUM(K211:K214))</f>
        <v>-</v>
      </c>
      <c r="L215" s="67" t="str">
        <f>IF(L210=0,"-",SUM(L211:L214))</f>
        <v>-</v>
      </c>
      <c r="M215" s="67" t="str">
        <f>IF(M210=0,"-",SUM(M211:M214))</f>
        <v>-</v>
      </c>
      <c r="N215" s="67" t="str">
        <f>IF(N210=0,"-",SUM(N211:N214))</f>
        <v>-</v>
      </c>
      <c r="O215" s="67" t="str">
        <f>IF(O210=0,"-",SUM(O211:O214))</f>
        <v>-</v>
      </c>
    </row>
    <row r="216" spans="3:15" hidden="1" x14ac:dyDescent="0.25">
      <c r="C216" s="60"/>
      <c r="D216" s="60"/>
      <c r="E216" s="60"/>
      <c r="F216" s="60"/>
      <c r="H216" s="60"/>
      <c r="I216" s="24"/>
      <c r="J216" s="24"/>
      <c r="K216" s="132"/>
      <c r="L216" s="132"/>
      <c r="M216" s="132"/>
      <c r="N216" s="132"/>
      <c r="O216" s="132"/>
    </row>
    <row r="217" spans="3:15" hidden="1" x14ac:dyDescent="0.25">
      <c r="C217" s="58" t="s">
        <v>505</v>
      </c>
      <c r="D217" s="60"/>
      <c r="E217" s="60"/>
      <c r="F217" s="60"/>
      <c r="G217" s="69"/>
      <c r="H217" s="60"/>
      <c r="I217" s="24"/>
      <c r="J217" s="24"/>
      <c r="K217" s="132"/>
      <c r="L217" s="132"/>
      <c r="M217" s="132"/>
      <c r="N217" s="132"/>
      <c r="O217" s="132"/>
    </row>
    <row r="218" spans="3:15" hidden="1" x14ac:dyDescent="0.25">
      <c r="C218" s="60" t="s">
        <v>492</v>
      </c>
      <c r="D218" s="83" t="str">
        <f>Calc_TU_values!$D$5</f>
        <v>VDO 2021 - Variation final</v>
      </c>
      <c r="E218" s="24" t="s">
        <v>524</v>
      </c>
      <c r="F218" s="83" t="str">
        <f>INDEX(Inputs!$H$10:$Q$10,1,MATCH($D218,Inputs!$H$8:$Q$8,0))</f>
        <v>VF-CurrentVDO_Input</v>
      </c>
      <c r="G218" s="60"/>
      <c r="H218" s="24" t="s">
        <v>139</v>
      </c>
      <c r="I218" s="24" t="s">
        <v>174</v>
      </c>
      <c r="J218" s="60" t="s">
        <v>101</v>
      </c>
      <c r="K218" s="67" cm="1">
        <f t="array" ref="K218">IFERROR(INDEX(Input_ForRateCalc[],MATCH($C218&amp;" - "&amp;K$103,Input_ForRateCalc[[Cost item]:[Cost item]],0),MATCH(Calc_TUV_Net_1[[#This Row],[Decision ref]:[Decision ref]],Input_ForRateCalc[#Headers],0)),"-")</f>
        <v>17.508700000000001</v>
      </c>
      <c r="L218" s="67" cm="1">
        <f t="array" ref="L218">IFERROR(INDEX(Input_ForRateCalc[],MATCH($C218&amp;" - "&amp;L$103,Input_ForRateCalc[[Cost item]:[Cost item]],0),MATCH(Calc_TUV_Net_1[[#This Row],[Decision ref]:[Decision ref]],Input_ForRateCalc[#Headers],0)),"-")</f>
        <v>13.02</v>
      </c>
      <c r="M218" s="67" cm="1">
        <f t="array" ref="M218">IFERROR(INDEX(Input_ForRateCalc[],MATCH($C218&amp;" - "&amp;M$103,Input_ForRateCalc[[Cost item]:[Cost item]],0),MATCH(Calc_TUV_Net_1[[#This Row],[Decision ref]:[Decision ref]],Input_ForRateCalc[#Headers],0)),"-")</f>
        <v>14.331</v>
      </c>
      <c r="N218" s="67" cm="1">
        <f t="array" ref="N218">IFERROR(INDEX(Input_ForRateCalc[],MATCH($C218&amp;" - "&amp;N$103,Input_ForRateCalc[[Cost item]:[Cost item]],0),MATCH(Calc_TUV_Net_1[[#This Row],[Decision ref]:[Decision ref]],Input_ForRateCalc[#Headers],0)),"-")</f>
        <v>14.75</v>
      </c>
      <c r="O218" s="67" cm="1">
        <f t="array" ref="O218">IFERROR(INDEX(Input_ForRateCalc[],MATCH($C218&amp;" - "&amp;O$103,Input_ForRateCalc[[Cost item]:[Cost item]],0),MATCH(Calc_TUV_Net_1[[#This Row],[Decision ref]:[Decision ref]],Input_ForRateCalc[#Headers],0)),"-")</f>
        <v>13.99</v>
      </c>
    </row>
    <row r="219" spans="3:15" hidden="1" x14ac:dyDescent="0.25">
      <c r="C219" s="60" t="s">
        <v>493</v>
      </c>
      <c r="D219" s="83" t="str">
        <f>Calc_TU_values!$D$5</f>
        <v>VDO 2021 - Variation final</v>
      </c>
      <c r="E219" s="24" t="s">
        <v>524</v>
      </c>
      <c r="F219" s="83" t="str">
        <f>INDEX(Inputs!$H$10:$Q$10,1,MATCH($D219,Inputs!$H$8:$Q$8,0))</f>
        <v>VF-CurrentVDO_Input</v>
      </c>
      <c r="G219" s="69"/>
      <c r="H219" s="24" t="s">
        <v>139</v>
      </c>
      <c r="I219" s="24" t="s">
        <v>174</v>
      </c>
      <c r="J219" s="60" t="s">
        <v>101</v>
      </c>
      <c r="K219" s="67" cm="1">
        <f t="array" ref="K219">IFERROR(INDEX(Input_ForRateCalc[],MATCH($C219&amp;" - "&amp;K$103,Input_ForRateCalc[[Cost item]:[Cost item]],0),MATCH(Calc_TUV_Net_1[[#This Row],[Decision ref]:[Decision ref]],Input_ForRateCalc[#Headers],0)),"-")</f>
        <v>4.2656000000000001</v>
      </c>
      <c r="L219" s="67" cm="1">
        <f t="array" ref="L219">IFERROR(INDEX(Input_ForRateCalc[],MATCH($C219&amp;" - "&amp;L$103,Input_ForRateCalc[[Cost item]:[Cost item]],0),MATCH(Calc_TUV_Net_1[[#This Row],[Decision ref]:[Decision ref]],Input_ForRateCalc[#Headers],0)),"-")</f>
        <v>2.89</v>
      </c>
      <c r="M219" s="67" cm="1">
        <f t="array" ref="M219">IFERROR(INDEX(Input_ForRateCalc[],MATCH($C219&amp;" - "&amp;M$103,Input_ForRateCalc[[Cost item]:[Cost item]],0),MATCH(Calc_TUV_Net_1[[#This Row],[Decision ref]:[Decision ref]],Input_ForRateCalc[#Headers],0)),"-")</f>
        <v>3.052</v>
      </c>
      <c r="N219" s="67" cm="1">
        <f t="array" ref="N219">IFERROR(INDEX(Input_ForRateCalc[],MATCH($C219&amp;" - "&amp;N$103,Input_ForRateCalc[[Cost item]:[Cost item]],0),MATCH(Calc_TUV_Net_1[[#This Row],[Decision ref]:[Decision ref]],Input_ForRateCalc[#Headers],0)),"-")</f>
        <v>3.28</v>
      </c>
      <c r="O219" s="67" cm="1">
        <f t="array" ref="O219">IFERROR(INDEX(Input_ForRateCalc[],MATCH($C219&amp;" - "&amp;O$103,Input_ForRateCalc[[Cost item]:[Cost item]],0),MATCH(Calc_TUV_Net_1[[#This Row],[Decision ref]:[Decision ref]],Input_ForRateCalc[#Headers],0)),"-")</f>
        <v>3.11</v>
      </c>
    </row>
    <row r="220" spans="3:15" hidden="1" x14ac:dyDescent="0.25">
      <c r="C220" s="60" t="s">
        <v>327</v>
      </c>
      <c r="D220" s="83" t="str">
        <f>Calc_TU_values!$D$5</f>
        <v>VDO 2021 - Variation final</v>
      </c>
      <c r="E220" s="24" t="s">
        <v>524</v>
      </c>
      <c r="F220" s="83" t="str">
        <f>INDEX(Inputs!$H$10:$Q$10,1,MATCH($D220,Inputs!$H$8:$Q$8,0))</f>
        <v>VF-CurrentVDO_Input</v>
      </c>
      <c r="G220" s="59"/>
      <c r="H220" s="24" t="s">
        <v>139</v>
      </c>
      <c r="I220" s="24" t="s">
        <v>174</v>
      </c>
      <c r="J220" s="60" t="s">
        <v>101</v>
      </c>
      <c r="K220" s="68">
        <f>SUMIFS(TUNet_Usage_Actual_1[Value],TUNet_Usage_Actual_1[Customer type],Calc_TUV_Net_1[[#This Row],[Customer type]],TUNet_Usage_Actual_1[Description],"Usage per customer")*SUM(
IFERROR(K218/100*SUMIFS(Input_TUNet_Props[F-NextVDO_Input],Input_TUNet_Props[Customer type],Calc_TUV_Net_1[[#This Row],[Customer type]],Input_TUNet_Props[Usage type],"Peak"),0),
IFERROR(K219/100*SUMIFS(Input_TUNet_Props[F-NextVDO_Input],Input_TUNet_Props[Customer type],Calc_TUV_Net_1[[#This Row],[Customer type]],Input_TUNet_Props[Usage type],"Off peak"),0))</f>
        <v>0</v>
      </c>
      <c r="L220" s="68">
        <f>SUMIFS(TUNet_Usage_Actual_1[Value],TUNet_Usage_Actual_1[Customer type],Calc_TUV_Net_1[[#This Row],[Customer type]],TUNet_Usage_Actual_1[Description],"Usage per customer")*SUM(
IFERROR(L218/100*SUMIFS(Input_TUNet_Props[F-NextVDO_Input],Input_TUNet_Props[Customer type],Calc_TUV_Net_1[[#This Row],[Customer type]],Input_TUNet_Props[Usage type],"Peak"),0),
IFERROR(L219/100*SUMIFS(Input_TUNet_Props[F-NextVDO_Input],Input_TUNet_Props[Customer type],Calc_TUV_Net_1[[#This Row],[Customer type]],Input_TUNet_Props[Usage type],"Off peak"),0))</f>
        <v>0</v>
      </c>
      <c r="M220" s="68">
        <f>SUMIFS(TUNet_Usage_Actual_1[Value],TUNet_Usage_Actual_1[Customer type],Calc_TUV_Net_1[[#This Row],[Customer type]],TUNet_Usage_Actual_1[Description],"Usage per customer")*SUM(
IFERROR(M218/100*SUMIFS(Input_TUNet_Props[F-NextVDO_Input],Input_TUNet_Props[Customer type],Calc_TUV_Net_1[[#This Row],[Customer type]],Input_TUNet_Props[Usage type],"Peak"),0),
IFERROR(M219/100*SUMIFS(Input_TUNet_Props[F-NextVDO_Input],Input_TUNet_Props[Customer type],Calc_TUV_Net_1[[#This Row],[Customer type]],Input_TUNet_Props[Usage type],"Off peak"),0))</f>
        <v>0</v>
      </c>
      <c r="N220" s="68">
        <f>SUMIFS(TUNet_Usage_Actual_1[Value],TUNet_Usage_Actual_1[Customer type],Calc_TUV_Net_1[[#This Row],[Customer type]],TUNet_Usage_Actual_1[Description],"Usage per customer")*SUM(
IFERROR(N218/100*SUMIFS(Input_TUNet_Props[F-NextVDO_Input],Input_TUNet_Props[Customer type],Calc_TUV_Net_1[[#This Row],[Customer type]],Input_TUNet_Props[Usage type],"Peak"),0),
IFERROR(N219/100*SUMIFS(Input_TUNet_Props[F-NextVDO_Input],Input_TUNet_Props[Customer type],Calc_TUV_Net_1[[#This Row],[Customer type]],Input_TUNet_Props[Usage type],"Off peak"),0))</f>
        <v>0</v>
      </c>
      <c r="O220" s="68">
        <f>SUMIFS(TUNet_Usage_Actual_1[Value],TUNet_Usage_Actual_1[Customer type],Calc_TUV_Net_1[[#This Row],[Customer type]],TUNet_Usage_Actual_1[Description],"Usage per customer")*SUM(
IFERROR(O218/100*SUMIFS(Input_TUNet_Props[F-NextVDO_Input],Input_TUNet_Props[Customer type],Calc_TUV_Net_1[[#This Row],[Customer type]],Input_TUNet_Props[Usage type],"Peak"),0),
IFERROR(O219/100*SUMIFS(Input_TUNet_Props[F-NextVDO_Input],Input_TUNet_Props[Customer type],Calc_TUV_Net_1[[#This Row],[Customer type]],Input_TUNet_Props[Usage type],"Off peak"),0))</f>
        <v>0</v>
      </c>
    </row>
    <row r="221" spans="3:15" hidden="1" x14ac:dyDescent="0.25">
      <c r="C221" s="60" t="s">
        <v>481</v>
      </c>
      <c r="D221" s="83" t="str">
        <f>INDEX(Input_DecisionActual[[Decision]:[Decision]],MATCH(Calc_TU_values!$D$5,Input_DecisionActual[[VDO period]:[VDO period]],0),1)</f>
        <v>VDO 2021 - Final</v>
      </c>
      <c r="E221" s="24" t="s">
        <v>525</v>
      </c>
      <c r="F221" s="83" t="str">
        <f>IF($D221="-","-",INDEX(Inputs!$H$10:$Q$10,1,MATCH($D221,Inputs!$H$8:$Q$8,0)))</f>
        <v>F-CurrentVDO_Input</v>
      </c>
      <c r="G221" s="59"/>
      <c r="H221" s="24" t="s">
        <v>139</v>
      </c>
      <c r="I221" s="24" t="s">
        <v>118</v>
      </c>
      <c r="J221" s="60" t="s">
        <v>101</v>
      </c>
      <c r="K221" s="67" cm="1">
        <f t="array" ref="K221">IFERROR(INDEX(Input_ForRateCalc[],MATCH($C221&amp;" - "&amp;K$103,Input_ForRateCalc[[Cost item]:[Cost item]],0),MATCH(Calc_TUV_Net_1[[#This Row],[Decision ref]:[Decision ref]],Input_ForRateCalc[#Headers],0)),"-")</f>
        <v>13.9602</v>
      </c>
      <c r="L221" s="67" t="str" cm="1">
        <f t="array" ref="L221">IFERROR(INDEX(Input_ForRateCalc[],MATCH($C221&amp;" - "&amp;L$103,Input_ForRateCalc[[Cost item]:[Cost item]],0),MATCH(Calc_TUV_Net_1[[#This Row],[Decision ref]:[Decision ref]],Input_ForRateCalc[#Headers],0)),"-")</f>
        <v>-</v>
      </c>
      <c r="M221" s="67" t="str" cm="1">
        <f t="array" ref="M221">IFERROR(INDEX(Input_ForRateCalc[],MATCH($C221&amp;" - "&amp;M$103,Input_ForRateCalc[[Cost item]:[Cost item]],0),MATCH(Calc_TUV_Net_1[[#This Row],[Decision ref]:[Decision ref]],Input_ForRateCalc[#Headers],0)),"-")</f>
        <v>-</v>
      </c>
      <c r="N221" s="67" t="str" cm="1">
        <f t="array" ref="N221">IFERROR(INDEX(Input_ForRateCalc[],MATCH($C221&amp;" - "&amp;N$103,Input_ForRateCalc[[Cost item]:[Cost item]],0),MATCH(Calc_TUV_Net_1[[#This Row],[Decision ref]:[Decision ref]],Input_ForRateCalc[#Headers],0)),"-")</f>
        <v>-</v>
      </c>
      <c r="O221" s="67" t="str" cm="1">
        <f t="array" ref="O221">IFERROR(INDEX(Input_ForRateCalc[],MATCH($C221&amp;" - "&amp;O$103,Input_ForRateCalc[[Cost item]:[Cost item]],0),MATCH(Calc_TUV_Net_1[[#This Row],[Decision ref]:[Decision ref]],Input_ForRateCalc[#Headers],0)),"-")</f>
        <v>-</v>
      </c>
    </row>
    <row r="222" spans="3:15" hidden="1" x14ac:dyDescent="0.25">
      <c r="C222" s="60" t="s">
        <v>482</v>
      </c>
      <c r="D222" s="83" t="str">
        <f>INDEX(Input_DecisionActual[[Decision]:[Decision]],MATCH(Calc_TU_values!$D$5,Input_DecisionActual[[VDO period]:[VDO period]],0),1)</f>
        <v>VDO 2021 - Final</v>
      </c>
      <c r="E222" s="24" t="s">
        <v>525</v>
      </c>
      <c r="F222" s="83" t="str">
        <f>IF($D222="-","-",INDEX(Inputs!$H$10:$Q$10,1,MATCH($D222,Inputs!$H$8:$Q$8,0)))</f>
        <v>F-CurrentVDO_Input</v>
      </c>
      <c r="G222" s="59"/>
      <c r="H222" s="24" t="s">
        <v>139</v>
      </c>
      <c r="I222" s="24" t="s">
        <v>174</v>
      </c>
      <c r="J222" s="60" t="s">
        <v>101</v>
      </c>
      <c r="K222" s="67" cm="1">
        <f t="array" ref="K222">IFERROR(INDEX(Input_ForRateCalc[],MATCH($C222&amp;" - "&amp;K$103,Input_ForRateCalc[[Cost item]:[Cost item]],0),MATCH(Calc_TUV_Net_1[[#This Row],[Decision ref]:[Decision ref]],Input_ForRateCalc[#Headers],0)),"-")</f>
        <v>16.934899999999999</v>
      </c>
      <c r="L222" s="67" t="str" cm="1">
        <f t="array" ref="L222">IFERROR(INDEX(Input_ForRateCalc[],MATCH($C222&amp;" - "&amp;L$103,Input_ForRateCalc[[Cost item]:[Cost item]],0),MATCH(Calc_TUV_Net_1[[#This Row],[Decision ref]:[Decision ref]],Input_ForRateCalc[#Headers],0)),"-")</f>
        <v>-</v>
      </c>
      <c r="M222" s="67" t="str" cm="1">
        <f t="array" ref="M222">IFERROR(INDEX(Input_ForRateCalc[],MATCH($C222&amp;" - "&amp;M$103,Input_ForRateCalc[[Cost item]:[Cost item]],0),MATCH(Calc_TUV_Net_1[[#This Row],[Decision ref]:[Decision ref]],Input_ForRateCalc[#Headers],0)),"-")</f>
        <v>-</v>
      </c>
      <c r="N222" s="67" t="str" cm="1">
        <f t="array" ref="N222">IFERROR(INDEX(Input_ForRateCalc[],MATCH($C222&amp;" - "&amp;N$103,Input_ForRateCalc[[Cost item]:[Cost item]],0),MATCH(Calc_TUV_Net_1[[#This Row],[Decision ref]:[Decision ref]],Input_ForRateCalc[#Headers],0)),"-")</f>
        <v>-</v>
      </c>
      <c r="O222" s="67" t="str" cm="1">
        <f t="array" ref="O222">IFERROR(INDEX(Input_ForRateCalc[],MATCH($C222&amp;" - "&amp;O$103,Input_ForRateCalc[[Cost item]:[Cost item]],0),MATCH(Calc_TUV_Net_1[[#This Row],[Decision ref]:[Decision ref]],Input_ForRateCalc[#Headers],0)),"-")</f>
        <v>-</v>
      </c>
    </row>
    <row r="223" spans="3:15" hidden="1" x14ac:dyDescent="0.25">
      <c r="C223" s="60" t="s">
        <v>483</v>
      </c>
      <c r="D223" s="83" t="str">
        <f>INDEX(Input_DecisionActual[[Decision]:[Decision]],MATCH(Calc_TU_values!$D$5,Input_DecisionActual[[VDO period]:[VDO period]],0),1)</f>
        <v>VDO 2021 - Final</v>
      </c>
      <c r="E223" s="24" t="s">
        <v>525</v>
      </c>
      <c r="F223" s="83" t="str">
        <f>IF($D223="-","-",INDEX(Inputs!$H$10:$Q$10,1,MATCH($D223,Inputs!$H$8:$Q$8,0)))</f>
        <v>F-CurrentVDO_Input</v>
      </c>
      <c r="G223" s="59"/>
      <c r="H223" s="24" t="s">
        <v>139</v>
      </c>
      <c r="I223" s="24" t="s">
        <v>174</v>
      </c>
      <c r="J223" s="60" t="s">
        <v>101</v>
      </c>
      <c r="K223" s="67" t="str" cm="1">
        <f t="array" ref="K223">IFERROR(INDEX(Input_ForRateCalc[],MATCH($C223&amp;" - "&amp;K$103,Input_ForRateCalc[[Cost item]:[Cost item]],0),MATCH(Calc_TUV_Net_1[[#This Row],[Decision ref]:[Decision ref]],Input_ForRateCalc[#Headers],0)),"-")</f>
        <v>-</v>
      </c>
      <c r="L223" s="67" cm="1">
        <f t="array" ref="L223">IFERROR(INDEX(Input_ForRateCalc[],MATCH($C223&amp;" - "&amp;L$103,Input_ForRateCalc[[Cost item]:[Cost item]],0),MATCH(Calc_TUV_Net_1[[#This Row],[Decision ref]:[Decision ref]],Input_ForRateCalc[#Headers],0)),"-")</f>
        <v>7.54</v>
      </c>
      <c r="M223" s="67" cm="1">
        <f t="array" ref="M223">IFERROR(INDEX(Input_ForRateCalc[],MATCH($C223&amp;" - "&amp;M$103,Input_ForRateCalc[[Cost item]:[Cost item]],0),MATCH(Calc_TUV_Net_1[[#This Row],[Decision ref]:[Decision ref]],Input_ForRateCalc[#Headers],0)),"-")</f>
        <v>9.3260000000000005</v>
      </c>
      <c r="N223" s="67" cm="1">
        <f t="array" ref="N223">IFERROR(INDEX(Input_ForRateCalc[],MATCH($C223&amp;" - "&amp;N$103,Input_ForRateCalc[[Cost item]:[Cost item]],0),MATCH(Calc_TUV_Net_1[[#This Row],[Decision ref]:[Decision ref]],Input_ForRateCalc[#Headers],0)),"-")</f>
        <v>8.44</v>
      </c>
      <c r="O223" s="67" cm="1">
        <f t="array" ref="O223">IFERROR(INDEX(Input_ForRateCalc[],MATCH($C223&amp;" - "&amp;O$103,Input_ForRateCalc[[Cost item]:[Cost item]],0),MATCH(Calc_TUV_Net_1[[#This Row],[Decision ref]:[Decision ref]],Input_ForRateCalc[#Headers],0)),"-")</f>
        <v>9.27</v>
      </c>
    </row>
    <row r="224" spans="3:15" hidden="1" x14ac:dyDescent="0.25">
      <c r="C224" s="60" t="s">
        <v>327</v>
      </c>
      <c r="D224" s="83" t="str">
        <f>INDEX(Input_DecisionActual[[Decision]:[Decision]],MATCH(Calc_TU_values!$D$5,Input_DecisionActual[[VDO period]:[VDO period]],0),1)</f>
        <v>VDO 2021 - Final</v>
      </c>
      <c r="E224" s="24" t="s">
        <v>525</v>
      </c>
      <c r="F224" s="83" t="str">
        <f>IF($D224="-","-",INDEX(Inputs!$H$10:$Q$10,1,MATCH($D224,Inputs!$H$8:$Q$8,0)))</f>
        <v>F-CurrentVDO_Input</v>
      </c>
      <c r="G224" s="59"/>
      <c r="H224" s="24" t="s">
        <v>139</v>
      </c>
      <c r="I224" s="24" t="s">
        <v>174</v>
      </c>
      <c r="J224" s="60" t="s">
        <v>101</v>
      </c>
      <c r="K224" s="68">
        <f>SUMIFS(TUNet_Usage_Actual_1[Value],TUNet_Usage_Actual_1[Customer type],Calc_TUV_Net_1[[#This Row],[Customer type]],TUNet_Usage_Actual_1[Description],"Usage per customer")*SUM(
IFERROR(K221/100*SUMIFS(Input_TUNet_Props[F-NextVDO_Input],Input_TUNet_Props[Customer type],Calc_TUV_Net_1[[#This Row],[Customer type]],Input_TUNet_Props[Usage type],"Block 1"),0),
IFERROR(K222/100*SUMIFS(Input_TUNet_Props[F-NextVDO_Input],Input_TUNet_Props[Customer type],Calc_TUV_Net_1[[#This Row],[Customer type]],Input_TUNet_Props[Usage type],"Balance"),0),
IFERROR(K223/100*SUMIFS(Input_TUNet_Props[F-NextVDO_Input],Input_TUNet_Props[Customer type],Calc_TUV_Net_1[[#This Row],[Customer type]],Input_TUNet_Props[Usage type],"Single rate"),0))</f>
        <v>0</v>
      </c>
      <c r="L224" s="68">
        <f>SUMIFS(TUNet_Usage_Actual_1[Value],TUNet_Usage_Actual_1[Customer type],Calc_TUV_Net_1[[#This Row],[Customer type]],TUNet_Usage_Actual_1[Description],"Usage per customer")*SUM(
IFERROR(L221/100*SUMIFS(Input_TUNet_Props[F-NextVDO_Input],Input_TUNet_Props[Customer type],Calc_TUV_Net_1[[#This Row],[Customer type]],Input_TUNet_Props[Usage type],"Block 1"),0),
IFERROR(L222/100*SUMIFS(Input_TUNet_Props[F-NextVDO_Input],Input_TUNet_Props[Customer type],Calc_TUV_Net_1[[#This Row],[Customer type]],Input_TUNet_Props[Usage type],"Balance"),0),
IFERROR(L223/100*SUMIFS(Input_TUNet_Props[F-NextVDO_Input],Input_TUNet_Props[Customer type],Calc_TUV_Net_1[[#This Row],[Customer type]],Input_TUNet_Props[Usage type],"Single rate"),0))</f>
        <v>0</v>
      </c>
      <c r="M224" s="68">
        <f>SUMIFS(TUNet_Usage_Actual_1[Value],TUNet_Usage_Actual_1[Customer type],Calc_TUV_Net_1[[#This Row],[Customer type]],TUNet_Usage_Actual_1[Description],"Usage per customer")*SUM(
IFERROR(M221/100*SUMIFS(Input_TUNet_Props[F-NextVDO_Input],Input_TUNet_Props[Customer type],Calc_TUV_Net_1[[#This Row],[Customer type]],Input_TUNet_Props[Usage type],"Block 1"),0),
IFERROR(M222/100*SUMIFS(Input_TUNet_Props[F-NextVDO_Input],Input_TUNet_Props[Customer type],Calc_TUV_Net_1[[#This Row],[Customer type]],Input_TUNet_Props[Usage type],"Balance"),0),
IFERROR(M223/100*SUMIFS(Input_TUNet_Props[F-NextVDO_Input],Input_TUNet_Props[Customer type],Calc_TUV_Net_1[[#This Row],[Customer type]],Input_TUNet_Props[Usage type],"Single rate"),0))</f>
        <v>0</v>
      </c>
      <c r="N224" s="68">
        <f>SUMIFS(TUNet_Usage_Actual_1[Value],TUNet_Usage_Actual_1[Customer type],Calc_TUV_Net_1[[#This Row],[Customer type]],TUNet_Usage_Actual_1[Description],"Usage per customer")*SUM(
IFERROR(N221/100*SUMIFS(Input_TUNet_Props[F-NextVDO_Input],Input_TUNet_Props[Customer type],Calc_TUV_Net_1[[#This Row],[Customer type]],Input_TUNet_Props[Usage type],"Block 1"),0),
IFERROR(N222/100*SUMIFS(Input_TUNet_Props[F-NextVDO_Input],Input_TUNet_Props[Customer type],Calc_TUV_Net_1[[#This Row],[Customer type]],Input_TUNet_Props[Usage type],"Balance"),0),
IFERROR(N223/100*SUMIFS(Input_TUNet_Props[F-NextVDO_Input],Input_TUNet_Props[Customer type],Calc_TUV_Net_1[[#This Row],[Customer type]],Input_TUNet_Props[Usage type],"Single rate"),0))</f>
        <v>0</v>
      </c>
      <c r="O224" s="68">
        <f>SUMIFS(TUNet_Usage_Actual_1[Value],TUNet_Usage_Actual_1[Customer type],Calc_TUV_Net_1[[#This Row],[Customer type]],TUNet_Usage_Actual_1[Description],"Usage per customer")*SUM(
IFERROR(O221/100*SUMIFS(Input_TUNet_Props[F-NextVDO_Input],Input_TUNet_Props[Customer type],Calc_TUV_Net_1[[#This Row],[Customer type]],Input_TUNet_Props[Usage type],"Block 1"),0),
IFERROR(O222/100*SUMIFS(Input_TUNet_Props[F-NextVDO_Input],Input_TUNet_Props[Customer type],Calc_TUV_Net_1[[#This Row],[Customer type]],Input_TUNet_Props[Usage type],"Balance"),0),
IFERROR(O223/100*SUMIFS(Input_TUNet_Props[F-NextVDO_Input],Input_TUNet_Props[Customer type],Calc_TUV_Net_1[[#This Row],[Customer type]],Input_TUNet_Props[Usage type],"Single rate"),0))</f>
        <v>0</v>
      </c>
    </row>
    <row r="225" spans="2:17" hidden="1" x14ac:dyDescent="0.25">
      <c r="C225" s="60" t="s">
        <v>328</v>
      </c>
      <c r="D225" s="60"/>
      <c r="E225" s="60"/>
      <c r="F225" s="60"/>
      <c r="G225" s="60"/>
      <c r="H225" s="24" t="s">
        <v>139</v>
      </c>
      <c r="I225" s="24" t="s">
        <v>118</v>
      </c>
      <c r="J225" s="60" t="s">
        <v>101</v>
      </c>
      <c r="K225" s="66" t="str">
        <f>IF(K224=0,"-",K220-K224)</f>
        <v>-</v>
      </c>
      <c r="L225" s="66" t="str">
        <f t="shared" ref="L225:O225" si="55">IF(L224=0,"-",L220-L224)</f>
        <v>-</v>
      </c>
      <c r="M225" s="66" t="str">
        <f t="shared" si="55"/>
        <v>-</v>
      </c>
      <c r="N225" s="66" t="str">
        <f t="shared" si="55"/>
        <v>-</v>
      </c>
      <c r="O225" s="66" t="str">
        <f t="shared" si="55"/>
        <v>-</v>
      </c>
    </row>
    <row r="226" spans="2:17" hidden="1" x14ac:dyDescent="0.25">
      <c r="C226" s="60" t="s">
        <v>435</v>
      </c>
      <c r="D226" s="60"/>
      <c r="E226" s="60"/>
      <c r="F226" s="60"/>
      <c r="G226" s="60"/>
      <c r="H226" s="24" t="s">
        <v>139</v>
      </c>
      <c r="I226" s="24" t="s">
        <v>118</v>
      </c>
      <c r="J226" s="60" t="s">
        <v>101</v>
      </c>
      <c r="K226" s="67" t="str">
        <f>IFERROR(IF($D$11="Yes",K225*(1+WACC_adj_1),""),"-")</f>
        <v/>
      </c>
      <c r="L226" s="67" t="str">
        <f>IFERROR(IF($D$11="Yes",L225*(1+WACC_adj_1),""),"-")</f>
        <v/>
      </c>
      <c r="M226" s="67" t="str">
        <f>IFERROR(IF($D$11="Yes",M225*(1+WACC_adj_1),""),"-")</f>
        <v/>
      </c>
      <c r="N226" s="67" t="str">
        <f>IFERROR(IF($D$11="Yes",N225*(1+WACC_adj_1),""),"-")</f>
        <v/>
      </c>
      <c r="O226" s="67" t="str">
        <f>IFERROR(IF($D$11="Yes",O225*(1+WACC_adj_1),""),"-")</f>
        <v/>
      </c>
    </row>
    <row r="227" spans="2:17" hidden="1" x14ac:dyDescent="0.25">
      <c r="C227" s="60" t="s">
        <v>330</v>
      </c>
      <c r="D227" s="83" t="str">
        <f>INDEX(Input_DecisionActual[[Decision]:[Decision]],MATCH(Calc_TU_values!$D$5,Input_DecisionActual[[VDO period]:[VDO period]],0),1)</f>
        <v>VDO 2021 - Final</v>
      </c>
      <c r="E227" s="24" t="s">
        <v>525</v>
      </c>
      <c r="F227" s="83" t="str">
        <f>IF($D227="-","-",INDEX(Inputs!$H$10:$Q$10,1,MATCH($D227,Inputs!$H$8:$Q$8,0)))</f>
        <v>F-CurrentVDO_Input</v>
      </c>
      <c r="G227" s="60"/>
      <c r="H227" s="24" t="s">
        <v>139</v>
      </c>
      <c r="I227" s="24" t="s">
        <v>118</v>
      </c>
      <c r="J227" s="60" t="s">
        <v>101</v>
      </c>
      <c r="K227" s="67" cm="1">
        <f t="array" ref="K227">IFERROR(SUM(K225:K226)*(INDEX(Inputs!$H$11:$Q$127,MATCH("Retail operating margin",Input_ForRateCalc[[Cost item]:[Cost item]],0),MATCH(Calc_TUV_Net_1[[#This Row],[Decision ref]:[Decision ref]],Inputs!$H$10:$Q$10,0))),"-")</f>
        <v>0</v>
      </c>
      <c r="L227" s="67" cm="1">
        <f t="array" ref="L227">IFERROR(SUM(L225:L226)*(INDEX(Inputs!$H$11:$Q$127,MATCH("Retail operating margin",Input_ForRateCalc[[Cost item]:[Cost item]],0),MATCH(Calc_TUV_Net_1[[#This Row],[Decision ref]:[Decision ref]],Inputs!$H$10:$Q$10,0))),"-")</f>
        <v>0</v>
      </c>
      <c r="M227" s="67" cm="1">
        <f t="array" ref="M227">IFERROR(SUM(M225:M226)*(INDEX(Inputs!$H$11:$Q$127,MATCH("Retail operating margin",Input_ForRateCalc[[Cost item]:[Cost item]],0),MATCH(Calc_TUV_Net_1[[#This Row],[Decision ref]:[Decision ref]],Inputs!$H$10:$Q$10,0))),"-")</f>
        <v>0</v>
      </c>
      <c r="N227" s="67" cm="1">
        <f t="array" ref="N227">IFERROR(SUM(N225:N226)*(INDEX(Inputs!$H$11:$Q$127,MATCH("Retail operating margin",Input_ForRateCalc[[Cost item]:[Cost item]],0),MATCH(Calc_TUV_Net_1[[#This Row],[Decision ref]:[Decision ref]],Inputs!$H$10:$Q$10,0))),"-")</f>
        <v>0</v>
      </c>
      <c r="O227" s="67" cm="1">
        <f t="array" ref="O227">IFERROR(SUM(O225:O226)*(INDEX(Inputs!$H$11:$Q$127,MATCH("Retail operating margin",Input_ForRateCalc[[Cost item]:[Cost item]],0),MATCH(Calc_TUV_Net_1[[#This Row],[Decision ref]:[Decision ref]],Inputs!$H$10:$Q$10,0))),"-")</f>
        <v>0</v>
      </c>
    </row>
    <row r="228" spans="2:17" hidden="1" x14ac:dyDescent="0.25">
      <c r="C228" s="60" t="s">
        <v>436</v>
      </c>
      <c r="D228" s="60"/>
      <c r="E228" s="60"/>
      <c r="F228" s="60"/>
      <c r="G228" s="60"/>
      <c r="H228" s="24" t="s">
        <v>139</v>
      </c>
      <c r="I228" s="24" t="s">
        <v>118</v>
      </c>
      <c r="J228" s="60" t="s">
        <v>101</v>
      </c>
      <c r="K228" s="67" t="str">
        <f>IF(K224=0,"-",SUM(K225:K227)*GST)</f>
        <v>-</v>
      </c>
      <c r="L228" s="67" t="str">
        <f>IF(L224=0,"-",SUM(L225:L227)*GST)</f>
        <v>-</v>
      </c>
      <c r="M228" s="67" t="str">
        <f>IF(M224=0,"-",SUM(M225:M227)*GST)</f>
        <v>-</v>
      </c>
      <c r="N228" s="67" t="str">
        <f>IF(N224=0,"-",SUM(N225:N227)*GST)</f>
        <v>-</v>
      </c>
      <c r="O228" s="67" t="str">
        <f>IF(O224=0,"-",SUM(O225:O227)*GST)</f>
        <v>-</v>
      </c>
    </row>
    <row r="229" spans="2:17" hidden="1" x14ac:dyDescent="0.25">
      <c r="C229" s="24" t="s">
        <v>497</v>
      </c>
      <c r="D229" s="60"/>
      <c r="E229" s="60"/>
      <c r="F229" s="60"/>
      <c r="H229" s="24" t="s">
        <v>139</v>
      </c>
      <c r="I229" s="24" t="s">
        <v>118</v>
      </c>
      <c r="J229" s="60" t="s">
        <v>101</v>
      </c>
      <c r="K229" s="67" t="str">
        <f>IF(K224=0,"-",SUM(K225:K228))</f>
        <v>-</v>
      </c>
      <c r="L229" s="67" t="str">
        <f t="shared" ref="L229:O229" si="56">IF(L224=0,"-",SUM(L225:L228))</f>
        <v>-</v>
      </c>
      <c r="M229" s="67" t="str">
        <f t="shared" si="56"/>
        <v>-</v>
      </c>
      <c r="N229" s="67" t="str">
        <f t="shared" si="56"/>
        <v>-</v>
      </c>
      <c r="O229" s="67" t="str">
        <f t="shared" si="56"/>
        <v>-</v>
      </c>
    </row>
    <row r="230" spans="2:17" hidden="1" x14ac:dyDescent="0.25">
      <c r="C230" s="58"/>
      <c r="D230" s="58"/>
      <c r="E230" s="58"/>
      <c r="F230" s="58"/>
      <c r="G230" s="69"/>
      <c r="H230" s="69"/>
      <c r="I230" s="24"/>
      <c r="J230" s="24"/>
      <c r="K230" s="66"/>
      <c r="L230" s="24"/>
      <c r="M230" s="24"/>
      <c r="N230" s="24"/>
      <c r="O230" s="24"/>
    </row>
    <row r="231" spans="2:17" hidden="1" x14ac:dyDescent="0.25"/>
    <row r="232" spans="2:17" hidden="1" x14ac:dyDescent="0.25"/>
    <row r="233" spans="2:17" hidden="1" x14ac:dyDescent="0.25"/>
    <row r="235" spans="2:17" ht="15.75" x14ac:dyDescent="0.25">
      <c r="C235" s="55" t="s">
        <v>109</v>
      </c>
      <c r="D235" s="42" t="str">
        <f>Calc_Rates!$D$251</f>
        <v>VDO 2022 - Final</v>
      </c>
    </row>
    <row r="237" spans="2:17" ht="16.5" thickBot="1" x14ac:dyDescent="0.3">
      <c r="B237" s="9">
        <f ca="1">MAX(B$3:B236)+0.1</f>
        <v>13.299999999999999</v>
      </c>
      <c r="C237" s="34" t="s">
        <v>323</v>
      </c>
      <c r="D237" s="29"/>
      <c r="E237" s="29"/>
      <c r="F237" s="29"/>
      <c r="G237" s="29"/>
      <c r="H237" s="29"/>
      <c r="I237" s="29"/>
      <c r="J237" s="29"/>
      <c r="K237" s="29"/>
      <c r="L237" s="29"/>
      <c r="M237" s="29"/>
      <c r="N237" s="29"/>
      <c r="O237" s="29"/>
      <c r="P237" s="29"/>
      <c r="Q237" s="29"/>
    </row>
    <row r="238" spans="2:17" outlineLevel="1" x14ac:dyDescent="0.25"/>
    <row r="239" spans="2:17" ht="15.75" outlineLevel="1" x14ac:dyDescent="0.25">
      <c r="C239" s="55" t="s">
        <v>475</v>
      </c>
      <c r="D239" s="156">
        <v>12</v>
      </c>
      <c r="H239" s="43" t="s">
        <v>54</v>
      </c>
      <c r="I239" s="208" t="s">
        <v>111</v>
      </c>
      <c r="J239" s="208" t="s">
        <v>99</v>
      </c>
      <c r="K239" s="158" t="s">
        <v>277</v>
      </c>
      <c r="L239" s="158" t="s">
        <v>278</v>
      </c>
      <c r="M239" s="158" t="s">
        <v>279</v>
      </c>
      <c r="N239" s="158" t="s">
        <v>280</v>
      </c>
      <c r="O239" s="158" t="s">
        <v>281</v>
      </c>
      <c r="P239" s="51" t="s">
        <v>539</v>
      </c>
    </row>
    <row r="240" spans="2:17" ht="15.75" outlineLevel="1" x14ac:dyDescent="0.25">
      <c r="C240" s="55" t="s">
        <v>474</v>
      </c>
      <c r="D240" s="157">
        <f>D239/MiY</f>
        <v>1</v>
      </c>
      <c r="H240" s="60" t="s">
        <v>331</v>
      </c>
      <c r="I240" s="24" t="s">
        <v>140</v>
      </c>
      <c r="J240" s="60" t="s">
        <v>119</v>
      </c>
      <c r="K240" s="236">
        <f>INDEX(Calc_TUV_Env_2[[Ausnet]:[United Energy]],MATCH($H240,Calc_TUV_Env_2[[Cost item]:[Cost item]],0),MATCH(K$239,Calc_TUV_Env_2[[#Headers],[Ausnet]:[United Energy]],0))*1000</f>
        <v>-0.1290381301027009</v>
      </c>
      <c r="L240" s="236">
        <f>INDEX(Calc_TUV_Env_2[[Ausnet]:[United Energy]],MATCH($H240,Calc_TUV_Env_2[[Cost item]:[Cost item]],0),MATCH(L$239,Calc_TUV_Env_2[[#Headers],[Ausnet]:[United Energy]],0))*1000</f>
        <v>-0.126807719527189</v>
      </c>
      <c r="M240" s="236">
        <f>INDEX(Calc_TUV_Env_2[[Ausnet]:[United Energy]],MATCH($H240,Calc_TUV_Env_2[[Cost item]:[Cost item]],0),MATCH(M$239,Calc_TUV_Env_2[[#Headers],[Ausnet]:[United Energy]],0))*1000</f>
        <v>-0.12548304982466096</v>
      </c>
      <c r="N240" s="236">
        <f>INDEX(Calc_TUV_Env_2[[Ausnet]:[United Energy]],MATCH($H240,Calc_TUV_Env_2[[Cost item]:[Cost item]],0),MATCH(N$239,Calc_TUV_Env_2[[#Headers],[Ausnet]:[United Energy]],0))*1000</f>
        <v>-0.12952664283442072</v>
      </c>
      <c r="O240" s="236">
        <f>INDEX(Calc_TUV_Env_2[[Ausnet]:[United Energy]],MATCH($H240,Calc_TUV_Env_2[[Cost item]:[Cost item]],0),MATCH(O$239,Calc_TUV_Env_2[[#Headers],[Ausnet]:[United Energy]],0))*1000</f>
        <v>-0.12727026118886395</v>
      </c>
      <c r="P240" s="236">
        <f>AVERAGE(K240:O240)</f>
        <v>-0.12762516069556712</v>
      </c>
    </row>
    <row r="241" spans="3:20" outlineLevel="1" x14ac:dyDescent="0.25">
      <c r="H241" s="60" t="s">
        <v>333</v>
      </c>
      <c r="I241" s="24" t="s">
        <v>140</v>
      </c>
      <c r="J241" s="60" t="s">
        <v>119</v>
      </c>
      <c r="K241" s="236">
        <f>INDEX(Calc_TUV_Env_2[[Ausnet]:[United Energy]],MATCH($H241,Calc_TUV_Env_2[[Cost item]:[Cost item]],0),MATCH(K$239,Calc_TUV_Env_2[[#Headers],[Ausnet]:[United Energy]],0))*1000</f>
        <v>3.4352084792230904</v>
      </c>
      <c r="L241" s="236">
        <f>INDEX(Calc_TUV_Env_2[[Ausnet]:[United Energy]],MATCH($H241,Calc_TUV_Env_2[[Cost item]:[Cost item]],0),MATCH(L$239,Calc_TUV_Env_2[[#Headers],[Ausnet]:[United Energy]],0))*1000</f>
        <v>3.3758312601402558</v>
      </c>
      <c r="M241" s="236">
        <f>INDEX(Calc_TUV_Env_2[[Ausnet]:[United Energy]],MATCH($H241,Calc_TUV_Env_2[[Cost item]:[Cost item]],0),MATCH(M$239,Calc_TUV_Env_2[[#Headers],[Ausnet]:[United Energy]],0))*1000</f>
        <v>3.3405663613799246</v>
      </c>
      <c r="N241" s="236">
        <f>INDEX(Calc_TUV_Env_2[[Ausnet]:[United Energy]],MATCH($H241,Calc_TUV_Env_2[[Cost item]:[Cost item]],0),MATCH(N$239,Calc_TUV_Env_2[[#Headers],[Ausnet]:[United Energy]],0))*1000</f>
        <v>3.4482134962430728</v>
      </c>
      <c r="O241" s="236">
        <f>INDEX(Calc_TUV_Env_2[[Ausnet]:[United Energy]],MATCH($H241,Calc_TUV_Env_2[[Cost item]:[Cost item]],0),MATCH(O$239,Calc_TUV_Env_2[[#Headers],[Ausnet]:[United Energy]],0))*1000</f>
        <v>3.3881448843140962</v>
      </c>
      <c r="P241" s="236">
        <f t="shared" ref="P241:P242" si="57">AVERAGE(K241:O241)</f>
        <v>3.3975928962600874</v>
      </c>
    </row>
    <row r="242" spans="3:20" outlineLevel="1" x14ac:dyDescent="0.25">
      <c r="H242" s="149" t="s">
        <v>335</v>
      </c>
      <c r="I242" s="24" t="s">
        <v>140</v>
      </c>
      <c r="J242" s="60" t="s">
        <v>119</v>
      </c>
      <c r="K242" s="236">
        <f>INDEX(Calc_TUV_Env_2[[Ausnet]:[United Energy]],MATCH($H242,Calc_TUV_Env_2[[Cost item]:[Cost item]],0),MATCH(K$239,Calc_TUV_Env_2[[#Headers],[Ausnet]:[United Energy]],0))*1000</f>
        <v>0</v>
      </c>
      <c r="L242" s="236">
        <f>INDEX(Calc_TUV_Env_2[[Ausnet]:[United Energy]],MATCH($H242,Calc_TUV_Env_2[[Cost item]:[Cost item]],0),MATCH(L$239,Calc_TUV_Env_2[[#Headers],[Ausnet]:[United Energy]],0))*1000</f>
        <v>0</v>
      </c>
      <c r="M242" s="236">
        <f>INDEX(Calc_TUV_Env_2[[Ausnet]:[United Energy]],MATCH($H242,Calc_TUV_Env_2[[Cost item]:[Cost item]],0),MATCH(M$239,Calc_TUV_Env_2[[#Headers],[Ausnet]:[United Energy]],0))*1000</f>
        <v>0</v>
      </c>
      <c r="N242" s="236">
        <f>INDEX(Calc_TUV_Env_2[[Ausnet]:[United Energy]],MATCH($H242,Calc_TUV_Env_2[[Cost item]:[Cost item]],0),MATCH(N$239,Calc_TUV_Env_2[[#Headers],[Ausnet]:[United Energy]],0))*1000</f>
        <v>0</v>
      </c>
      <c r="O242" s="236">
        <f>INDEX(Calc_TUV_Env_2[[Ausnet]:[United Energy]],MATCH($H242,Calc_TUV_Env_2[[Cost item]:[Cost item]],0),MATCH(O$239,Calc_TUV_Env_2[[#Headers],[Ausnet]:[United Energy]],0))*1000</f>
        <v>0</v>
      </c>
      <c r="P242" s="236">
        <f t="shared" si="57"/>
        <v>0</v>
      </c>
    </row>
    <row r="243" spans="3:20" ht="15.75" hidden="1" outlineLevel="1" x14ac:dyDescent="0.25">
      <c r="C243" s="55" t="s">
        <v>435</v>
      </c>
      <c r="D243" s="156" t="s">
        <v>326</v>
      </c>
      <c r="H243" s="150"/>
      <c r="I243" s="24"/>
      <c r="J243" s="60"/>
      <c r="K243" s="236"/>
      <c r="L243" s="236"/>
      <c r="M243" s="236"/>
      <c r="N243" s="236"/>
      <c r="O243" s="236"/>
      <c r="P243" s="236"/>
    </row>
    <row r="244" spans="3:20" ht="15.75" hidden="1" outlineLevel="1" x14ac:dyDescent="0.25">
      <c r="C244" s="55" t="s">
        <v>517</v>
      </c>
      <c r="D244" s="157">
        <f>(1+WACC)^(1/1)-1</f>
        <v>6.5500000000000114E-2</v>
      </c>
    </row>
    <row r="245" spans="3:20" outlineLevel="1" x14ac:dyDescent="0.25"/>
    <row r="246" spans="3:20" ht="15.75" outlineLevel="1" x14ac:dyDescent="0.25">
      <c r="C246" s="30" t="s">
        <v>581</v>
      </c>
    </row>
    <row r="247" spans="3:20" ht="15.75" outlineLevel="1" x14ac:dyDescent="0.25">
      <c r="C247" s="44" t="s">
        <v>54</v>
      </c>
      <c r="D247" s="44" t="s">
        <v>109</v>
      </c>
      <c r="E247" s="44" t="s">
        <v>523</v>
      </c>
      <c r="F247" s="44" t="s">
        <v>526</v>
      </c>
      <c r="G247" s="44" t="s">
        <v>324</v>
      </c>
      <c r="H247" s="44" t="s">
        <v>110</v>
      </c>
      <c r="I247" s="44" t="s">
        <v>111</v>
      </c>
      <c r="J247" s="43" t="s">
        <v>99</v>
      </c>
      <c r="K247" s="61" t="s">
        <v>277</v>
      </c>
      <c r="L247" s="61" t="s">
        <v>278</v>
      </c>
      <c r="M247" s="61" t="s">
        <v>279</v>
      </c>
      <c r="N247" s="61" t="s">
        <v>280</v>
      </c>
      <c r="O247" s="61" t="s">
        <v>281</v>
      </c>
    </row>
    <row r="248" spans="3:20" outlineLevel="1" x14ac:dyDescent="0.25">
      <c r="C248" s="24"/>
      <c r="D248" s="24"/>
      <c r="E248" s="24"/>
      <c r="F248" s="24"/>
      <c r="G248" s="24"/>
      <c r="H248" s="24"/>
      <c r="I248" s="24"/>
      <c r="J248" s="24"/>
      <c r="K248" s="24"/>
      <c r="L248" s="24"/>
      <c r="M248" s="24"/>
      <c r="N248" s="24"/>
      <c r="O248" s="24"/>
    </row>
    <row r="249" spans="3:20" outlineLevel="1" x14ac:dyDescent="0.25">
      <c r="C249" s="58" t="s">
        <v>325</v>
      </c>
      <c r="D249" s="58"/>
      <c r="E249" s="58"/>
      <c r="F249" s="58"/>
      <c r="G249" s="69" t="s">
        <v>570</v>
      </c>
      <c r="H249" s="69"/>
      <c r="I249" s="24"/>
      <c r="J249" s="24"/>
      <c r="K249" s="24"/>
      <c r="L249" s="24"/>
      <c r="M249" s="24"/>
      <c r="N249" s="24"/>
      <c r="O249" s="24"/>
    </row>
    <row r="250" spans="3:20" outlineLevel="1" x14ac:dyDescent="0.25">
      <c r="C250" s="24" t="s">
        <v>163</v>
      </c>
      <c r="D250" s="83" t="str">
        <f>Calc_TU_values!$D$235</f>
        <v>VDO 2022 - Final</v>
      </c>
      <c r="E250" s="24" t="s">
        <v>524</v>
      </c>
      <c r="F250" s="83" t="str">
        <f>INDEX(Inputs!$H$10:$Q$10,1,MATCH($D250,Inputs!$H$8:$Q$8,0))</f>
        <v>F-NextVDO_Input</v>
      </c>
      <c r="G250" s="59"/>
      <c r="H250" s="24" t="s">
        <v>139</v>
      </c>
      <c r="I250" s="24" t="s">
        <v>162</v>
      </c>
      <c r="J250" s="60" t="s">
        <v>119</v>
      </c>
      <c r="K250" s="66">
        <f>IFERROR(INDEX(Input_TUEnv_Actual[],MATCH($C250,Input_TUEnv_Actual[Cost item],0),MATCH($F250,Input_TUEnv_Actual[#Headers],0)),"-")</f>
        <v>35.75</v>
      </c>
      <c r="L250" s="66">
        <f>IFERROR(INDEX(Input_TUEnv_Actual[],MATCH($C250,Input_TUEnv_Actual[Cost item],0),MATCH($F250,Input_TUEnv_Actual[#Headers],0)),"-")</f>
        <v>35.75</v>
      </c>
      <c r="M250" s="66">
        <f>IFERROR(INDEX(Input_TUEnv_Actual[],MATCH($C250,Input_TUEnv_Actual[Cost item],0),MATCH($F250,Input_TUEnv_Actual[#Headers],0)),"-")</f>
        <v>35.75</v>
      </c>
      <c r="N250" s="66">
        <f>IFERROR(INDEX(Input_TUEnv_Actual[],MATCH($C250,Input_TUEnv_Actual[Cost item],0),MATCH($F250,Input_TUEnv_Actual[#Headers],0)),"-")</f>
        <v>35.75</v>
      </c>
      <c r="O250" s="66">
        <f>IFERROR(INDEX(Input_TUEnv_Actual[],MATCH($C250,Input_TUEnv_Actual[Cost item],0),MATCH($F250,Input_TUEnv_Actual[#Headers],0)),"-")</f>
        <v>35.75</v>
      </c>
    </row>
    <row r="251" spans="3:20" outlineLevel="1" x14ac:dyDescent="0.25">
      <c r="C251" s="24" t="s">
        <v>167</v>
      </c>
      <c r="D251" s="83" t="str">
        <f>Calc_TU_values!$D$235</f>
        <v>VDO 2022 - Final</v>
      </c>
      <c r="E251" s="24" t="s">
        <v>524</v>
      </c>
      <c r="F251" s="83" t="str">
        <f>INDEX(Inputs!$H$10:$Q$10,1,MATCH($D251,Inputs!$H$8:$Q$8,0))</f>
        <v>F-NextVDO_Input</v>
      </c>
      <c r="G251" s="59"/>
      <c r="H251" s="24" t="s">
        <v>139</v>
      </c>
      <c r="I251" s="24" t="s">
        <v>166</v>
      </c>
      <c r="J251" s="60" t="s">
        <v>119</v>
      </c>
      <c r="K251" s="68">
        <f>IFERROR(INDEX(Input_TUEnv_Actual[],MATCH($C251,Input_TUEnv_Actual[Cost item],0),MATCH($F251,Input_TUEnv_Actual[#Headers],0)),"-")</f>
        <v>0.18540000000000001</v>
      </c>
      <c r="L251" s="68">
        <f>IFERROR(INDEX(Input_TUEnv_Actual[],MATCH($C251,Input_TUEnv_Actual[Cost item],0),MATCH($F251,Input_TUEnv_Actual[#Headers],0)),"-")</f>
        <v>0.18540000000000001</v>
      </c>
      <c r="M251" s="68">
        <f>IFERROR(INDEX(Input_TUEnv_Actual[],MATCH($C251,Input_TUEnv_Actual[Cost item],0),MATCH($F251,Input_TUEnv_Actual[#Headers],0)),"-")</f>
        <v>0.18540000000000001</v>
      </c>
      <c r="N251" s="68">
        <f>IFERROR(INDEX(Input_TUEnv_Actual[],MATCH($C251,Input_TUEnv_Actual[Cost item],0),MATCH($F251,Input_TUEnv_Actual[#Headers],0)),"-")</f>
        <v>0.18540000000000001</v>
      </c>
      <c r="O251" s="68">
        <f>IFERROR(INDEX(Input_TUEnv_Actual[],MATCH($C251,Input_TUEnv_Actual[Cost item],0),MATCH($F251,Input_TUEnv_Actual[#Headers],0)),"-")</f>
        <v>0.18540000000000001</v>
      </c>
    </row>
    <row r="252" spans="3:20" outlineLevel="1" x14ac:dyDescent="0.25">
      <c r="C252" s="24" t="s">
        <v>327</v>
      </c>
      <c r="D252" s="83" t="str">
        <f>Calc_TU_values!$D$235</f>
        <v>VDO 2022 - Final</v>
      </c>
      <c r="E252" s="24" t="s">
        <v>524</v>
      </c>
      <c r="F252" s="83" t="str">
        <f>INDEX(Inputs!$H$10:$Q$10,1,MATCH($D252,Inputs!$H$8:$Q$8,0))</f>
        <v>F-NextVDO_Input</v>
      </c>
      <c r="G252" s="59"/>
      <c r="H252" s="24" t="s">
        <v>139</v>
      </c>
      <c r="I252" s="24" t="s">
        <v>291</v>
      </c>
      <c r="J252" s="60" t="s">
        <v>119</v>
      </c>
      <c r="K252" s="65">
        <f>K250*K251/1000</f>
        <v>6.6280499999999999E-3</v>
      </c>
      <c r="L252" s="65">
        <f t="shared" ref="L252" si="58">L250*L251/1000</f>
        <v>6.6280499999999999E-3</v>
      </c>
      <c r="M252" s="65">
        <f t="shared" ref="M252" si="59">M250*M251/1000</f>
        <v>6.6280499999999999E-3</v>
      </c>
      <c r="N252" s="65">
        <f t="shared" ref="N252" si="60">N250*N251/1000</f>
        <v>6.6280499999999999E-3</v>
      </c>
      <c r="O252" s="65">
        <f t="shared" ref="O252" si="61">O250*O251/1000</f>
        <v>6.6280499999999999E-3</v>
      </c>
    </row>
    <row r="253" spans="3:20" outlineLevel="1" x14ac:dyDescent="0.25">
      <c r="C253" s="24" t="s">
        <v>163</v>
      </c>
      <c r="D253" s="83" t="str">
        <f>INDEX(Input_DecisionActual[[Decision]:[Decision]],MATCH(Calc_TU_values!$D$235,Input_DecisionActual[[VDO period]:[VDO period]],0),1)</f>
        <v>VDO 2021 - Final</v>
      </c>
      <c r="E253" s="24" t="s">
        <v>525</v>
      </c>
      <c r="F253" s="83" t="str">
        <f>IF($D253="-","-",INDEX(Inputs!$H$10:$Q$10,1,MATCH($D253,Inputs!$H$8:$Q$8,0)))</f>
        <v>F-CurrentVDO_Input</v>
      </c>
      <c r="G253" s="59"/>
      <c r="H253" s="24" t="s">
        <v>139</v>
      </c>
      <c r="I253" s="24" t="s">
        <v>162</v>
      </c>
      <c r="J253" s="60" t="s">
        <v>119</v>
      </c>
      <c r="K253" s="67">
        <f>IFERROR(INDEX(Inputs!$H$11:$Q$127,MATCH($C253,Input_ForRateCalc[Cost item],0),MATCH($F253,Inputs!$H$10:$Q$10,0)),"-")</f>
        <v>35.75</v>
      </c>
      <c r="L253" s="67">
        <f>IFERROR(INDEX(Inputs!$H$11:$Q$127,MATCH($C253,Input_ForRateCalc[Cost item],0),MATCH($F253,Inputs!$H$10:$Q$10,0)),"-")</f>
        <v>35.75</v>
      </c>
      <c r="M253" s="67">
        <f>IFERROR(INDEX(Inputs!$H$11:$Q$127,MATCH($C253,Input_ForRateCalc[Cost item],0),MATCH($F253,Inputs!$H$10:$Q$10,0)),"-")</f>
        <v>35.75</v>
      </c>
      <c r="N253" s="67">
        <f>IFERROR(INDEX(Inputs!$H$11:$Q$127,MATCH($C253,Input_ForRateCalc[Cost item],0),MATCH($F253,Inputs!$H$10:$Q$10,0)),"-")</f>
        <v>35.75</v>
      </c>
      <c r="O253" s="67">
        <f>IFERROR(INDEX(Inputs!$H$11:$Q$127,MATCH($C253,Input_ForRateCalc[Cost item],0),MATCH($F253,Inputs!$H$10:$Q$10,0)),"-")</f>
        <v>35.75</v>
      </c>
    </row>
    <row r="254" spans="3:20" outlineLevel="1" x14ac:dyDescent="0.25">
      <c r="C254" s="24" t="s">
        <v>167</v>
      </c>
      <c r="D254" s="83" t="str">
        <f>INDEX(Input_DecisionActual[[Decision]:[Decision]],MATCH(Calc_TU_values!$D$235,Input_DecisionActual[[VDO period]:[VDO period]],0),1)</f>
        <v>VDO 2021 - Final</v>
      </c>
      <c r="E254" s="24" t="s">
        <v>525</v>
      </c>
      <c r="F254" s="83" t="str">
        <f>IF($D254="-","-",INDEX(Inputs!$H$10:$Q$10,1,MATCH($D254,Inputs!$H$8:$Q$8,0)))</f>
        <v>F-CurrentVDO_Input</v>
      </c>
      <c r="G254" s="59"/>
      <c r="H254" s="24" t="s">
        <v>139</v>
      </c>
      <c r="I254" s="24" t="s">
        <v>166</v>
      </c>
      <c r="J254" s="60" t="s">
        <v>119</v>
      </c>
      <c r="K254" s="68">
        <f>IFERROR(INDEX(Inputs!$H$11:$Q$127,MATCH($C254,Input_ForRateCalc[Cost item],0),MATCH($F254,Inputs!$H$10:$Q$10,0)),"-")</f>
        <v>0.1883</v>
      </c>
      <c r="L254" s="68">
        <f>IFERROR(INDEX(Inputs!$H$11:$Q$127,MATCH($C254,Input_ForRateCalc[Cost item],0),MATCH($F254,Inputs!$H$10:$Q$10,0)),"-")</f>
        <v>0.1883</v>
      </c>
      <c r="M254" s="68">
        <f>IFERROR(INDEX(Inputs!$H$11:$Q$127,MATCH($C254,Input_ForRateCalc[Cost item],0),MATCH($F254,Inputs!$H$10:$Q$10,0)),"-")</f>
        <v>0.1883</v>
      </c>
      <c r="N254" s="68">
        <f>IFERROR(INDEX(Inputs!$H$11:$Q$127,MATCH($C254,Input_ForRateCalc[Cost item],0),MATCH($F254,Inputs!$H$10:$Q$10,0)),"-")</f>
        <v>0.1883</v>
      </c>
      <c r="O254" s="68">
        <f>IFERROR(INDEX(Inputs!$H$11:$Q$127,MATCH($C254,Input_ForRateCalc[Cost item],0),MATCH($F254,Inputs!$H$10:$Q$10,0)),"-")</f>
        <v>0.1883</v>
      </c>
      <c r="T254" s="124"/>
    </row>
    <row r="255" spans="3:20" outlineLevel="1" x14ac:dyDescent="0.25">
      <c r="C255" s="24" t="s">
        <v>327</v>
      </c>
      <c r="D255" s="83" t="str">
        <f>INDEX(Input_DecisionActual[[Decision]:[Decision]],MATCH(Calc_TU_values!$D$235,Input_DecisionActual[[VDO period]:[VDO period]],0),1)</f>
        <v>VDO 2021 - Final</v>
      </c>
      <c r="E255" s="24" t="s">
        <v>525</v>
      </c>
      <c r="F255" s="83" t="str">
        <f>IF($D255="-","-",INDEX(Inputs!$H$10:$Q$10,1,MATCH($D255,Inputs!$H$8:$Q$8,0)))</f>
        <v>F-CurrentVDO_Input</v>
      </c>
      <c r="G255" s="59"/>
      <c r="H255" s="24" t="s">
        <v>139</v>
      </c>
      <c r="I255" s="24" t="s">
        <v>291</v>
      </c>
      <c r="J255" s="60" t="s">
        <v>119</v>
      </c>
      <c r="K255" s="65">
        <f>IFERROR(K253*K254/1000,"-")</f>
        <v>6.731725E-3</v>
      </c>
      <c r="L255" s="65">
        <f t="shared" ref="L255" si="62">IFERROR(L253*L254/1000,"-")</f>
        <v>6.731725E-3</v>
      </c>
      <c r="M255" s="65">
        <f t="shared" ref="M255" si="63">IFERROR(M253*M254/1000,"-")</f>
        <v>6.731725E-3</v>
      </c>
      <c r="N255" s="65">
        <f t="shared" ref="N255" si="64">IFERROR(N253*N254/1000,"-")</f>
        <v>6.731725E-3</v>
      </c>
      <c r="O255" s="65">
        <f t="shared" ref="O255" si="65">IFERROR(O253*O254/1000,"-")</f>
        <v>6.731725E-3</v>
      </c>
    </row>
    <row r="256" spans="3:20" outlineLevel="1" x14ac:dyDescent="0.25">
      <c r="C256" s="24" t="s">
        <v>328</v>
      </c>
      <c r="D256" s="24"/>
      <c r="E256" s="24"/>
      <c r="F256" s="24"/>
      <c r="G256" s="24"/>
      <c r="H256" s="24" t="s">
        <v>139</v>
      </c>
      <c r="I256" s="24" t="s">
        <v>291</v>
      </c>
      <c r="J256" s="24" t="s">
        <v>119</v>
      </c>
      <c r="K256" s="131">
        <f>IFERROR(K252-K255,"-")</f>
        <v>-1.0367500000000012E-4</v>
      </c>
      <c r="L256" s="131">
        <f t="shared" ref="L256" si="66">IFERROR(L252-L255,"-")</f>
        <v>-1.0367500000000012E-4</v>
      </c>
      <c r="M256" s="131">
        <f t="shared" ref="M256" si="67">IFERROR(M252-M255,"-")</f>
        <v>-1.0367500000000012E-4</v>
      </c>
      <c r="N256" s="131">
        <f t="shared" ref="N256" si="68">IFERROR(N252-N255,"-")</f>
        <v>-1.0367500000000012E-4</v>
      </c>
      <c r="O256" s="131">
        <f t="shared" ref="O256" si="69">IFERROR(O252-O255,"-")</f>
        <v>-1.0367500000000012E-4</v>
      </c>
      <c r="Q256" s="147"/>
    </row>
    <row r="257" spans="3:20" outlineLevel="1" x14ac:dyDescent="0.25">
      <c r="C257" s="24" t="s">
        <v>329</v>
      </c>
      <c r="D257" s="83" t="str">
        <f>INDEX(Input_DecisionActual[[Decision]:[Decision]],MATCH(Calc_TU_values!$D$235,Input_DecisionActual[[VDO period]:[VDO period]],0),1)</f>
        <v>VDO 2021 - Final</v>
      </c>
      <c r="E257" s="24" t="s">
        <v>525</v>
      </c>
      <c r="F257" s="83" t="str">
        <f>IF($D257="-","-",INDEX(Inputs!$H$10:$Q$10,1,MATCH($D257,Inputs!$H$8:$Q$8,0)))</f>
        <v>F-CurrentVDO_Input</v>
      </c>
      <c r="G257" s="24"/>
      <c r="H257" s="24" t="s">
        <v>139</v>
      </c>
      <c r="I257" s="24" t="s">
        <v>291</v>
      </c>
      <c r="J257" s="24" t="s">
        <v>119</v>
      </c>
      <c r="K257" s="132">
        <f>IFERROR(K256*(INDEX(Inputs!$H$11:$Q$127,MATCH("Marginal loss factor - "&amp;K$15,Input_ForRateCalc[Cost item],0),MATCH($F257,Inputs!$H$10:$Q$10,0))*INDEX(Inputs!$H$11:$Q$127,MATCH("Distribution loss factor - "&amp;K$15,Input_ForRateCalc[Cost item],0),MATCH($F257,Inputs!$H$10:$Q$10,0))-1),"-")</f>
        <v>-6.9506044911874978E-6</v>
      </c>
      <c r="L257" s="132">
        <f>IFERROR(L256*(INDEX(Inputs!$H$11:$Q$127,MATCH("Marginal loss factor - "&amp;L$15,Input_ForRateCalc[Cost item],0),MATCH($F257,Inputs!$H$10:$Q$10,0))*INDEX(Inputs!$H$11:$Q$127,MATCH("Distribution loss factor - "&amp;L$15,Input_ForRateCalc[Cost item],0),MATCH($F257,Inputs!$H$10:$Q$10,0))-1),"-")</f>
        <v>-5.0384524940750005E-6</v>
      </c>
      <c r="M257" s="132">
        <f>IFERROR(M256*(INDEX(Inputs!$H$11:$Q$127,MATCH("Marginal loss factor - "&amp;M$15,Input_ForRateCalc[Cost item],0),MATCH($F257,Inputs!$H$10:$Q$10,0))*INDEX(Inputs!$H$11:$Q$127,MATCH("Distribution loss factor - "&amp;M$15,Input_ForRateCalc[Cost item],0),MATCH($F257,Inputs!$H$10:$Q$10,0))-1),"-")</f>
        <v>-3.9028006795555839E-6</v>
      </c>
      <c r="N257" s="132">
        <f>IFERROR(N256*(INDEX(Inputs!$H$11:$Q$127,MATCH("Marginal loss factor - "&amp;N$15,Input_ForRateCalc[Cost item],0),MATCH($F257,Inputs!$H$10:$Q$10,0))*INDEX(Inputs!$H$11:$Q$127,MATCH("Distribution loss factor - "&amp;N$15,Input_ForRateCalc[Cost item],0),MATCH($F257,Inputs!$H$10:$Q$10,0))-1),"-")</f>
        <v>-7.3694110579374731E-6</v>
      </c>
      <c r="O257" s="132">
        <f>IFERROR(O256*(INDEX(Inputs!$H$11:$Q$127,MATCH("Marginal loss factor - "&amp;O$15,Input_ForRateCalc[Cost item],0),MATCH($F257,Inputs!$H$10:$Q$10,0))*INDEX(Inputs!$H$11:$Q$127,MATCH("Distribution loss factor - "&amp;O$15,Input_ForRateCalc[Cost item],0),MATCH($F257,Inputs!$H$10:$Q$10,0))-1),"-")</f>
        <v>-5.4349938178250232E-6</v>
      </c>
      <c r="T257" s="109"/>
    </row>
    <row r="258" spans="3:20" hidden="1" outlineLevel="1" x14ac:dyDescent="0.25">
      <c r="C258" s="24" t="s">
        <v>435</v>
      </c>
      <c r="D258" s="24"/>
      <c r="E258" s="24"/>
      <c r="F258" s="24"/>
      <c r="G258" s="24"/>
      <c r="H258" s="24" t="s">
        <v>139</v>
      </c>
      <c r="I258" s="24" t="s">
        <v>291</v>
      </c>
      <c r="J258" s="24" t="s">
        <v>119</v>
      </c>
      <c r="K258" s="132" t="str">
        <f>IF($D$243="Yes",SUM(K256:K257)*$D$244,"")</f>
        <v/>
      </c>
      <c r="L258" s="132" t="str">
        <f>IF($D$243="Yes",SUM(L256:L257)*$D$244,"")</f>
        <v/>
      </c>
      <c r="M258" s="132" t="str">
        <f>IF($D$243="Yes",SUM(M256:M257)*$D$244,"")</f>
        <v/>
      </c>
      <c r="N258" s="132" t="str">
        <f>IF($D$243="Yes",SUM(N256:N257)*$D$244,"")</f>
        <v/>
      </c>
      <c r="O258" s="132" t="str">
        <f>IF($D$243="Yes",SUM(O256:O257)*$D$244,"")</f>
        <v/>
      </c>
    </row>
    <row r="259" spans="3:20" outlineLevel="1" x14ac:dyDescent="0.25">
      <c r="C259" s="24" t="s">
        <v>330</v>
      </c>
      <c r="D259" s="83" t="str">
        <f>INDEX(Input_DecisionActual[[Decision]:[Decision]],MATCH(Calc_TU_values!$D$235,Input_DecisionActual[[VDO period]:[VDO period]],0),1)</f>
        <v>VDO 2021 - Final</v>
      </c>
      <c r="E259" s="24" t="s">
        <v>525</v>
      </c>
      <c r="F259" s="83" t="str">
        <f>IF($D259="-","-",INDEX(Inputs!$H$10:$Q$10,1,MATCH($D259,Inputs!$H$8:$Q$8,0)))</f>
        <v>F-CurrentVDO_Input</v>
      </c>
      <c r="G259" s="24"/>
      <c r="H259" s="24" t="s">
        <v>139</v>
      </c>
      <c r="I259" s="24" t="s">
        <v>291</v>
      </c>
      <c r="J259" s="24" t="s">
        <v>119</v>
      </c>
      <c r="K259" s="132">
        <f>IFERROR(SUM(K256:K258)*(INDEX(Inputs!$H$11:$Q$127,MATCH("Retail operating margin",Input_ForRateCalc[Cost item],0),MATCH($F259,Inputs!$H$10:$Q$10,0))),"-")</f>
        <v>-6.6817865112677327E-6</v>
      </c>
      <c r="L259" s="132">
        <f>IFERROR(SUM(L256:L258)*(INDEX(Inputs!$H$11:$Q$127,MATCH("Retail operating margin",Input_ForRateCalc[Cost item],0),MATCH($F259,Inputs!$H$10:$Q$10,0))),"-")</f>
        <v>-6.5662925306421373E-6</v>
      </c>
      <c r="M259" s="132">
        <f>IFERROR(SUM(M256:M258)*(INDEX(Inputs!$H$11:$Q$127,MATCH("Retail operating margin",Input_ForRateCalc[Cost item],0),MATCH($F259,Inputs!$H$10:$Q$10,0))),"-")</f>
        <v>-6.4976991610451649E-6</v>
      </c>
      <c r="N259" s="132">
        <f>IFERROR(SUM(N256:N258)*(INDEX(Inputs!$H$11:$Q$127,MATCH("Retail operating margin",Input_ForRateCalc[Cost item],0),MATCH($F259,Inputs!$H$10:$Q$10,0))),"-")</f>
        <v>-6.7070824278994308E-6</v>
      </c>
      <c r="O259" s="132">
        <f>IFERROR(SUM(O256:O258)*(INDEX(Inputs!$H$11:$Q$127,MATCH("Retail operating margin",Input_ForRateCalc[Cost item],0),MATCH($F259,Inputs!$H$10:$Q$10,0))),"-")</f>
        <v>-6.5902436265966387E-6</v>
      </c>
    </row>
    <row r="260" spans="3:20" outlineLevel="1" x14ac:dyDescent="0.25">
      <c r="C260" s="24" t="s">
        <v>436</v>
      </c>
      <c r="D260" s="24"/>
      <c r="E260" s="24"/>
      <c r="F260" s="24"/>
      <c r="G260" s="24"/>
      <c r="H260" s="24" t="s">
        <v>139</v>
      </c>
      <c r="I260" s="24" t="s">
        <v>291</v>
      </c>
      <c r="J260" s="24" t="s">
        <v>119</v>
      </c>
      <c r="K260" s="132">
        <f>SUM(K256:K259)*GST</f>
        <v>-1.1730739100245536E-5</v>
      </c>
      <c r="L260" s="132">
        <f>SUM(L256:L259)*GST</f>
        <v>-1.1527974502471726E-5</v>
      </c>
      <c r="M260" s="132">
        <f>SUM(M256:M259)*GST</f>
        <v>-1.1407549984060087E-5</v>
      </c>
      <c r="N260" s="132">
        <f>SUM(N256:N259)*GST</f>
        <v>-1.1775149348583703E-5</v>
      </c>
      <c r="O260" s="132">
        <f>SUM(O256:O259)*GST</f>
        <v>-1.1570023744442179E-5</v>
      </c>
    </row>
    <row r="261" spans="3:20" outlineLevel="1" x14ac:dyDescent="0.25">
      <c r="C261" s="60" t="s">
        <v>331</v>
      </c>
      <c r="D261" s="60"/>
      <c r="E261" s="60"/>
      <c r="F261" s="60"/>
      <c r="H261" s="60" t="s">
        <v>139</v>
      </c>
      <c r="I261" s="60" t="s">
        <v>291</v>
      </c>
      <c r="J261" s="60" t="s">
        <v>119</v>
      </c>
      <c r="K261" s="132">
        <f>SUM(K256:K260)</f>
        <v>-1.290381301027009E-4</v>
      </c>
      <c r="L261" s="132">
        <f t="shared" ref="L261" si="70">SUM(L256:L260)</f>
        <v>-1.2680771952718899E-4</v>
      </c>
      <c r="M261" s="132">
        <f t="shared" ref="M261" si="71">SUM(M256:M260)</f>
        <v>-1.2548304982466096E-4</v>
      </c>
      <c r="N261" s="132">
        <f t="shared" ref="N261" si="72">SUM(N256:N260)</f>
        <v>-1.2952664283442074E-4</v>
      </c>
      <c r="O261" s="132">
        <f t="shared" ref="O261" si="73">SUM(O256:O260)</f>
        <v>-1.2727026118886396E-4</v>
      </c>
    </row>
    <row r="262" spans="3:20" outlineLevel="1" x14ac:dyDescent="0.25">
      <c r="C262" s="24"/>
      <c r="D262" s="24"/>
      <c r="E262" s="24"/>
      <c r="F262" s="24"/>
      <c r="G262" s="24"/>
      <c r="H262" s="24"/>
      <c r="I262" s="24"/>
      <c r="J262" s="24"/>
      <c r="K262" s="132"/>
      <c r="L262" s="132"/>
      <c r="M262" s="132"/>
      <c r="N262" s="132"/>
      <c r="O262" s="132"/>
    </row>
    <row r="263" spans="3:20" outlineLevel="1" x14ac:dyDescent="0.25">
      <c r="C263" s="58" t="s">
        <v>332</v>
      </c>
      <c r="D263" s="58"/>
      <c r="E263" s="58"/>
      <c r="F263" s="58"/>
      <c r="G263" s="69" t="s">
        <v>570</v>
      </c>
      <c r="H263" s="69"/>
      <c r="I263" s="24"/>
      <c r="J263" s="24"/>
      <c r="K263" s="24"/>
      <c r="L263" s="24"/>
      <c r="M263" s="24"/>
      <c r="N263" s="24"/>
      <c r="O263" s="24"/>
    </row>
    <row r="264" spans="3:20" outlineLevel="1" x14ac:dyDescent="0.25">
      <c r="C264" s="24" t="s">
        <v>164</v>
      </c>
      <c r="D264" s="83" t="str">
        <f>Calc_TU_values!$D$235</f>
        <v>VDO 2022 - Final</v>
      </c>
      <c r="E264" s="24" t="s">
        <v>524</v>
      </c>
      <c r="F264" s="83" t="str">
        <f>INDEX(Inputs!$H$10:$Q$10,1,MATCH($D264,Inputs!$H$8:$Q$8,0))</f>
        <v>F-NextVDO_Input</v>
      </c>
      <c r="G264" s="59"/>
      <c r="H264" s="24" t="s">
        <v>139</v>
      </c>
      <c r="I264" s="24" t="s">
        <v>162</v>
      </c>
      <c r="J264" s="60" t="s">
        <v>119</v>
      </c>
      <c r="K264" s="66">
        <f>IFERROR(INDEX(Input_TUEnv_Actual[],MATCH($C264,Input_TUEnv_Actual[Cost item],0),MATCH($F264,Input_TUEnv_Actual[#Headers],0)),"-")</f>
        <v>40</v>
      </c>
      <c r="L264" s="66">
        <f>IFERROR(INDEX(Input_TUEnv_Actual[],MATCH($C264,Input_TUEnv_Actual[Cost item],0),MATCH($F264,Input_TUEnv_Actual[#Headers],0)),"-")</f>
        <v>40</v>
      </c>
      <c r="M264" s="66">
        <f>IFERROR(INDEX(Input_TUEnv_Actual[],MATCH($C264,Input_TUEnv_Actual[Cost item],0),MATCH($F264,Input_TUEnv_Actual[#Headers],0)),"-")</f>
        <v>40</v>
      </c>
      <c r="N264" s="66">
        <f>IFERROR(INDEX(Input_TUEnv_Actual[],MATCH($C264,Input_TUEnv_Actual[Cost item],0),MATCH($F264,Input_TUEnv_Actual[#Headers],0)),"-")</f>
        <v>40</v>
      </c>
      <c r="O264" s="66">
        <f>IFERROR(INDEX(Input_TUEnv_Actual[],MATCH($C264,Input_TUEnv_Actual[Cost item],0),MATCH($F264,Input_TUEnv_Actual[#Headers],0)),"-")</f>
        <v>40</v>
      </c>
    </row>
    <row r="265" spans="3:20" outlineLevel="1" x14ac:dyDescent="0.25">
      <c r="C265" s="60" t="s">
        <v>168</v>
      </c>
      <c r="D265" s="83" t="str">
        <f>Calc_TU_values!$D$235</f>
        <v>VDO 2022 - Final</v>
      </c>
      <c r="E265" s="24" t="s">
        <v>524</v>
      </c>
      <c r="F265" s="83" t="str">
        <f>INDEX(Inputs!$H$10:$Q$10,1,MATCH($D265,Inputs!$H$8:$Q$8,0))</f>
        <v>F-NextVDO_Input</v>
      </c>
      <c r="G265" s="59"/>
      <c r="H265" s="24" t="s">
        <v>139</v>
      </c>
      <c r="I265" s="24" t="s">
        <v>166</v>
      </c>
      <c r="J265" s="60" t="s">
        <v>119</v>
      </c>
      <c r="K265" s="68">
        <f>IFERROR(INDEX(Input_TUEnv_Actual[],MATCH($C265,Input_TUEnv_Actual[Cost item],0),MATCH($F265,Input_TUEnv_Actual[#Headers],0)),"-")</f>
        <v>0.28799999999999998</v>
      </c>
      <c r="L265" s="68">
        <f>IFERROR(INDEX(Input_TUEnv_Actual[],MATCH($C265,Input_TUEnv_Actual[Cost item],0),MATCH($F265,Input_TUEnv_Actual[#Headers],0)),"-")</f>
        <v>0.28799999999999998</v>
      </c>
      <c r="M265" s="68">
        <f>IFERROR(INDEX(Input_TUEnv_Actual[],MATCH($C265,Input_TUEnv_Actual[Cost item],0),MATCH($F265,Input_TUEnv_Actual[#Headers],0)),"-")</f>
        <v>0.28799999999999998</v>
      </c>
      <c r="N265" s="68">
        <f>IFERROR(INDEX(Input_TUEnv_Actual[],MATCH($C265,Input_TUEnv_Actual[Cost item],0),MATCH($F265,Input_TUEnv_Actual[#Headers],0)),"-")</f>
        <v>0.28799999999999998</v>
      </c>
      <c r="O265" s="68">
        <f>IFERROR(INDEX(Input_TUEnv_Actual[],MATCH($C265,Input_TUEnv_Actual[Cost item],0),MATCH($F265,Input_TUEnv_Actual[#Headers],0)),"-")</f>
        <v>0.28799999999999998</v>
      </c>
    </row>
    <row r="266" spans="3:20" outlineLevel="1" x14ac:dyDescent="0.25">
      <c r="C266" s="24" t="s">
        <v>327</v>
      </c>
      <c r="D266" s="83" t="str">
        <f>Calc_TU_values!$D$235</f>
        <v>VDO 2022 - Final</v>
      </c>
      <c r="E266" s="24" t="s">
        <v>524</v>
      </c>
      <c r="F266" s="83" t="str">
        <f>INDEX(Inputs!$H$10:$Q$10,1,MATCH($D266,Inputs!$H$8:$Q$8,0))</f>
        <v>F-NextVDO_Input</v>
      </c>
      <c r="G266" s="59"/>
      <c r="H266" s="24" t="s">
        <v>139</v>
      </c>
      <c r="I266" s="24" t="s">
        <v>291</v>
      </c>
      <c r="J266" s="60" t="s">
        <v>119</v>
      </c>
      <c r="K266" s="65">
        <f>K264*K265/1000</f>
        <v>1.1519999999999999E-2</v>
      </c>
      <c r="L266" s="65">
        <f t="shared" ref="L266" si="74">L264*L265/1000</f>
        <v>1.1519999999999999E-2</v>
      </c>
      <c r="M266" s="65">
        <f t="shared" ref="M266" si="75">M264*M265/1000</f>
        <v>1.1519999999999999E-2</v>
      </c>
      <c r="N266" s="65">
        <f t="shared" ref="N266" si="76">N264*N265/1000</f>
        <v>1.1519999999999999E-2</v>
      </c>
      <c r="O266" s="65">
        <f t="shared" ref="O266" si="77">O264*O265/1000</f>
        <v>1.1519999999999999E-2</v>
      </c>
    </row>
    <row r="267" spans="3:20" outlineLevel="1" x14ac:dyDescent="0.25">
      <c r="C267" s="24" t="s">
        <v>164</v>
      </c>
      <c r="D267" s="83" t="str">
        <f>INDEX(Input_DecisionActual[[Decision]:[Decision]],MATCH(Calc_TU_values!$D$235,Input_DecisionActual[[VDO period]:[VDO period]],0),1)</f>
        <v>VDO 2021 - Final</v>
      </c>
      <c r="E267" s="24" t="s">
        <v>525</v>
      </c>
      <c r="F267" s="83" t="str">
        <f>IF($D267="-","-",INDEX(Inputs!$H$10:$Q$10,1,MATCH($D267,Inputs!$H$8:$Q$8,0)))</f>
        <v>F-CurrentVDO_Input</v>
      </c>
      <c r="G267" s="59"/>
      <c r="H267" s="24" t="s">
        <v>139</v>
      </c>
      <c r="I267" s="24" t="s">
        <v>162</v>
      </c>
      <c r="J267" s="60" t="s">
        <v>119</v>
      </c>
      <c r="K267" s="67">
        <f>IFERROR(INDEX(Inputs!$H$11:$Q$127,MATCH($C267,Input_ForRateCalc[Cost item],0),MATCH($F267,Inputs!$H$10:$Q$10,0)),"-")</f>
        <v>40</v>
      </c>
      <c r="L267" s="67">
        <f>IFERROR(INDEX(Inputs!$H$11:$Q$127,MATCH($C267,Input_ForRateCalc[Cost item],0),MATCH($F267,Inputs!$H$10:$Q$10,0)),"-")</f>
        <v>40</v>
      </c>
      <c r="M267" s="67">
        <f>IFERROR(INDEX(Inputs!$H$11:$Q$127,MATCH($C267,Input_ForRateCalc[Cost item],0),MATCH($F267,Inputs!$H$10:$Q$10,0)),"-")</f>
        <v>40</v>
      </c>
      <c r="N267" s="67">
        <f>IFERROR(INDEX(Inputs!$H$11:$Q$127,MATCH($C267,Input_ForRateCalc[Cost item],0),MATCH($F267,Inputs!$H$10:$Q$10,0)),"-")</f>
        <v>40</v>
      </c>
      <c r="O267" s="67">
        <f>IFERROR(INDEX(Inputs!$H$11:$Q$127,MATCH($C267,Input_ForRateCalc[Cost item],0),MATCH($F267,Inputs!$H$10:$Q$10,0)),"-")</f>
        <v>40</v>
      </c>
    </row>
    <row r="268" spans="3:20" outlineLevel="1" x14ac:dyDescent="0.25">
      <c r="C268" s="60" t="s">
        <v>168</v>
      </c>
      <c r="D268" s="83" t="str">
        <f>INDEX(Input_DecisionActual[[Decision]:[Decision]],MATCH(Calc_TU_values!$D$235,Input_DecisionActual[[VDO period]:[VDO period]],0),1)</f>
        <v>VDO 2021 - Final</v>
      </c>
      <c r="E268" s="24" t="s">
        <v>525</v>
      </c>
      <c r="F268" s="83" t="str">
        <f>IF($D268="-","-",INDEX(Inputs!$H$10:$Q$10,1,MATCH($D268,Inputs!$H$8:$Q$8,0)))</f>
        <v>F-CurrentVDO_Input</v>
      </c>
      <c r="G268" s="59"/>
      <c r="H268" s="24" t="s">
        <v>139</v>
      </c>
      <c r="I268" s="24" t="s">
        <v>166</v>
      </c>
      <c r="J268" s="60" t="s">
        <v>119</v>
      </c>
      <c r="K268" s="68">
        <f>IFERROR(INDEX(Inputs!$H$11:$Q$127,MATCH($C268,Input_ForRateCalc[Cost item],0),MATCH($F268,Inputs!$H$10:$Q$10,0)),"-")</f>
        <v>0.219</v>
      </c>
      <c r="L268" s="68">
        <f>IFERROR(INDEX(Inputs!$H$11:$Q$127,MATCH($C268,Input_ForRateCalc[Cost item],0),MATCH($F268,Inputs!$H$10:$Q$10,0)),"-")</f>
        <v>0.219</v>
      </c>
      <c r="M268" s="68">
        <f>IFERROR(INDEX(Inputs!$H$11:$Q$127,MATCH($C268,Input_ForRateCalc[Cost item],0),MATCH($F268,Inputs!$H$10:$Q$10,0)),"-")</f>
        <v>0.219</v>
      </c>
      <c r="N268" s="68">
        <f>IFERROR(INDEX(Inputs!$H$11:$Q$127,MATCH($C268,Input_ForRateCalc[Cost item],0),MATCH($F268,Inputs!$H$10:$Q$10,0)),"-")</f>
        <v>0.219</v>
      </c>
      <c r="O268" s="68">
        <f>IFERROR(INDEX(Inputs!$H$11:$Q$127,MATCH($C268,Input_ForRateCalc[Cost item],0),MATCH($F268,Inputs!$H$10:$Q$10,0)),"-")</f>
        <v>0.219</v>
      </c>
    </row>
    <row r="269" spans="3:20" outlineLevel="1" x14ac:dyDescent="0.25">
      <c r="C269" s="24" t="s">
        <v>327</v>
      </c>
      <c r="D269" s="83" t="str">
        <f>INDEX(Input_DecisionActual[[Decision]:[Decision]],MATCH(Calc_TU_values!$D$235,Input_DecisionActual[[VDO period]:[VDO period]],0),1)</f>
        <v>VDO 2021 - Final</v>
      </c>
      <c r="E269" s="24" t="s">
        <v>525</v>
      </c>
      <c r="F269" s="83" t="str">
        <f>IF($D269="-","-",INDEX(Inputs!$H$10:$Q$10,1,MATCH($D269,Inputs!$H$8:$Q$8,0)))</f>
        <v>F-CurrentVDO_Input</v>
      </c>
      <c r="G269" s="59"/>
      <c r="H269" s="24" t="s">
        <v>139</v>
      </c>
      <c r="I269" s="24" t="s">
        <v>291</v>
      </c>
      <c r="J269" s="60" t="s">
        <v>119</v>
      </c>
      <c r="K269" s="65">
        <f>IFERROR(K267*K268/1000,"-")</f>
        <v>8.7600000000000004E-3</v>
      </c>
      <c r="L269" s="65">
        <f t="shared" ref="L269" si="78">IFERROR(L267*L268/1000,"-")</f>
        <v>8.7600000000000004E-3</v>
      </c>
      <c r="M269" s="65">
        <f t="shared" ref="M269" si="79">IFERROR(M267*M268/1000,"-")</f>
        <v>8.7600000000000004E-3</v>
      </c>
      <c r="N269" s="65">
        <f t="shared" ref="N269" si="80">IFERROR(N267*N268/1000,"-")</f>
        <v>8.7600000000000004E-3</v>
      </c>
      <c r="O269" s="65">
        <f t="shared" ref="O269" si="81">IFERROR(O267*O268/1000,"-")</f>
        <v>8.7600000000000004E-3</v>
      </c>
    </row>
    <row r="270" spans="3:20" outlineLevel="1" x14ac:dyDescent="0.25">
      <c r="C270" s="24" t="s">
        <v>328</v>
      </c>
      <c r="D270" s="24"/>
      <c r="E270" s="24"/>
      <c r="F270" s="24"/>
      <c r="G270" s="24"/>
      <c r="H270" s="24" t="s">
        <v>139</v>
      </c>
      <c r="I270" s="24" t="s">
        <v>291</v>
      </c>
      <c r="J270" s="24" t="s">
        <v>119</v>
      </c>
      <c r="K270" s="131">
        <f>IFERROR(K266-K269,"-")</f>
        <v>2.7599999999999986E-3</v>
      </c>
      <c r="L270" s="131">
        <f t="shared" ref="L270" si="82">IFERROR(L266-L269,"-")</f>
        <v>2.7599999999999986E-3</v>
      </c>
      <c r="M270" s="131">
        <f t="shared" ref="M270" si="83">IFERROR(M266-M269,"-")</f>
        <v>2.7599999999999986E-3</v>
      </c>
      <c r="N270" s="131">
        <f t="shared" ref="N270" si="84">IFERROR(N266-N269,"-")</f>
        <v>2.7599999999999986E-3</v>
      </c>
      <c r="O270" s="131">
        <f t="shared" ref="O270" si="85">IFERROR(O266-O269,"-")</f>
        <v>2.7599999999999986E-3</v>
      </c>
    </row>
    <row r="271" spans="3:20" outlineLevel="1" x14ac:dyDescent="0.25">
      <c r="C271" s="24" t="s">
        <v>329</v>
      </c>
      <c r="D271" s="83" t="str">
        <f>INDEX(Input_DecisionActual[[Decision]:[Decision]],MATCH(Calc_TU_values!$D$235,Input_DecisionActual[[VDO period]:[VDO period]],0),1)</f>
        <v>VDO 2021 - Final</v>
      </c>
      <c r="E271" s="24" t="s">
        <v>525</v>
      </c>
      <c r="F271" s="83" t="str">
        <f>IF($D271="-","-",INDEX(Inputs!$H$10:$Q$10,1,MATCH($D271,Inputs!$H$8:$Q$8,0)))</f>
        <v>F-CurrentVDO_Input</v>
      </c>
      <c r="G271" s="24"/>
      <c r="H271" s="24" t="s">
        <v>139</v>
      </c>
      <c r="I271" s="24" t="s">
        <v>291</v>
      </c>
      <c r="J271" s="24" t="s">
        <v>119</v>
      </c>
      <c r="K271" s="132">
        <f>IFERROR(K270*(INDEX(Inputs!$H$11:$Q$127,MATCH("Marginal loss factor - "&amp;K$15,Input_ForRateCalc[Cost item],0),MATCH($F271,Inputs!$H$10:$Q$10,0))*INDEX(Inputs!$H$11:$Q$127,MATCH("Distribution loss factor - "&amp;K$15,Input_ForRateCalc[Cost item],0),MATCH($F271,Inputs!$H$10:$Q$10,0))-1),"-")</f>
        <v>1.8503658929999964E-4</v>
      </c>
      <c r="L271" s="132">
        <f>IFERROR(L270*(INDEX(Inputs!$H$11:$Q$127,MATCH("Marginal loss factor - "&amp;L$15,Input_ForRateCalc[Cost item],0),MATCH($F271,Inputs!$H$10:$Q$10,0))*INDEX(Inputs!$H$11:$Q$127,MATCH("Distribution loss factor - "&amp;L$15,Input_ForRateCalc[Cost item],0),MATCH($F271,Inputs!$H$10:$Q$10,0))-1),"-")</f>
        <v>1.3413194003999979E-4</v>
      </c>
      <c r="M271" s="132">
        <f>IFERROR(M270*(INDEX(Inputs!$H$11:$Q$127,MATCH("Marginal loss factor - "&amp;M$15,Input_ForRateCalc[Cost item],0),MATCH($F271,Inputs!$H$10:$Q$10,0))*INDEX(Inputs!$H$11:$Q$127,MATCH("Distribution loss factor - "&amp;M$15,Input_ForRateCalc[Cost item],0),MATCH($F271,Inputs!$H$10:$Q$10,0))-1),"-")</f>
        <v>1.0389901013333391E-4</v>
      </c>
      <c r="N271" s="132">
        <f>IFERROR(N270*(INDEX(Inputs!$H$11:$Q$127,MATCH("Marginal loss factor - "&amp;N$15,Input_ForRateCalc[Cost item],0),MATCH($F271,Inputs!$H$10:$Q$10,0))*INDEX(Inputs!$H$11:$Q$127,MATCH("Distribution loss factor - "&amp;N$15,Input_ForRateCalc[Cost item],0),MATCH($F271,Inputs!$H$10:$Q$10,0))-1),"-")</f>
        <v>1.9618591289999896E-4</v>
      </c>
      <c r="O271" s="132">
        <f>IFERROR(O270*(INDEX(Inputs!$H$11:$Q$127,MATCH("Marginal loss factor - "&amp;O$15,Input_ForRateCalc[Cost item],0),MATCH($F271,Inputs!$H$10:$Q$10,0))*INDEX(Inputs!$H$11:$Q$127,MATCH("Distribution loss factor - "&amp;O$15,Input_ForRateCalc[Cost item],0),MATCH($F271,Inputs!$H$10:$Q$10,0))-1),"-")</f>
        <v>1.4468852604000037E-4</v>
      </c>
    </row>
    <row r="272" spans="3:20" hidden="1" outlineLevel="1" x14ac:dyDescent="0.25">
      <c r="C272" s="24" t="s">
        <v>435</v>
      </c>
      <c r="D272" s="24"/>
      <c r="E272" s="24"/>
      <c r="F272" s="24"/>
      <c r="G272" s="24"/>
      <c r="H272" s="24" t="s">
        <v>139</v>
      </c>
      <c r="I272" s="24" t="s">
        <v>291</v>
      </c>
      <c r="J272" s="24" t="s">
        <v>119</v>
      </c>
      <c r="K272" s="132" t="str">
        <f>IF($D$243="Yes",SUM(K270:K271)*$D$244,"")</f>
        <v/>
      </c>
      <c r="L272" s="132" t="str">
        <f>IF($D$243="Yes",SUM(L270:L271)*$D$244,"")</f>
        <v/>
      </c>
      <c r="M272" s="132" t="str">
        <f>IF($D$243="Yes",SUM(M270:M271)*$D$244,"")</f>
        <v/>
      </c>
      <c r="N272" s="132" t="str">
        <f>IF($D$243="Yes",SUM(N270:N271)*$D$244,"")</f>
        <v/>
      </c>
      <c r="O272" s="132" t="str">
        <f>IF($D$243="Yes",SUM(O270:O271)*$D$244,"")</f>
        <v/>
      </c>
    </row>
    <row r="273" spans="2:15" outlineLevel="1" x14ac:dyDescent="0.25">
      <c r="C273" s="24" t="s">
        <v>330</v>
      </c>
      <c r="D273" s="83" t="str">
        <f>INDEX(Input_DecisionActual[[Decision]:[Decision]],MATCH(Calc_TU_values!$D$235,Input_DecisionActual[[VDO period]:[VDO period]],0),1)</f>
        <v>VDO 2021 - Final</v>
      </c>
      <c r="E273" s="24" t="s">
        <v>525</v>
      </c>
      <c r="F273" s="83" t="str">
        <f>IF($D273="-","-",INDEX(Inputs!$H$10:$Q$10,1,MATCH($D273,Inputs!$H$8:$Q$8,0)))</f>
        <v>F-CurrentVDO_Input</v>
      </c>
      <c r="G273" s="24"/>
      <c r="H273" s="24" t="s">
        <v>139</v>
      </c>
      <c r="I273" s="24" t="s">
        <v>291</v>
      </c>
      <c r="J273" s="24" t="s">
        <v>119</v>
      </c>
      <c r="K273" s="132">
        <f>IFERROR(SUM(K270:K272)*(INDEX(Inputs!$H$11:$Q$127,MATCH("Retail operating margin",Input_ForRateCalc[Cost item],0),MATCH($F273,Inputs!$H$10:$Q$10,0))),"-")</f>
        <v>1.7788020999371992E-4</v>
      </c>
      <c r="L273" s="132">
        <f>IFERROR(SUM(L270:L272)*(INDEX(Inputs!$H$11:$Q$127,MATCH("Retail operating margin",Input_ForRateCalc[Cost item],0),MATCH($F273,Inputs!$H$10:$Q$10,0))),"-")</f>
        <v>1.7480556917841592E-4</v>
      </c>
      <c r="M273" s="132">
        <f>IFERROR(SUM(M270:M272)*(INDEX(Inputs!$H$11:$Q$127,MATCH("Retail operating margin",Input_ForRateCalc[Cost item],0),MATCH($F273,Inputs!$H$10:$Q$10,0))),"-")</f>
        <v>1.7297950021205328E-4</v>
      </c>
      <c r="N273" s="132">
        <f>IFERROR(SUM(N270:N272)*(INDEX(Inputs!$H$11:$Q$127,MATCH("Retail operating margin",Input_ForRateCalc[Cost item],0),MATCH($F273,Inputs!$H$10:$Q$10,0))),"-")</f>
        <v>1.7855362913915985E-4</v>
      </c>
      <c r="O273" s="132">
        <f>IFERROR(SUM(O270:O272)*(INDEX(Inputs!$H$11:$Q$127,MATCH("Retail operating margin",Input_ForRateCalc[Cost item],0),MATCH($F273,Inputs!$H$10:$Q$10,0))),"-")</f>
        <v>1.7544318697281593E-4</v>
      </c>
    </row>
    <row r="274" spans="2:15" outlineLevel="1" x14ac:dyDescent="0.25">
      <c r="C274" s="24" t="s">
        <v>436</v>
      </c>
      <c r="D274" s="24"/>
      <c r="E274" s="24"/>
      <c r="F274" s="24"/>
      <c r="G274" s="24"/>
      <c r="H274" s="24" t="s">
        <v>139</v>
      </c>
      <c r="I274" s="24" t="s">
        <v>291</v>
      </c>
      <c r="J274" s="24" t="s">
        <v>119</v>
      </c>
      <c r="K274" s="132">
        <f>SUM(K270:K273)*GST</f>
        <v>3.1229167992937183E-4</v>
      </c>
      <c r="L274" s="132">
        <f>SUM(L270:L273)*GST</f>
        <v>3.0689375092184145E-4</v>
      </c>
      <c r="M274" s="132">
        <f>SUM(M270:M273)*GST</f>
        <v>3.036878510345386E-4</v>
      </c>
      <c r="N274" s="132">
        <f>SUM(N270:N273)*GST</f>
        <v>3.1347395420391574E-4</v>
      </c>
      <c r="O274" s="132">
        <f>SUM(O270:O273)*GST</f>
        <v>3.0801317130128153E-4</v>
      </c>
    </row>
    <row r="275" spans="2:15" outlineLevel="1" x14ac:dyDescent="0.25">
      <c r="C275" s="60" t="s">
        <v>333</v>
      </c>
      <c r="D275" s="60"/>
      <c r="E275" s="60"/>
      <c r="F275" s="60"/>
      <c r="H275" s="60" t="s">
        <v>139</v>
      </c>
      <c r="I275" s="60" t="s">
        <v>291</v>
      </c>
      <c r="J275" s="60" t="s">
        <v>119</v>
      </c>
      <c r="K275" s="132">
        <f>SUM(K270:K274)</f>
        <v>3.4352084792230904E-3</v>
      </c>
      <c r="L275" s="132">
        <f t="shared" ref="L275" si="86">SUM(L270:L274)</f>
        <v>3.3758312601402558E-3</v>
      </c>
      <c r="M275" s="132">
        <f t="shared" ref="M275" si="87">SUM(M270:M274)</f>
        <v>3.3405663613799248E-3</v>
      </c>
      <c r="N275" s="132">
        <f t="shared" ref="N275" si="88">SUM(N270:N274)</f>
        <v>3.448213496243073E-3</v>
      </c>
      <c r="O275" s="132">
        <f t="shared" ref="O275" si="89">SUM(O270:O274)</f>
        <v>3.3881448843140964E-3</v>
      </c>
    </row>
    <row r="276" spans="2:15" outlineLevel="1" x14ac:dyDescent="0.25">
      <c r="C276" s="128"/>
      <c r="D276" s="128"/>
      <c r="E276" s="128"/>
      <c r="F276" s="128"/>
      <c r="G276" s="128"/>
      <c r="H276" s="128"/>
      <c r="I276" s="128"/>
      <c r="J276" s="128"/>
      <c r="K276" s="139"/>
      <c r="L276" s="139"/>
      <c r="M276" s="139"/>
      <c r="N276" s="139"/>
      <c r="O276" s="139"/>
    </row>
    <row r="277" spans="2:15" outlineLevel="1" x14ac:dyDescent="0.25">
      <c r="C277" s="58" t="s">
        <v>334</v>
      </c>
      <c r="D277" s="58"/>
      <c r="E277" s="58"/>
      <c r="F277" s="58"/>
      <c r="G277" s="69" t="s">
        <v>326</v>
      </c>
      <c r="H277" s="69"/>
      <c r="I277" s="24"/>
      <c r="J277" s="24"/>
      <c r="K277" s="24"/>
      <c r="L277" s="24"/>
      <c r="M277" s="24"/>
      <c r="N277" s="24"/>
      <c r="O277" s="24"/>
    </row>
    <row r="278" spans="2:15" outlineLevel="1" x14ac:dyDescent="0.25">
      <c r="C278" s="24" t="s">
        <v>161</v>
      </c>
      <c r="D278" s="83" t="str">
        <f>Calc_TU_values!$D$235</f>
        <v>VDO 2022 - Final</v>
      </c>
      <c r="E278" s="24" t="s">
        <v>524</v>
      </c>
      <c r="F278" s="83" t="str">
        <f>INDEX(Inputs!$H$10:$Q$10,1,MATCH($D278,Inputs!$H$8:$Q$8,0))</f>
        <v>F-NextVDO_Input</v>
      </c>
      <c r="G278" s="59"/>
      <c r="H278" s="24" t="s">
        <v>139</v>
      </c>
      <c r="I278" s="24" t="s">
        <v>162</v>
      </c>
      <c r="J278" s="60" t="s">
        <v>119</v>
      </c>
      <c r="K278" s="66">
        <f>IFERROR(INDEX(Input_TUEnv_Actual[],MATCH($C278,Input_TUEnv_Actual[Cost item],0),MATCH($F278,Input_TUEnv_Actual[#Headers],0)),"-")</f>
        <v>32.379354863483861</v>
      </c>
      <c r="L278" s="66">
        <f>IFERROR(INDEX(Input_TUEnv_Actual[],MATCH($C278,Input_TUEnv_Actual[Cost item],0),MATCH($F278,Input_TUEnv_Actual[#Headers],0)),"-")</f>
        <v>32.379354863483861</v>
      </c>
      <c r="M278" s="66">
        <f>IFERROR(INDEX(Input_TUEnv_Actual[],MATCH($C278,Input_TUEnv_Actual[Cost item],0),MATCH($F278,Input_TUEnv_Actual[#Headers],0)),"-")</f>
        <v>32.379354863483861</v>
      </c>
      <c r="N278" s="66">
        <f>IFERROR(INDEX(Input_TUEnv_Actual[],MATCH($C278,Input_TUEnv_Actual[Cost item],0),MATCH($F278,Input_TUEnv_Actual[#Headers],0)),"-")</f>
        <v>32.379354863483861</v>
      </c>
      <c r="O278" s="66">
        <f>IFERROR(INDEX(Input_TUEnv_Actual[],MATCH($C278,Input_TUEnv_Actual[Cost item],0),MATCH($F278,Input_TUEnv_Actual[#Headers],0)),"-")</f>
        <v>32.379354863483861</v>
      </c>
    </row>
    <row r="279" spans="2:15" outlineLevel="1" x14ac:dyDescent="0.25">
      <c r="C279" s="24" t="s">
        <v>165</v>
      </c>
      <c r="D279" s="83" t="str">
        <f>Calc_TU_values!$D$235</f>
        <v>VDO 2022 - Final</v>
      </c>
      <c r="E279" s="24" t="s">
        <v>524</v>
      </c>
      <c r="F279" s="83" t="str">
        <f>INDEX(Inputs!$H$10:$Q$10,1,MATCH($D279,Inputs!$H$8:$Q$8,0))</f>
        <v>F-NextVDO_Input</v>
      </c>
      <c r="G279" s="59"/>
      <c r="H279" s="24" t="s">
        <v>139</v>
      </c>
      <c r="I279" s="24" t="s">
        <v>166</v>
      </c>
      <c r="J279" s="60" t="s">
        <v>119</v>
      </c>
      <c r="K279" s="68">
        <f>IFERROR(INDEX(Input_TUEnv_Actual[],MATCH($C279,Input_TUEnv_Actual[Cost item],0),MATCH($F279,Input_TUEnv_Actual[#Headers],0)),"-")</f>
        <v>0.17255000000000001</v>
      </c>
      <c r="L279" s="68">
        <f>IFERROR(INDEX(Input_TUEnv_Actual[],MATCH($C279,Input_TUEnv_Actual[Cost item],0),MATCH($F279,Input_TUEnv_Actual[#Headers],0)),"-")</f>
        <v>0.17255000000000001</v>
      </c>
      <c r="M279" s="68">
        <f>IFERROR(INDEX(Input_TUEnv_Actual[],MATCH($C279,Input_TUEnv_Actual[Cost item],0),MATCH($F279,Input_TUEnv_Actual[#Headers],0)),"-")</f>
        <v>0.17255000000000001</v>
      </c>
      <c r="N279" s="68">
        <f>IFERROR(INDEX(Input_TUEnv_Actual[],MATCH($C279,Input_TUEnv_Actual[Cost item],0),MATCH($F279,Input_TUEnv_Actual[#Headers],0)),"-")</f>
        <v>0.17255000000000001</v>
      </c>
      <c r="O279" s="68">
        <f>IFERROR(INDEX(Input_TUEnv_Actual[],MATCH($C279,Input_TUEnv_Actual[Cost item],0),MATCH($F279,Input_TUEnv_Actual[#Headers],0)),"-")</f>
        <v>0.17255000000000001</v>
      </c>
    </row>
    <row r="280" spans="2:15" outlineLevel="1" x14ac:dyDescent="0.25">
      <c r="C280" s="24" t="s">
        <v>327</v>
      </c>
      <c r="D280" s="83" t="str">
        <f>Calc_TU_values!$D$235</f>
        <v>VDO 2022 - Final</v>
      </c>
      <c r="E280" s="24" t="s">
        <v>524</v>
      </c>
      <c r="F280" s="83" t="str">
        <f>INDEX(Inputs!$H$10:$Q$10,1,MATCH($D280,Inputs!$H$8:$Q$8,0))</f>
        <v>F-NextVDO_Input</v>
      </c>
      <c r="G280" s="59"/>
      <c r="H280" s="24" t="s">
        <v>139</v>
      </c>
      <c r="I280" s="24" t="s">
        <v>291</v>
      </c>
      <c r="J280" s="60" t="s">
        <v>119</v>
      </c>
      <c r="K280" s="65">
        <f>K278*K279/1000</f>
        <v>5.5870576816941407E-3</v>
      </c>
      <c r="L280" s="65">
        <f t="shared" ref="L280" si="90">L278*L279/1000</f>
        <v>5.5870576816941407E-3</v>
      </c>
      <c r="M280" s="65">
        <f t="shared" ref="M280" si="91">M278*M279/1000</f>
        <v>5.5870576816941407E-3</v>
      </c>
      <c r="N280" s="65">
        <f t="shared" ref="N280" si="92">N278*N279/1000</f>
        <v>5.5870576816941407E-3</v>
      </c>
      <c r="O280" s="65">
        <f t="shared" ref="O280" si="93">O278*O279/1000</f>
        <v>5.5870576816941407E-3</v>
      </c>
    </row>
    <row r="281" spans="2:15" outlineLevel="1" x14ac:dyDescent="0.25">
      <c r="C281" s="24" t="s">
        <v>161</v>
      </c>
      <c r="D281" s="83" t="str">
        <f>INDEX(Input_DecisionActual[[Decision]:[Decision]],MATCH(Calc_TU_values!$D$235,Input_DecisionActual[[VDO period]:[VDO period]],0),1)</f>
        <v>VDO 2021 - Final</v>
      </c>
      <c r="E281" s="24" t="s">
        <v>525</v>
      </c>
      <c r="F281" s="83" t="str">
        <f>IF($D281="-","-",INDEX(Inputs!$H$10:$Q$10,1,MATCH($D281,Inputs!$H$8:$Q$8,0)))</f>
        <v>F-CurrentVDO_Input</v>
      </c>
      <c r="G281" s="59"/>
      <c r="H281" s="24" t="s">
        <v>139</v>
      </c>
      <c r="I281" s="24" t="s">
        <v>162</v>
      </c>
      <c r="J281" s="60" t="s">
        <v>119</v>
      </c>
      <c r="K281" s="67">
        <f>IFERROR(INDEX(Inputs!$H$11:$Q$127,MATCH($C281,Input_ForRateCalc[Cost item],0),MATCH($F281,Inputs!$H$10:$Q$10,0)),"-")</f>
        <v>32.379354863483861</v>
      </c>
      <c r="L281" s="67">
        <f>IFERROR(INDEX(Inputs!$H$11:$Q$127,MATCH($C281,Input_ForRateCalc[Cost item],0),MATCH($F281,Inputs!$H$10:$Q$10,0)),"-")</f>
        <v>32.379354863483861</v>
      </c>
      <c r="M281" s="67">
        <f>IFERROR(INDEX(Inputs!$H$11:$Q$127,MATCH($C281,Input_ForRateCalc[Cost item],0),MATCH($F281,Inputs!$H$10:$Q$10,0)),"-")</f>
        <v>32.379354863483861</v>
      </c>
      <c r="N281" s="67">
        <f>IFERROR(INDEX(Inputs!$H$11:$Q$127,MATCH($C281,Input_ForRateCalc[Cost item],0),MATCH($F281,Inputs!$H$10:$Q$10,0)),"-")</f>
        <v>32.379354863483861</v>
      </c>
      <c r="O281" s="67">
        <f>IFERROR(INDEX(Inputs!$H$11:$Q$127,MATCH($C281,Input_ForRateCalc[Cost item],0),MATCH($F281,Inputs!$H$10:$Q$10,0)),"-")</f>
        <v>32.379354863483861</v>
      </c>
    </row>
    <row r="282" spans="2:15" outlineLevel="1" x14ac:dyDescent="0.25">
      <c r="B282"/>
      <c r="C282" s="24" t="s">
        <v>165</v>
      </c>
      <c r="D282" s="83" t="str">
        <f>INDEX(Input_DecisionActual[[Decision]:[Decision]],MATCH(Calc_TU_values!$D$235,Input_DecisionActual[[VDO period]:[VDO period]],0),1)</f>
        <v>VDO 2021 - Final</v>
      </c>
      <c r="E282" s="24" t="s">
        <v>525</v>
      </c>
      <c r="F282" s="83" t="str">
        <f>IF($D282="-","-",INDEX(Inputs!$H$10:$Q$10,1,MATCH($D282,Inputs!$H$8:$Q$8,0)))</f>
        <v>F-CurrentVDO_Input</v>
      </c>
      <c r="G282" s="59"/>
      <c r="H282" s="24" t="s">
        <v>139</v>
      </c>
      <c r="I282" s="24" t="s">
        <v>166</v>
      </c>
      <c r="J282" s="60" t="s">
        <v>119</v>
      </c>
      <c r="K282" s="68">
        <f>IFERROR(INDEX(Inputs!$H$11:$Q$127,MATCH($C282,Input_ForRateCalc[Cost item],0),MATCH($F282,Inputs!$H$10:$Q$10,0)),"-")</f>
        <v>0.17255000000000001</v>
      </c>
      <c r="L282" s="68">
        <f>IFERROR(INDEX(Inputs!$H$11:$Q$127,MATCH($C282,Input_ForRateCalc[Cost item],0),MATCH($F282,Inputs!$H$10:$Q$10,0)),"-")</f>
        <v>0.17255000000000001</v>
      </c>
      <c r="M282" s="68">
        <f>IFERROR(INDEX(Inputs!$H$11:$Q$127,MATCH($C282,Input_ForRateCalc[Cost item],0),MATCH($F282,Inputs!$H$10:$Q$10,0)),"-")</f>
        <v>0.17255000000000001</v>
      </c>
      <c r="N282" s="68">
        <f>IFERROR(INDEX(Inputs!$H$11:$Q$127,MATCH($C282,Input_ForRateCalc[Cost item],0),MATCH($F282,Inputs!$H$10:$Q$10,0)),"-")</f>
        <v>0.17255000000000001</v>
      </c>
      <c r="O282" s="68">
        <f>IFERROR(INDEX(Inputs!$H$11:$Q$127,MATCH($C282,Input_ForRateCalc[Cost item],0),MATCH($F282,Inputs!$H$10:$Q$10,0)),"-")</f>
        <v>0.17255000000000001</v>
      </c>
    </row>
    <row r="283" spans="2:15" outlineLevel="1" x14ac:dyDescent="0.25">
      <c r="B283"/>
      <c r="C283" s="24" t="s">
        <v>327</v>
      </c>
      <c r="D283" s="83" t="str">
        <f>INDEX(Input_DecisionActual[[Decision]:[Decision]],MATCH(Calc_TU_values!$D$235,Input_DecisionActual[[VDO period]:[VDO period]],0),1)</f>
        <v>VDO 2021 - Final</v>
      </c>
      <c r="E283" s="24" t="s">
        <v>525</v>
      </c>
      <c r="F283" s="83" t="str">
        <f>IF($D283="-","-",INDEX(Inputs!$H$10:$Q$10,1,MATCH($D283,Inputs!$H$8:$Q$8,0)))</f>
        <v>F-CurrentVDO_Input</v>
      </c>
      <c r="G283" s="59"/>
      <c r="H283" s="24" t="s">
        <v>139</v>
      </c>
      <c r="I283" s="24" t="s">
        <v>291</v>
      </c>
      <c r="J283" s="60" t="s">
        <v>119</v>
      </c>
      <c r="K283" s="65">
        <f>IFERROR(K281*K282/1000,"-")</f>
        <v>5.5870576816941407E-3</v>
      </c>
      <c r="L283" s="65">
        <f t="shared" ref="L283" si="94">IFERROR(L281*L282/1000,"-")</f>
        <v>5.5870576816941407E-3</v>
      </c>
      <c r="M283" s="65">
        <f t="shared" ref="M283" si="95">IFERROR(M281*M282/1000,"-")</f>
        <v>5.5870576816941407E-3</v>
      </c>
      <c r="N283" s="65">
        <f t="shared" ref="N283" si="96">IFERROR(N281*N282/1000,"-")</f>
        <v>5.5870576816941407E-3</v>
      </c>
      <c r="O283" s="65">
        <f t="shared" ref="O283" si="97">IFERROR(O281*O282/1000,"-")</f>
        <v>5.5870576816941407E-3</v>
      </c>
    </row>
    <row r="284" spans="2:15" outlineLevel="1" x14ac:dyDescent="0.25">
      <c r="C284" s="24" t="s">
        <v>328</v>
      </c>
      <c r="D284" s="24"/>
      <c r="E284" s="24"/>
      <c r="F284" s="24"/>
      <c r="G284" s="24"/>
      <c r="H284" s="24" t="s">
        <v>139</v>
      </c>
      <c r="I284" s="24" t="s">
        <v>291</v>
      </c>
      <c r="J284" s="24" t="s">
        <v>119</v>
      </c>
      <c r="K284" s="131">
        <f>IFERROR(K280-K283,"-")</f>
        <v>0</v>
      </c>
      <c r="L284" s="131">
        <f t="shared" ref="L284" si="98">IFERROR(L280-L283,"-")</f>
        <v>0</v>
      </c>
      <c r="M284" s="131">
        <f t="shared" ref="M284" si="99">IFERROR(M280-M283,"-")</f>
        <v>0</v>
      </c>
      <c r="N284" s="131">
        <f t="shared" ref="N284" si="100">IFERROR(N280-N283,"-")</f>
        <v>0</v>
      </c>
      <c r="O284" s="131">
        <f t="shared" ref="O284" si="101">IFERROR(O280-O283,"-")</f>
        <v>0</v>
      </c>
    </row>
    <row r="285" spans="2:15" outlineLevel="1" x14ac:dyDescent="0.25">
      <c r="C285" s="24" t="s">
        <v>329</v>
      </c>
      <c r="D285" s="83" t="str">
        <f>INDEX(Input_DecisionActual[[Decision]:[Decision]],MATCH(Calc_TU_values!$D$235,Input_DecisionActual[[VDO period]:[VDO period]],0),1)</f>
        <v>VDO 2021 - Final</v>
      </c>
      <c r="E285" s="24" t="s">
        <v>525</v>
      </c>
      <c r="F285" s="83" t="str">
        <f>IF($D285="-","-",INDEX(Inputs!$H$10:$Q$10,1,MATCH($D285,Inputs!$H$8:$Q$8,0)))</f>
        <v>F-CurrentVDO_Input</v>
      </c>
      <c r="G285" s="24"/>
      <c r="H285" s="24" t="s">
        <v>139</v>
      </c>
      <c r="I285" s="24" t="s">
        <v>291</v>
      </c>
      <c r="J285" s="24" t="s">
        <v>119</v>
      </c>
      <c r="K285" s="132">
        <f>IFERROR(K284*(INDEX(Inputs!$H$11:$Q$127,MATCH("Marginal loss factor - "&amp;K$15,Input_ForRateCalc[Cost item],0),MATCH($F285,Inputs!$H$10:$Q$10,0))*INDEX(Inputs!$H$11:$Q$127,MATCH("Distribution loss factor - "&amp;K$15,Input_ForRateCalc[Cost item],0),MATCH($F285,Inputs!$H$10:$Q$10,0))-1),"-")</f>
        <v>0</v>
      </c>
      <c r="L285" s="132">
        <f>IFERROR(L284*(INDEX(Inputs!$H$11:$Q$127,MATCH("Marginal loss factor - "&amp;L$15,Input_ForRateCalc[Cost item],0),MATCH($F285,Inputs!$H$10:$Q$10,0))*INDEX(Inputs!$H$11:$Q$127,MATCH("Distribution loss factor - "&amp;L$15,Input_ForRateCalc[Cost item],0),MATCH($F285,Inputs!$H$10:$Q$10,0))-1),"-")</f>
        <v>0</v>
      </c>
      <c r="M285" s="132">
        <f>IFERROR(M284*(INDEX(Inputs!$H$11:$Q$127,MATCH("Marginal loss factor - "&amp;M$15,Input_ForRateCalc[Cost item],0),MATCH($F285,Inputs!$H$10:$Q$10,0))*INDEX(Inputs!$H$11:$Q$127,MATCH("Distribution loss factor - "&amp;M$15,Input_ForRateCalc[Cost item],0),MATCH($F285,Inputs!$H$10:$Q$10,0))-1),"-")</f>
        <v>0</v>
      </c>
      <c r="N285" s="132">
        <f>IFERROR(N284*(INDEX(Inputs!$H$11:$Q$127,MATCH("Marginal loss factor - "&amp;N$15,Input_ForRateCalc[Cost item],0),MATCH($F285,Inputs!$H$10:$Q$10,0))*INDEX(Inputs!$H$11:$Q$127,MATCH("Distribution loss factor - "&amp;N$15,Input_ForRateCalc[Cost item],0),MATCH($F285,Inputs!$H$10:$Q$10,0))-1),"-")</f>
        <v>0</v>
      </c>
      <c r="O285" s="132">
        <f>IFERROR(O284*(INDEX(Inputs!$H$11:$Q$127,MATCH("Marginal loss factor - "&amp;O$15,Input_ForRateCalc[Cost item],0),MATCH($F285,Inputs!$H$10:$Q$10,0))*INDEX(Inputs!$H$11:$Q$127,MATCH("Distribution loss factor - "&amp;O$15,Input_ForRateCalc[Cost item],0),MATCH($F285,Inputs!$H$10:$Q$10,0))-1),"-")</f>
        <v>0</v>
      </c>
    </row>
    <row r="286" spans="2:15" hidden="1" outlineLevel="1" x14ac:dyDescent="0.25">
      <c r="B286"/>
      <c r="C286" s="24" t="s">
        <v>435</v>
      </c>
      <c r="D286" s="24"/>
      <c r="E286" s="24"/>
      <c r="F286" s="24"/>
      <c r="G286" s="24"/>
      <c r="H286" s="24" t="s">
        <v>139</v>
      </c>
      <c r="I286" s="24" t="s">
        <v>291</v>
      </c>
      <c r="J286" s="24" t="s">
        <v>119</v>
      </c>
      <c r="K286" s="132" t="str">
        <f>IF($D$243="Yes",SUM(K284:K285)*$D$244,"")</f>
        <v/>
      </c>
      <c r="L286" s="132" t="str">
        <f>IF($D$243="Yes",SUM(L284:L285)*$D$244,"")</f>
        <v/>
      </c>
      <c r="M286" s="132" t="str">
        <f>IF($D$243="Yes",SUM(M284:M285)*$D$244,"")</f>
        <v/>
      </c>
      <c r="N286" s="132" t="str">
        <f>IF($D$243="Yes",SUM(N284:N285)*$D$244,"")</f>
        <v/>
      </c>
      <c r="O286" s="132" t="str">
        <f>IF($D$243="Yes",SUM(O284:O285)*$D$244,"")</f>
        <v/>
      </c>
    </row>
    <row r="287" spans="2:15" outlineLevel="1" x14ac:dyDescent="0.25">
      <c r="B287"/>
      <c r="C287" s="24" t="s">
        <v>330</v>
      </c>
      <c r="D287" s="83" t="str">
        <f>INDEX(Input_DecisionActual[[Decision]:[Decision]],MATCH(Calc_TU_values!$D$235,Input_DecisionActual[[VDO period]:[VDO period]],0),1)</f>
        <v>VDO 2021 - Final</v>
      </c>
      <c r="E287" s="24" t="s">
        <v>525</v>
      </c>
      <c r="F287" s="83" t="str">
        <f>IF($D287="-","-",INDEX(Inputs!$H$10:$Q$10,1,MATCH($D287,Inputs!$H$8:$Q$8,0)))</f>
        <v>F-CurrentVDO_Input</v>
      </c>
      <c r="G287" s="24"/>
      <c r="H287" s="24" t="s">
        <v>139</v>
      </c>
      <c r="I287" s="24" t="s">
        <v>291</v>
      </c>
      <c r="J287" s="24" t="s">
        <v>119</v>
      </c>
      <c r="K287" s="132">
        <f>IFERROR(SUM(K284:K286)*(INDEX(Inputs!$H$11:$Q$127,MATCH("Retail operating margin",Input_ForRateCalc[Cost item],0),MATCH($F287,Inputs!$H$10:$Q$10,0))),"-")</f>
        <v>0</v>
      </c>
      <c r="L287" s="132">
        <f>IFERROR(SUM(L284:L286)*(INDEX(Inputs!$H$11:$Q$127,MATCH("Retail operating margin",Input_ForRateCalc[Cost item],0),MATCH($F287,Inputs!$H$10:$Q$10,0))),"-")</f>
        <v>0</v>
      </c>
      <c r="M287" s="132">
        <f>IFERROR(SUM(M284:M286)*(INDEX(Inputs!$H$11:$Q$127,MATCH("Retail operating margin",Input_ForRateCalc[Cost item],0),MATCH($F287,Inputs!$H$10:$Q$10,0))),"-")</f>
        <v>0</v>
      </c>
      <c r="N287" s="132">
        <f>IFERROR(SUM(N284:N286)*(INDEX(Inputs!$H$11:$Q$127,MATCH("Retail operating margin",Input_ForRateCalc[Cost item],0),MATCH($F287,Inputs!$H$10:$Q$10,0))),"-")</f>
        <v>0</v>
      </c>
      <c r="O287" s="132">
        <f>IFERROR(SUM(O284:O286)*(INDEX(Inputs!$H$11:$Q$127,MATCH("Retail operating margin",Input_ForRateCalc[Cost item],0),MATCH($F287,Inputs!$H$10:$Q$10,0))),"-")</f>
        <v>0</v>
      </c>
    </row>
    <row r="288" spans="2:15" outlineLevel="1" x14ac:dyDescent="0.25">
      <c r="B288"/>
      <c r="C288" s="24" t="s">
        <v>436</v>
      </c>
      <c r="D288" s="24"/>
      <c r="E288" s="24"/>
      <c r="F288" s="24"/>
      <c r="G288" s="24"/>
      <c r="H288" s="24" t="s">
        <v>139</v>
      </c>
      <c r="I288" s="24" t="s">
        <v>291</v>
      </c>
      <c r="J288" s="24" t="s">
        <v>119</v>
      </c>
      <c r="K288" s="132">
        <f>SUM(K284:K287)*GST</f>
        <v>0</v>
      </c>
      <c r="L288" s="132">
        <f>SUM(L284:L287)*GST</f>
        <v>0</v>
      </c>
      <c r="M288" s="132">
        <f>SUM(M284:M287)*GST</f>
        <v>0</v>
      </c>
      <c r="N288" s="132">
        <f>SUM(N284:N287)*GST</f>
        <v>0</v>
      </c>
      <c r="O288" s="132">
        <f>SUM(O284:O287)*GST</f>
        <v>0</v>
      </c>
    </row>
    <row r="289" spans="2:17" ht="15.75" outlineLevel="1" x14ac:dyDescent="0.25">
      <c r="B289" s="9"/>
      <c r="C289" s="119" t="s">
        <v>335</v>
      </c>
      <c r="D289" s="119"/>
      <c r="E289" s="119"/>
      <c r="F289" s="119"/>
      <c r="G289" s="71"/>
      <c r="H289" s="24" t="s">
        <v>139</v>
      </c>
      <c r="I289" s="24" t="s">
        <v>291</v>
      </c>
      <c r="J289" s="60" t="s">
        <v>119</v>
      </c>
      <c r="K289" s="132">
        <f>SUM(K284:K288)</f>
        <v>0</v>
      </c>
      <c r="L289" s="132">
        <f t="shared" ref="L289" si="102">SUM(L284:L288)</f>
        <v>0</v>
      </c>
      <c r="M289" s="132">
        <f t="shared" ref="M289" si="103">SUM(M284:M288)</f>
        <v>0</v>
      </c>
      <c r="N289" s="132">
        <f t="shared" ref="N289" si="104">SUM(N284:N288)</f>
        <v>0</v>
      </c>
      <c r="O289" s="132">
        <f t="shared" ref="O289" si="105">SUM(O284:O288)</f>
        <v>0</v>
      </c>
    </row>
    <row r="290" spans="2:17" outlineLevel="1" x14ac:dyDescent="0.25">
      <c r="H290" s="109"/>
      <c r="I290" s="109"/>
      <c r="J290" s="109"/>
      <c r="K290" s="109"/>
      <c r="L290" s="109"/>
    </row>
    <row r="292" spans="2:17" ht="16.5" thickBot="1" x14ac:dyDescent="0.3">
      <c r="B292" s="9">
        <f ca="1">MAX(B$3:B291)+0.1</f>
        <v>13.399999999999999</v>
      </c>
      <c r="C292" s="29" t="s">
        <v>471</v>
      </c>
      <c r="D292" s="29"/>
      <c r="E292" s="29"/>
      <c r="F292" s="29"/>
      <c r="G292" s="29"/>
      <c r="H292" s="29"/>
      <c r="I292" s="29"/>
      <c r="J292" s="29"/>
      <c r="K292" s="29"/>
      <c r="L292" s="29"/>
      <c r="M292" s="29"/>
      <c r="N292" s="29"/>
      <c r="O292" s="29"/>
      <c r="P292" s="29"/>
      <c r="Q292" s="29"/>
    </row>
    <row r="294" spans="2:17" ht="15.75" outlineLevel="1" x14ac:dyDescent="0.25">
      <c r="C294" s="43" t="s">
        <v>54</v>
      </c>
      <c r="D294" s="43" t="s">
        <v>472</v>
      </c>
      <c r="G294" s="43" t="s">
        <v>324</v>
      </c>
      <c r="H294" s="43" t="s">
        <v>110</v>
      </c>
      <c r="I294" s="43" t="s">
        <v>111</v>
      </c>
      <c r="J294" s="43" t="s">
        <v>99</v>
      </c>
      <c r="K294" s="51" t="s">
        <v>277</v>
      </c>
      <c r="L294" s="51" t="s">
        <v>278</v>
      </c>
      <c r="M294" s="51" t="s">
        <v>279</v>
      </c>
      <c r="N294" s="51" t="s">
        <v>280</v>
      </c>
      <c r="O294" s="51" t="s">
        <v>281</v>
      </c>
      <c r="P294" s="51" t="s">
        <v>539</v>
      </c>
      <c r="Q294" s="43" t="s">
        <v>540</v>
      </c>
    </row>
    <row r="295" spans="2:17" outlineLevel="1" x14ac:dyDescent="0.25">
      <c r="C295" s="58" t="s">
        <v>484</v>
      </c>
      <c r="D295" s="58"/>
      <c r="G295" s="58"/>
      <c r="H295" s="58"/>
      <c r="I295" s="58"/>
      <c r="J295" s="60" t="s">
        <v>100</v>
      </c>
      <c r="K295" s="152">
        <f>SUM(K296:K297)</f>
        <v>11.935672304856654</v>
      </c>
      <c r="L295" s="152">
        <f>SUM(L296:L297)</f>
        <v>16.187167340424587</v>
      </c>
      <c r="M295" s="152">
        <f>SUM(M296:M297)</f>
        <v>14.087579955431812</v>
      </c>
      <c r="N295" s="152">
        <f>SUM(N296:N297)</f>
        <v>14.085074916598433</v>
      </c>
      <c r="O295" s="152">
        <f>SUM(O296:O297)</f>
        <v>6.3579032626155492</v>
      </c>
      <c r="P295" s="166">
        <f t="shared" ref="P295:P306" si="106">IFERROR(AVERAGE(K295:O295),"-")</f>
        <v>12.530679555985406</v>
      </c>
      <c r="Q295" s="166">
        <f>IFERROR(P295/ROUND($D$311/30,0),"-")</f>
        <v>6.2653397779927031</v>
      </c>
    </row>
    <row r="296" spans="2:17" outlineLevel="1" x14ac:dyDescent="0.25">
      <c r="C296" s="151" t="s">
        <v>117</v>
      </c>
      <c r="D296" s="60"/>
      <c r="G296" s="60"/>
      <c r="H296" s="60"/>
      <c r="I296" s="60"/>
      <c r="J296" s="60"/>
      <c r="K296" s="67">
        <f>K350</f>
        <v>1.8248234761643884</v>
      </c>
      <c r="L296" s="67">
        <f>L350</f>
        <v>-1.2662808725479466</v>
      </c>
      <c r="M296" s="67">
        <f>M350</f>
        <v>0.21319327473972866</v>
      </c>
      <c r="N296" s="67">
        <f>N350</f>
        <v>-1.4904706405479504</v>
      </c>
      <c r="O296" s="67">
        <f>O350</f>
        <v>2.823027675178083</v>
      </c>
      <c r="P296" s="169">
        <f t="shared" si="106"/>
        <v>0.42085858259726061</v>
      </c>
      <c r="Q296" s="166">
        <f t="shared" ref="Q296:Q306" si="107">IFERROR(P296/ROUND($D$311/30,0),"-")</f>
        <v>0.21042929129863031</v>
      </c>
    </row>
    <row r="297" spans="2:17" outlineLevel="1" x14ac:dyDescent="0.25">
      <c r="C297" s="151" t="s">
        <v>139</v>
      </c>
      <c r="D297" s="60"/>
      <c r="G297" s="60"/>
      <c r="H297" s="60"/>
      <c r="I297" s="60"/>
      <c r="J297" s="60"/>
      <c r="K297" s="67">
        <f>K365</f>
        <v>10.110848828692266</v>
      </c>
      <c r="L297" s="67">
        <f>L365</f>
        <v>17.453448212972532</v>
      </c>
      <c r="M297" s="67">
        <f>M365</f>
        <v>13.874386680692083</v>
      </c>
      <c r="N297" s="67">
        <f>N365</f>
        <v>15.575545557146384</v>
      </c>
      <c r="O297" s="67">
        <f>O365</f>
        <v>3.5348755874374662</v>
      </c>
      <c r="P297" s="169">
        <f t="shared" si="106"/>
        <v>12.109820973388148</v>
      </c>
      <c r="Q297" s="166">
        <f t="shared" si="107"/>
        <v>6.0549104866940739</v>
      </c>
    </row>
    <row r="298" spans="2:17" outlineLevel="1" x14ac:dyDescent="0.25">
      <c r="C298" s="58" t="s">
        <v>485</v>
      </c>
      <c r="D298" s="58"/>
      <c r="G298" s="58"/>
      <c r="H298" s="58"/>
      <c r="I298" s="58"/>
      <c r="J298" s="60" t="s">
        <v>101</v>
      </c>
      <c r="K298" s="152">
        <f>SUM(K299:K300)</f>
        <v>25.621321611765929</v>
      </c>
      <c r="L298" s="152">
        <f>SUM(L299:L300)</f>
        <v>9.2305963444484362</v>
      </c>
      <c r="M298" s="152">
        <f>SUM(M299:M300)</f>
        <v>26.520328950645411</v>
      </c>
      <c r="N298" s="152">
        <f>SUM(N299:N300)</f>
        <v>11.825496125052261</v>
      </c>
      <c r="O298" s="152">
        <f>SUM(O299:O300)</f>
        <v>-0.7330329905416626</v>
      </c>
      <c r="P298" s="166">
        <f t="shared" si="106"/>
        <v>14.492942008274076</v>
      </c>
      <c r="Q298" s="166">
        <f t="shared" si="107"/>
        <v>7.2464710041370379</v>
      </c>
    </row>
    <row r="299" spans="2:17" outlineLevel="1" x14ac:dyDescent="0.25">
      <c r="C299" s="151" t="s">
        <v>117</v>
      </c>
      <c r="D299" s="60"/>
      <c r="G299" s="60"/>
      <c r="H299" s="60"/>
      <c r="I299" s="60"/>
      <c r="J299" s="60"/>
      <c r="K299" s="67">
        <f>K390</f>
        <v>1.8248234761643884</v>
      </c>
      <c r="L299" s="67">
        <f>L390</f>
        <v>-1.2648939274520594</v>
      </c>
      <c r="M299" s="67">
        <f>M390</f>
        <v>0.7202207747945274</v>
      </c>
      <c r="N299" s="67">
        <f>N390</f>
        <v>-1.489678100493145</v>
      </c>
      <c r="O299" s="67">
        <f>O390</f>
        <v>6.7861242191780837</v>
      </c>
      <c r="P299" s="169">
        <f t="shared" si="106"/>
        <v>1.3153192884383589</v>
      </c>
      <c r="Q299" s="166">
        <f t="shared" si="107"/>
        <v>0.65765964421917944</v>
      </c>
    </row>
    <row r="300" spans="2:17" outlineLevel="1" x14ac:dyDescent="0.25">
      <c r="C300" s="151" t="s">
        <v>139</v>
      </c>
      <c r="D300" s="60"/>
      <c r="G300" s="60"/>
      <c r="H300" s="60"/>
      <c r="I300" s="60"/>
      <c r="J300" s="60"/>
      <c r="K300" s="67">
        <f>K405</f>
        <v>23.796498135601539</v>
      </c>
      <c r="L300" s="67">
        <f>L405</f>
        <v>10.495490271900495</v>
      </c>
      <c r="M300" s="67">
        <f>M405</f>
        <v>25.800108175850884</v>
      </c>
      <c r="N300" s="67">
        <f>N405</f>
        <v>13.315174225545405</v>
      </c>
      <c r="O300" s="67">
        <f>O405</f>
        <v>-7.5191572097197463</v>
      </c>
      <c r="P300" s="169">
        <f t="shared" si="106"/>
        <v>13.177622719835714</v>
      </c>
      <c r="Q300" s="166">
        <f t="shared" si="107"/>
        <v>6.588811359917857</v>
      </c>
    </row>
    <row r="301" spans="2:17" outlineLevel="1" x14ac:dyDescent="0.25">
      <c r="C301" s="58" t="s">
        <v>486</v>
      </c>
      <c r="D301" s="58"/>
      <c r="G301" s="58"/>
      <c r="H301" s="58"/>
      <c r="I301" s="58"/>
      <c r="J301" s="60" t="s">
        <v>100</v>
      </c>
      <c r="K301" s="152">
        <f>SUM(K302:K303)</f>
        <v>-6.3978605110119062</v>
      </c>
      <c r="L301" s="152">
        <f>SUM(L302:L303)</f>
        <v>14.826240239261159</v>
      </c>
      <c r="M301" s="152">
        <f>SUM(M302:M303)</f>
        <v>-3.7120651353853771</v>
      </c>
      <c r="N301" s="152">
        <f>SUM(N302:N303)</f>
        <v>11.216302447668697</v>
      </c>
      <c r="O301" s="152">
        <f>SUM(O302:O303)</f>
        <v>4.8909298938290036</v>
      </c>
      <c r="P301" s="166">
        <f>IFERROR(AVERAGE(K301:O301),"-")</f>
        <v>4.1647093868723157</v>
      </c>
      <c r="Q301" s="166">
        <f t="shared" si="107"/>
        <v>2.0823546934361579</v>
      </c>
    </row>
    <row r="302" spans="2:17" outlineLevel="1" x14ac:dyDescent="0.25">
      <c r="C302" s="151" t="s">
        <v>117</v>
      </c>
      <c r="D302" s="60"/>
      <c r="G302" s="60"/>
      <c r="H302" s="60"/>
      <c r="I302" s="60"/>
      <c r="J302" s="60"/>
      <c r="K302" s="67">
        <f>K420</f>
        <v>1.8248234761643884</v>
      </c>
      <c r="L302" s="67">
        <f>L420</f>
        <v>-1.2662808725479466</v>
      </c>
      <c r="M302" s="67">
        <f>M420</f>
        <v>0.21319327473972866</v>
      </c>
      <c r="N302" s="67">
        <f>N420</f>
        <v>-1.4904706405479504</v>
      </c>
      <c r="O302" s="67">
        <f>O420</f>
        <v>2.823027675178083</v>
      </c>
      <c r="P302" s="169">
        <f t="shared" si="106"/>
        <v>0.42085858259726061</v>
      </c>
      <c r="Q302" s="166">
        <f t="shared" si="107"/>
        <v>0.21042929129863031</v>
      </c>
    </row>
    <row r="303" spans="2:17" outlineLevel="1" x14ac:dyDescent="0.25">
      <c r="C303" s="151" t="s">
        <v>139</v>
      </c>
      <c r="D303" s="60"/>
      <c r="G303" s="60"/>
      <c r="H303" s="60"/>
      <c r="I303" s="60"/>
      <c r="J303" s="60"/>
      <c r="K303" s="67">
        <f>K434</f>
        <v>-8.2226839871762945</v>
      </c>
      <c r="L303" s="67">
        <f>L434</f>
        <v>16.092521111809106</v>
      </c>
      <c r="M303" s="67">
        <f>M434</f>
        <v>-3.9252584101251058</v>
      </c>
      <c r="N303" s="67">
        <f>N434</f>
        <v>12.706773088216648</v>
      </c>
      <c r="O303" s="67">
        <f>O434</f>
        <v>2.0679022186509202</v>
      </c>
      <c r="P303" s="169">
        <f t="shared" si="106"/>
        <v>3.7438508042750547</v>
      </c>
      <c r="Q303" s="166">
        <f t="shared" si="107"/>
        <v>1.8719254021375273</v>
      </c>
    </row>
    <row r="304" spans="2:17" outlineLevel="1" x14ac:dyDescent="0.25">
      <c r="C304" s="58" t="s">
        <v>487</v>
      </c>
      <c r="D304" s="58"/>
      <c r="G304" s="58"/>
      <c r="H304" s="58"/>
      <c r="I304" s="58"/>
      <c r="J304" s="60" t="s">
        <v>101</v>
      </c>
      <c r="K304" s="152">
        <f>SUM(K305:K306)</f>
        <v>-59.595108454241831</v>
      </c>
      <c r="L304" s="152">
        <f>SUM(L305:L306)</f>
        <v>3.64918860731686</v>
      </c>
      <c r="M304" s="152">
        <f>SUM(M305:M306)</f>
        <v>10.344808847787727</v>
      </c>
      <c r="N304" s="152">
        <f>SUM(N305:N306)</f>
        <v>5.7208803654110367</v>
      </c>
      <c r="O304" s="152">
        <f>SUM(O305:O306)</f>
        <v>-6.1969538962713306</v>
      </c>
      <c r="P304" s="166">
        <f>IFERROR(AVERAGE(K304:O304),"-")</f>
        <v>-9.2154369059995087</v>
      </c>
      <c r="Q304" s="166">
        <f t="shared" si="107"/>
        <v>-4.6077184529997544</v>
      </c>
    </row>
    <row r="305" spans="2:18" outlineLevel="1" x14ac:dyDescent="0.25">
      <c r="C305" s="151" t="s">
        <v>117</v>
      </c>
      <c r="D305" s="60"/>
      <c r="G305" s="60"/>
      <c r="H305" s="60"/>
      <c r="I305" s="60"/>
      <c r="J305" s="60"/>
      <c r="K305" s="67">
        <f>K448</f>
        <v>1.8248234761643884</v>
      </c>
      <c r="L305" s="67">
        <f>L448</f>
        <v>-1.2648939274520594</v>
      </c>
      <c r="M305" s="67">
        <f>M448</f>
        <v>22.051040079561648</v>
      </c>
      <c r="N305" s="67">
        <f>N448</f>
        <v>-1.489678100493145</v>
      </c>
      <c r="O305" s="67">
        <f>O448</f>
        <v>6.7861242191780837</v>
      </c>
      <c r="P305" s="169">
        <f t="shared" si="106"/>
        <v>5.5814831493917838</v>
      </c>
      <c r="Q305" s="166">
        <f t="shared" si="107"/>
        <v>2.7907415746958919</v>
      </c>
    </row>
    <row r="306" spans="2:18" outlineLevel="1" x14ac:dyDescent="0.25">
      <c r="C306" s="151" t="s">
        <v>139</v>
      </c>
      <c r="D306" s="60"/>
      <c r="G306" s="60"/>
      <c r="H306" s="60"/>
      <c r="I306" s="60"/>
      <c r="J306" s="60"/>
      <c r="K306" s="67">
        <f>K462</f>
        <v>-61.419931930406221</v>
      </c>
      <c r="L306" s="67">
        <f>L462</f>
        <v>4.9140825347689194</v>
      </c>
      <c r="M306" s="67">
        <f>M462</f>
        <v>-11.706231231773922</v>
      </c>
      <c r="N306" s="67">
        <f>N462</f>
        <v>7.2105584659041817</v>
      </c>
      <c r="O306" s="67">
        <f>O462</f>
        <v>-12.983078115449414</v>
      </c>
      <c r="P306" s="169">
        <f t="shared" si="106"/>
        <v>-14.796920055391292</v>
      </c>
      <c r="Q306" s="166">
        <f t="shared" si="107"/>
        <v>-7.3984600276956458</v>
      </c>
    </row>
    <row r="307" spans="2:18" outlineLevel="1" x14ac:dyDescent="0.25"/>
    <row r="308" spans="2:18" outlineLevel="1" x14ac:dyDescent="0.25">
      <c r="K308" s="123"/>
      <c r="L308" s="123"/>
      <c r="M308" s="123"/>
      <c r="N308" s="123"/>
      <c r="O308" s="123"/>
      <c r="P308" s="147"/>
      <c r="Q308" s="147"/>
    </row>
    <row r="309" spans="2:18" ht="15.75" outlineLevel="1" x14ac:dyDescent="0.25">
      <c r="C309" s="55" t="s">
        <v>511</v>
      </c>
      <c r="D309" s="83" t="str">
        <f>INDEX(Inputs!$H$10:$Q$10,1,MATCH($D$235,Inputs!$H$8:$Q$8,0))</f>
        <v>F-NextVDO_Input</v>
      </c>
      <c r="E309" s="189">
        <f>INDEX(Input_TUNet_Dates[[F-CurrentVDO_Input]:[F-NextVDO_Input]],MATCH($C309,Input_TUNet_Dates[Item],0),MATCH($D309,Input_TUNet_Dates[[#Headers],[F-CurrentVDO_Input]:[F-NextVDO_Input]],0))</f>
        <v>44378</v>
      </c>
      <c r="K309" s="123"/>
      <c r="L309" s="123"/>
      <c r="M309" s="123"/>
      <c r="N309" s="123"/>
      <c r="O309" s="123"/>
      <c r="P309" s="147"/>
      <c r="Q309" s="147"/>
    </row>
    <row r="310" spans="2:18" ht="15.75" outlineLevel="1" x14ac:dyDescent="0.25">
      <c r="C310" s="55" t="s">
        <v>512</v>
      </c>
      <c r="D310" s="83" t="str">
        <f>INDEX(Inputs!$H$10:$Q$10,1,MATCH($D$235,Inputs!$H$8:$Q$8,0))</f>
        <v>F-NextVDO_Input</v>
      </c>
      <c r="E310" s="189">
        <f>INDEX(Input_TUNet_Dates[[F-CurrentVDO_Input]:[F-NextVDO_Input]],MATCH($C310,Input_TUNet_Dates[Item],0),MATCH($D310,Input_TUNet_Dates[[#Headers],[F-CurrentVDO_Input]:[F-NextVDO_Input]],0))</f>
        <v>44439</v>
      </c>
      <c r="K310" s="123"/>
      <c r="L310" s="123"/>
      <c r="M310" s="123"/>
      <c r="N310" s="123"/>
      <c r="O310" s="123"/>
      <c r="P310" s="147"/>
      <c r="Q310" s="147"/>
      <c r="R310" s="88"/>
    </row>
    <row r="311" spans="2:18" ht="15.75" outlineLevel="1" x14ac:dyDescent="0.25">
      <c r="C311" s="55" t="s">
        <v>574</v>
      </c>
      <c r="D311" s="228">
        <f>IFERROR(_xlfn.DAYS(E310,E309)+1,"-")</f>
        <v>62</v>
      </c>
      <c r="K311" s="123"/>
      <c r="L311" s="123"/>
      <c r="M311" s="123"/>
      <c r="N311" s="123"/>
      <c r="O311" s="123"/>
      <c r="P311" s="147"/>
      <c r="Q311" s="147"/>
      <c r="R311" s="88"/>
    </row>
    <row r="312" spans="2:18" ht="15.75" outlineLevel="1" x14ac:dyDescent="0.25">
      <c r="B312"/>
      <c r="C312" s="55" t="s">
        <v>474</v>
      </c>
      <c r="D312" s="157">
        <f>IFERROR(D311/DiY,"-")</f>
        <v>0.16986301369863013</v>
      </c>
      <c r="G312" s="147"/>
    </row>
    <row r="313" spans="2:18" ht="15.75" hidden="1" outlineLevel="1" x14ac:dyDescent="0.25">
      <c r="B313"/>
      <c r="C313" s="55" t="s">
        <v>435</v>
      </c>
      <c r="D313" s="156" t="s">
        <v>326</v>
      </c>
    </row>
    <row r="314" spans="2:18" ht="15.75" hidden="1" outlineLevel="1" x14ac:dyDescent="0.25">
      <c r="B314"/>
      <c r="C314" s="55" t="s">
        <v>517</v>
      </c>
      <c r="D314" s="157">
        <f>(1+WACC)^(1/2)-1</f>
        <v>3.2230594392551382E-2</v>
      </c>
    </row>
    <row r="315" spans="2:18" outlineLevel="1" x14ac:dyDescent="0.25">
      <c r="B315"/>
    </row>
    <row r="316" spans="2:18" ht="15.75" outlineLevel="1" x14ac:dyDescent="0.25">
      <c r="B316"/>
      <c r="C316" s="30" t="s">
        <v>583</v>
      </c>
    </row>
    <row r="317" spans="2:18" ht="15.75" outlineLevel="1" x14ac:dyDescent="0.25">
      <c r="B317"/>
      <c r="C317" s="178" t="s">
        <v>6</v>
      </c>
      <c r="D317" s="178" t="s">
        <v>109</v>
      </c>
      <c r="E317" s="178" t="s">
        <v>99</v>
      </c>
      <c r="F317" s="178" t="s">
        <v>569</v>
      </c>
    </row>
    <row r="318" spans="2:18" outlineLevel="1" x14ac:dyDescent="0.25">
      <c r="B318"/>
      <c r="C318" s="60" t="s">
        <v>562</v>
      </c>
      <c r="D318" s="83" t="str">
        <f>INDEX(Inputs!$H$10:$Q$10,1,MATCH($D$235,Inputs!$H$8:$Q$8,0))</f>
        <v>F-NextVDO_Input</v>
      </c>
      <c r="E318" s="60" t="s">
        <v>100</v>
      </c>
      <c r="F318" s="183">
        <f>SUMIFS(
INDEX(Input_TUNet_Actual[[F-CurrentVDO_Input]:[F-NextVDO_Input]],0,MATCH(TUNet_Usage_Actual_2[[#This Row],[VDO decision]],Input_TUNet_Actual[[#Headers],[F-CurrentVDO_Input]:[F-NextVDO_Input]],0)),
Input_TUNet_Actual[Customer type],Calc_TU_values!E318,Input_TUNet_Actual[Item],Calc_TU_values!C318)</f>
        <v>2569719112.2439995</v>
      </c>
    </row>
    <row r="319" spans="2:18" outlineLevel="1" x14ac:dyDescent="0.25">
      <c r="B319"/>
      <c r="C319" s="24" t="s">
        <v>558</v>
      </c>
      <c r="D319" s="83" t="str">
        <f>INDEX(Inputs!$H$10:$Q$10,1,MATCH($D$235,Inputs!$H$8:$Q$8,0))</f>
        <v>F-NextVDO_Input</v>
      </c>
      <c r="E319" s="60" t="s">
        <v>100</v>
      </c>
      <c r="F319" s="183">
        <f>SUMIFS(
INDEX(Input_TUNet_Actual[[F-CurrentVDO_Input]:[F-NextVDO_Input]],0,MATCH(TUNet_Usage_Actual_2[[#This Row],[VDO decision]],Input_TUNet_Actual[[#Headers],[F-CurrentVDO_Input]:[F-NextVDO_Input]],0)),
Input_TUNet_Actual[Customer type],Calc_TU_values!E319,Input_TUNet_Actual[Item],Calc_TU_values!C319)</f>
        <v>2713463</v>
      </c>
    </row>
    <row r="320" spans="2:18" outlineLevel="1" x14ac:dyDescent="0.25">
      <c r="B320"/>
      <c r="C320" s="60" t="s">
        <v>568</v>
      </c>
      <c r="D320" s="83" t="str">
        <f>INDEX(Inputs!$H$10:$Q$10,1,MATCH($D$235,Inputs!$H$8:$Q$8,0))</f>
        <v>F-NextVDO_Input</v>
      </c>
      <c r="E320" s="60" t="s">
        <v>100</v>
      </c>
      <c r="F320" s="184">
        <f>IFERROR(F318/F319,"-")</f>
        <v>947.02566876496917</v>
      </c>
    </row>
    <row r="321" spans="2:15" outlineLevel="1" x14ac:dyDescent="0.25">
      <c r="B321"/>
      <c r="C321" s="60" t="s">
        <v>562</v>
      </c>
      <c r="D321" s="83" t="str">
        <f>INDEX(Inputs!$H$10:$Q$10,1,MATCH($D$235,Inputs!$H$8:$Q$8,0))</f>
        <v>F-NextVDO_Input</v>
      </c>
      <c r="E321" s="60" t="s">
        <v>101</v>
      </c>
      <c r="F321" s="183">
        <f>SUMIFS(
INDEX(Input_TUNet_Actual[[F-CurrentVDO_Input]:[F-NextVDO_Input]],0,MATCH(TUNet_Usage_Actual_2[[#This Row],[VDO decision]],Input_TUNet_Actual[[#Headers],[F-CurrentVDO_Input]:[F-NextVDO_Input]],0)),
Input_TUNet_Actual[Customer type],Calc_TU_values!E321,Input_TUNet_Actual[Item],Calc_TU_values!C321)</f>
        <v>394181124.54900002</v>
      </c>
    </row>
    <row r="322" spans="2:15" outlineLevel="1" x14ac:dyDescent="0.25">
      <c r="B322"/>
      <c r="C322" s="24" t="s">
        <v>558</v>
      </c>
      <c r="D322" s="83" t="str">
        <f>INDEX(Inputs!$H$10:$Q$10,1,MATCH($D$235,Inputs!$H$8:$Q$8,0))</f>
        <v>F-NextVDO_Input</v>
      </c>
      <c r="E322" s="60" t="s">
        <v>101</v>
      </c>
      <c r="F322" s="183">
        <f>SUMIFS(
INDEX(Input_TUNet_Actual[[F-CurrentVDO_Input]:[F-NextVDO_Input]],0,MATCH(TUNet_Usage_Actual_2[[#This Row],[VDO decision]],Input_TUNet_Actual[[#Headers],[F-CurrentVDO_Input]:[F-NextVDO_Input]],0)),
Input_TUNet_Actual[Customer type],Calc_TU_values!E322,Input_TUNet_Actual[Item],Calc_TU_values!C322)</f>
        <v>293515</v>
      </c>
    </row>
    <row r="323" spans="2:15" outlineLevel="1" x14ac:dyDescent="0.25">
      <c r="B323"/>
      <c r="C323" s="60" t="s">
        <v>568</v>
      </c>
      <c r="D323" s="83" t="str">
        <f>INDEX(Inputs!$H$10:$Q$10,1,MATCH($D$235,Inputs!$H$8:$Q$8,0))</f>
        <v>F-NextVDO_Input</v>
      </c>
      <c r="E323" s="185" t="s">
        <v>101</v>
      </c>
      <c r="F323" s="184">
        <f>IFERROR(F321/F322,"-")</f>
        <v>1342.9675640052469</v>
      </c>
    </row>
    <row r="324" spans="2:15" outlineLevel="1" x14ac:dyDescent="0.25">
      <c r="B324"/>
      <c r="C324" s="185" t="s">
        <v>723</v>
      </c>
      <c r="D324" s="83" t="str">
        <f>INDEX(Inputs!$H$10:$Q$10,1,MATCH($D$235,Inputs!$H$8:$Q$8,0))</f>
        <v>F-NextVDO_Input</v>
      </c>
      <c r="E324" s="60" t="s">
        <v>100</v>
      </c>
      <c r="F324" s="157">
        <f>SUMIFS(
INDEX(Input_TUNet_Actual[[F-CurrentVDO_Input]:[F-NextVDO_Input]],0,MATCH(TUNet_Usage_Actual_2[[#This Row],[VDO decision]],Input_TUNet_Actual[[#Headers],[F-CurrentVDO_Input]:[F-NextVDO_Input]],0)),
Input_TUNet_Actual[Item],"Total usage - Controlled load",Input_TUNet_Actual[Customer type],TUNet_Usage_Actual_2[[#This Row],[Customer type]],Input_TUNet_Actual[Month],"July 2020 to August 2020")
/SUMIFS(
INDEX(Input_TUNet_Actual[[F-CurrentVDO_Input]:[F-NextVDO_Input]],0,MATCH(TUNet_Usage_Actual_2[[#This Row],[VDO decision]],Input_TUNet_Actual[[#Headers],[F-CurrentVDO_Input]:[F-NextVDO_Input]],0)),
Input_TUNet_Actual[Item],"Total usage - Controlled load",Input_TUNet_Actual[Customer type],TUNet_Usage_Actual_2[[#This Row],[Customer type]],Input_TUNet_Actual[Month],"July 2020 to June 2021")</f>
        <v>0.24272794067310086</v>
      </c>
    </row>
    <row r="325" spans="2:15" outlineLevel="1" x14ac:dyDescent="0.25">
      <c r="B325"/>
    </row>
    <row r="326" spans="2:15" ht="15.75" outlineLevel="1" x14ac:dyDescent="0.25">
      <c r="B326"/>
      <c r="C326" s="30" t="s">
        <v>598</v>
      </c>
    </row>
    <row r="327" spans="2:15" ht="15.75" outlineLevel="1" x14ac:dyDescent="0.25">
      <c r="B327"/>
      <c r="C327" s="178" t="s">
        <v>6</v>
      </c>
      <c r="D327" s="178" t="s">
        <v>109</v>
      </c>
      <c r="E327" s="178" t="s">
        <v>99</v>
      </c>
      <c r="F327" s="178" t="s">
        <v>277</v>
      </c>
      <c r="G327" s="61" t="s">
        <v>278</v>
      </c>
      <c r="H327" s="61" t="s">
        <v>279</v>
      </c>
      <c r="I327" s="61" t="s">
        <v>280</v>
      </c>
      <c r="J327" s="61" t="s">
        <v>281</v>
      </c>
    </row>
    <row r="328" spans="2:15" outlineLevel="1" x14ac:dyDescent="0.25">
      <c r="B328"/>
      <c r="C328" s="60" t="s">
        <v>592</v>
      </c>
      <c r="D328" s="83" t="str">
        <f>INDEX(Inputs!$H$10:$Q$10,1,MATCH($D$235,Inputs!$H$8:$Q$8,0))</f>
        <v>F-NextVDO_Input</v>
      </c>
      <c r="E328" s="60" t="s">
        <v>100</v>
      </c>
      <c r="F328" s="188">
        <f>IF(SUMIFS(
INDEX(Input_TUNet_Actual[[F-CurrentVDO_Input]:[F-NextVDO_Input]],0,MATCH(TUNet_Usage_PerRate_2[[#This Row],[VDO decision]],Input_TUNet_Actual[[#Headers],[F-CurrentVDO_Input]:[F-NextVDO_Input]],0)),
Input_TUNet_Actual[Customer type],$E328,Input_TUNet_Actual[Item],$C328&amp;" - "&amp;F$327)=0,"-",MIN(SUMIFS(TUNet_Usage_Actual_2[Value],TUNet_Usage_Actual_2[Customer type],$E328,TUNet_Usage_Actual_2[Description],"Usage per customer"),SUMIFS(
INDEX(Input_TUNet_Actual[[F-CurrentVDO_Input]:[F-NextVDO_Input]],0,MATCH(TUNet_Usage_PerRate_2[[#This Row],[VDO decision]],Input_TUNet_Actual[[#Headers],[F-CurrentVDO_Input]:[F-NextVDO_Input]],0)),
Input_TUNet_Actual[Customer type],$E328,Input_TUNet_Actual[Item],$C328&amp;" - "&amp;F$327)))</f>
        <v>947.02566876496917</v>
      </c>
      <c r="G328" s="188" t="str">
        <f>IF(SUMIFS(
INDEX(Input_TUNet_Actual[[F-CurrentVDO_Input]:[F-NextVDO_Input]],0,MATCH(TUNet_Usage_PerRate_2[[#This Row],[VDO decision]],Input_TUNet_Actual[[#Headers],[F-CurrentVDO_Input]:[F-NextVDO_Input]],0)),
Input_TUNet_Actual[Customer type],$E328,Input_TUNet_Actual[Item],$C328&amp;" - "&amp;G$327)=0,"-",MIN(SUMIFS(TUNet_Usage_Actual_2[Value],TUNet_Usage_Actual_2[Customer type],$E328,TUNet_Usage_Actual_2[Description],"Usage per customer"),SUMIFS(
INDEX(Input_TUNet_Actual[[F-CurrentVDO_Input]:[F-NextVDO_Input]],0,MATCH(TUNet_Usage_PerRate_2[[#This Row],[VDO decision]],Input_TUNet_Actual[[#Headers],[F-CurrentVDO_Input]:[F-NextVDO_Input]],0)),
Input_TUNet_Actual[Customer type],$E328,Input_TUNet_Actual[Item],$C328&amp;" - "&amp;G$327)))</f>
        <v>-</v>
      </c>
      <c r="H328" s="188" t="str">
        <f>IF(SUMIFS(
INDEX(Input_TUNet_Actual[[F-CurrentVDO_Input]:[F-NextVDO_Input]],0,MATCH(TUNet_Usage_PerRate_2[[#This Row],[VDO decision]],Input_TUNet_Actual[[#Headers],[F-CurrentVDO_Input]:[F-NextVDO_Input]],0)),
Input_TUNet_Actual[Customer type],$E328,Input_TUNet_Actual[Item],$C328&amp;" - "&amp;H$327)=0,"-",MIN(SUMIFS(TUNet_Usage_Actual_2[Value],TUNet_Usage_Actual_2[Customer type],$E328,TUNet_Usage_Actual_2[Description],"Usage per customer"),SUMIFS(
INDEX(Input_TUNet_Actual[[F-CurrentVDO_Input]:[F-NextVDO_Input]],0,MATCH(TUNet_Usage_PerRate_2[[#This Row],[VDO decision]],Input_TUNet_Actual[[#Headers],[F-CurrentVDO_Input]:[F-NextVDO_Input]],0)),
Input_TUNet_Actual[Customer type],$E328,Input_TUNet_Actual[Item],$C328&amp;" - "&amp;H$327)))</f>
        <v>-</v>
      </c>
      <c r="I328" s="188" t="str">
        <f>IF(SUMIFS(
INDEX(Input_TUNet_Actual[[F-CurrentVDO_Input]:[F-NextVDO_Input]],0,MATCH(TUNet_Usage_PerRate_2[[#This Row],[VDO decision]],Input_TUNet_Actual[[#Headers],[F-CurrentVDO_Input]:[F-NextVDO_Input]],0)),
Input_TUNet_Actual[Customer type],$E328,Input_TUNet_Actual[Item],$C328&amp;" - "&amp;I$327)=0,"-",MIN(SUMIFS(TUNet_Usage_Actual_2[Value],TUNet_Usage_Actual_2[Customer type],$E328,TUNet_Usage_Actual_2[Description],"Usage per customer"),SUMIFS(
INDEX(Input_TUNet_Actual[[F-CurrentVDO_Input]:[F-NextVDO_Input]],0,MATCH(TUNet_Usage_PerRate_2[[#This Row],[VDO decision]],Input_TUNet_Actual[[#Headers],[F-CurrentVDO_Input]:[F-NextVDO_Input]],0)),
Input_TUNet_Actual[Customer type],$E328,Input_TUNet_Actual[Item],$C328&amp;" - "&amp;I$327)))</f>
        <v>-</v>
      </c>
      <c r="J328" s="188" t="str">
        <f>IF(SUMIFS(
INDEX(Input_TUNet_Actual[[F-CurrentVDO_Input]:[F-NextVDO_Input]],0,MATCH(TUNet_Usage_PerRate_2[[#This Row],[VDO decision]],Input_TUNet_Actual[[#Headers],[F-CurrentVDO_Input]:[F-NextVDO_Input]],0)),
Input_TUNet_Actual[Customer type],$E328,Input_TUNet_Actual[Item],$C328&amp;" - "&amp;J$327)=0,"-",MIN(SUMIFS(TUNet_Usage_Actual_2[Value],TUNet_Usage_Actual_2[Customer type],$E328,TUNet_Usage_Actual_2[Description],"Usage per customer"),SUMIFS(
INDEX(Input_TUNet_Actual[[F-CurrentVDO_Input]:[F-NextVDO_Input]],0,MATCH(TUNet_Usage_PerRate_2[[#This Row],[VDO decision]],Input_TUNet_Actual[[#Headers],[F-CurrentVDO_Input]:[F-NextVDO_Input]],0)),
Input_TUNet_Actual[Customer type],$E328,Input_TUNet_Actual[Item],$C328&amp;" - "&amp;J$327)))</f>
        <v>-</v>
      </c>
    </row>
    <row r="329" spans="2:15" outlineLevel="1" x14ac:dyDescent="0.25">
      <c r="B329"/>
      <c r="C329" s="60" t="s">
        <v>592</v>
      </c>
      <c r="D329" s="83" t="str">
        <f>INDEX(Inputs!$H$10:$Q$10,1,MATCH($D$235,Inputs!$H$8:$Q$8,0))</f>
        <v>F-NextVDO_Input</v>
      </c>
      <c r="E329" s="60" t="s">
        <v>101</v>
      </c>
      <c r="F329" s="188">
        <f>IF(SUMIFS(
INDEX(Input_TUNet_Actual[[F-CurrentVDO_Input]:[F-NextVDO_Input]],0,MATCH(TUNet_Usage_PerRate_2[[#This Row],[VDO decision]],Input_TUNet_Actual[[#Headers],[F-CurrentVDO_Input]:[F-NextVDO_Input]],0)),
Input_TUNet_Actual[Customer type],$E329,Input_TUNet_Actual[Item],$C329&amp;" - "&amp;F$327)=0,"-",MIN(SUMIFS(TUNet_Usage_Actual_2[Value],TUNet_Usage_Actual_2[Customer type],$E329,TUNet_Usage_Actual_2[Description],"Usage per customer"),SUMIFS(
INDEX(Input_TUNet_Actual[[F-CurrentVDO_Input]:[F-NextVDO_Input]],0,MATCH(TUNet_Usage_PerRate_2[[#This Row],[VDO decision]],Input_TUNet_Actual[[#Headers],[F-CurrentVDO_Input]:[F-NextVDO_Input]],0)),
Input_TUNet_Actual[Customer type],$E329,Input_TUNet_Actual[Item],$C329&amp;" - "&amp;F$327)))</f>
        <v>1020</v>
      </c>
      <c r="G329" s="188" t="str">
        <f>IF(SUMIFS(
INDEX(Input_TUNet_Actual[[F-CurrentVDO_Input]:[F-NextVDO_Input]],0,MATCH(TUNet_Usage_PerRate_2[[#This Row],[VDO decision]],Input_TUNet_Actual[[#Headers],[F-CurrentVDO_Input]:[F-NextVDO_Input]],0)),
Input_TUNet_Actual[Customer type],$E329,Input_TUNet_Actual[Item],$C329&amp;" - "&amp;G$327)=0,"-",MIN(SUMIFS(TUNet_Usage_Actual_2[Value],TUNet_Usage_Actual_2[Customer type],$E329,TUNet_Usage_Actual_2[Description],"Usage per customer"),SUMIFS(
INDEX(Input_TUNet_Actual[[F-CurrentVDO_Input]:[F-NextVDO_Input]],0,MATCH(TUNet_Usage_PerRate_2[[#This Row],[VDO decision]],Input_TUNet_Actual[[#Headers],[F-CurrentVDO_Input]:[F-NextVDO_Input]],0)),
Input_TUNet_Actual[Customer type],$E329,Input_TUNet_Actual[Item],$C329&amp;" - "&amp;G$327)))</f>
        <v>-</v>
      </c>
      <c r="H329" s="188" t="str">
        <f>IF(SUMIFS(
INDEX(Input_TUNet_Actual[[F-CurrentVDO_Input]:[F-NextVDO_Input]],0,MATCH(TUNet_Usage_PerRate_2[[#This Row],[VDO decision]],Input_TUNet_Actual[[#Headers],[F-CurrentVDO_Input]:[F-NextVDO_Input]],0)),
Input_TUNet_Actual[Customer type],$E329,Input_TUNet_Actual[Item],$C329&amp;" - "&amp;H$327)=0,"-",MIN(SUMIFS(TUNet_Usage_Actual_2[Value],TUNet_Usage_Actual_2[Customer type],$E329,TUNet_Usage_Actual_2[Description],"Usage per customer"),SUMIFS(
INDEX(Input_TUNet_Actual[[F-CurrentVDO_Input]:[F-NextVDO_Input]],0,MATCH(TUNet_Usage_PerRate_2[[#This Row],[VDO decision]],Input_TUNet_Actual[[#Headers],[F-CurrentVDO_Input]:[F-NextVDO_Input]],0)),
Input_TUNet_Actual[Customer type],$E329,Input_TUNet_Actual[Item],$C329&amp;" - "&amp;H$327)))</f>
        <v>-</v>
      </c>
      <c r="I329" s="188" t="str">
        <f>IF(SUMIFS(
INDEX(Input_TUNet_Actual[[F-CurrentVDO_Input]:[F-NextVDO_Input]],0,MATCH(TUNet_Usage_PerRate_2[[#This Row],[VDO decision]],Input_TUNet_Actual[[#Headers],[F-CurrentVDO_Input]:[F-NextVDO_Input]],0)),
Input_TUNet_Actual[Customer type],$E329,Input_TUNet_Actual[Item],$C329&amp;" - "&amp;I$327)=0,"-",MIN(SUMIFS(TUNet_Usage_Actual_2[Value],TUNet_Usage_Actual_2[Customer type],$E329,TUNet_Usage_Actual_2[Description],"Usage per customer"),SUMIFS(
INDEX(Input_TUNet_Actual[[F-CurrentVDO_Input]:[F-NextVDO_Input]],0,MATCH(TUNet_Usage_PerRate_2[[#This Row],[VDO decision]],Input_TUNet_Actual[[#Headers],[F-CurrentVDO_Input]:[F-NextVDO_Input]],0)),
Input_TUNet_Actual[Customer type],$E329,Input_TUNet_Actual[Item],$C329&amp;" - "&amp;I$327)))</f>
        <v>-</v>
      </c>
      <c r="J329" s="188" t="str">
        <f>IF(SUMIFS(
INDEX(Input_TUNet_Actual[[F-CurrentVDO_Input]:[F-NextVDO_Input]],0,MATCH(TUNet_Usage_PerRate_2[[#This Row],[VDO decision]],Input_TUNet_Actual[[#Headers],[F-CurrentVDO_Input]:[F-NextVDO_Input]],0)),
Input_TUNet_Actual[Customer type],$E329,Input_TUNet_Actual[Item],$C329&amp;" - "&amp;J$327)=0,"-",MIN(SUMIFS(TUNet_Usage_Actual_2[Value],TUNet_Usage_Actual_2[Customer type],$E329,TUNet_Usage_Actual_2[Description],"Usage per customer"),SUMIFS(
INDEX(Input_TUNet_Actual[[F-CurrentVDO_Input]:[F-NextVDO_Input]],0,MATCH(TUNet_Usage_PerRate_2[[#This Row],[VDO decision]],Input_TUNet_Actual[[#Headers],[F-CurrentVDO_Input]:[F-NextVDO_Input]],0)),
Input_TUNet_Actual[Customer type],$E329,Input_TUNet_Actual[Item],$C329&amp;" - "&amp;J$327)))</f>
        <v>-</v>
      </c>
    </row>
    <row r="330" spans="2:15" outlineLevel="1" x14ac:dyDescent="0.25">
      <c r="B330"/>
      <c r="C330" s="185" t="s">
        <v>593</v>
      </c>
      <c r="D330" s="187" t="str">
        <f>INDEX(Inputs!$H$10:$Q$10,1,MATCH($D$235,Inputs!$H$8:$Q$8,0))</f>
        <v>F-NextVDO_Input</v>
      </c>
      <c r="E330" s="60" t="s">
        <v>100</v>
      </c>
      <c r="F330" s="188">
        <f>IF(SUMIFS(F$328:F$329,$E$328:$E$329,$E330,$C$328:$C$329,"Usage per customer - Block 1")=0,"-",SUMIFS(TUNet_Usage_Actual_2[Value],TUNet_Usage_Actual_2[Customer type],$E330,TUNet_Usage_Actual_2[Description],"Usage per customer")-SUMIFS(F$328:F$329,$E$328:$E$329,$E330,$C$328:$C$329,"Usage per customer - Block 1"))</f>
        <v>0</v>
      </c>
      <c r="G330" s="188" t="str">
        <f>IF(SUMIFS(G$328:G$329,$E$328:$E$329,$E330,$C$328:$C$329,"Usage per customer - Block 1")=0,"-",SUMIFS(TUNet_Usage_Actual_2[Value],TUNet_Usage_Actual_2[Customer type],$E330,TUNet_Usage_Actual_2[Description],"Usage per customer")-SUMIFS(G$328:G$329,$E$328:$E$329,$E330,$C$328:$C$329,"Usage per customer - Block 1"))</f>
        <v>-</v>
      </c>
      <c r="H330" s="188" t="str">
        <f>IF(SUMIFS(H$328:H$329,$E$328:$E$329,$E330,$C$328:$C$329,"Usage per customer - Block 1")=0,"-",SUMIFS(TUNet_Usage_Actual_2[Value],TUNet_Usage_Actual_2[Customer type],$E330,TUNet_Usage_Actual_2[Description],"Usage per customer")-SUMIFS(H$328:H$329,$E$328:$E$329,$E330,$C$328:$C$329,"Usage per customer - Block 1"))</f>
        <v>-</v>
      </c>
      <c r="I330" s="188" t="str">
        <f>IF(SUMIFS(I$328:I$329,$E$328:$E$329,$E330,$C$328:$C$329,"Usage per customer - Block 1")=0,"-",SUMIFS(TUNet_Usage_Actual_2[Value],TUNet_Usage_Actual_2[Customer type],$E330,TUNet_Usage_Actual_2[Description],"Usage per customer")-SUMIFS(I$328:I$329,$E$328:$E$329,$E330,$C$328:$C$329,"Usage per customer - Block 1"))</f>
        <v>-</v>
      </c>
      <c r="J330" s="188" t="str">
        <f>IF(SUMIFS(J$328:J$329,$E$328:$E$329,$E330,$C$328:$C$329,"Usage per customer - Block 1")=0,"-",SUMIFS(TUNet_Usage_Actual_2[Value],TUNet_Usage_Actual_2[Customer type],$E330,TUNet_Usage_Actual_2[Description],"Usage per customer")-SUMIFS(J$328:J$329,$E$328:$E$329,$E330,$C$328:$C$329,"Usage per customer - Block 1"))</f>
        <v>-</v>
      </c>
    </row>
    <row r="331" spans="2:15" outlineLevel="1" x14ac:dyDescent="0.25">
      <c r="B331"/>
      <c r="C331" s="185" t="s">
        <v>593</v>
      </c>
      <c r="D331" s="187" t="str">
        <f>INDEX(Inputs!$H$10:$Q$10,1,MATCH($D$235,Inputs!$H$8:$Q$8,0))</f>
        <v>F-NextVDO_Input</v>
      </c>
      <c r="E331" s="60" t="s">
        <v>101</v>
      </c>
      <c r="F331" s="188">
        <f>IF(SUMIFS(F$328:F$329,$E$328:$E$329,$E331,$C$328:$C$329,"Usage per customer - Block 1")=0,"-",SUMIFS(TUNet_Usage_Actual_2[Value],TUNet_Usage_Actual_2[Customer type],$E331,TUNet_Usage_Actual_2[Description],"Usage per customer")-SUMIFS(F$328:F$329,$E$328:$E$329,$E331,$C$328:$C$329,"Usage per customer - Block 1"))</f>
        <v>322.96756400524691</v>
      </c>
      <c r="G331" s="188" t="str">
        <f>IF(SUMIFS(G$328:G$329,$E$328:$E$329,$E331,$C$328:$C$329,"Usage per customer - Block 1")=0,"-",SUMIFS(TUNet_Usage_Actual_2[Value],TUNet_Usage_Actual_2[Customer type],$E331,TUNet_Usage_Actual_2[Description],"Usage per customer")-SUMIFS(G$328:G$329,$E$328:$E$329,$E331,$C$328:$C$329,"Usage per customer - Block 1"))</f>
        <v>-</v>
      </c>
      <c r="H331" s="188" t="str">
        <f>IF(SUMIFS(H$328:H$329,$E$328:$E$329,$E331,$C$328:$C$329,"Usage per customer - Block 1")=0,"-",SUMIFS(TUNet_Usage_Actual_2[Value],TUNet_Usage_Actual_2[Customer type],$E331,TUNet_Usage_Actual_2[Description],"Usage per customer")-SUMIFS(H$328:H$329,$E$328:$E$329,$E331,$C$328:$C$329,"Usage per customer - Block 1"))</f>
        <v>-</v>
      </c>
      <c r="I331" s="188" t="str">
        <f>IF(SUMIFS(I$328:I$329,$E$328:$E$329,$E331,$C$328:$C$329,"Usage per customer - Block 1")=0,"-",SUMIFS(TUNet_Usage_Actual_2[Value],TUNet_Usage_Actual_2[Customer type],$E331,TUNet_Usage_Actual_2[Description],"Usage per customer")-SUMIFS(I$328:I$329,$E$328:$E$329,$E331,$C$328:$C$329,"Usage per customer - Block 1"))</f>
        <v>-</v>
      </c>
      <c r="J331" s="188" t="str">
        <f>IF(SUMIFS(J$328:J$329,$E$328:$E$329,$E331,$C$328:$C$329,"Usage per customer - Block 1")=0,"-",SUMIFS(TUNet_Usage_Actual_2[Value],TUNet_Usage_Actual_2[Customer type],$E331,TUNet_Usage_Actual_2[Description],"Usage per customer")-SUMIFS(J$328:J$329,$E$328:$E$329,$E331,$C$328:$C$329,"Usage per customer - Block 1"))</f>
        <v>-</v>
      </c>
    </row>
    <row r="332" spans="2:15" outlineLevel="1" x14ac:dyDescent="0.25">
      <c r="B332"/>
      <c r="C332" s="185" t="s">
        <v>594</v>
      </c>
      <c r="D332" s="187" t="str">
        <f>INDEX(Inputs!$H$10:$Q$10,1,MATCH($D$235,Inputs!$H$8:$Q$8,0))</f>
        <v>F-NextVDO_Input</v>
      </c>
      <c r="E332" s="60" t="s">
        <v>100</v>
      </c>
      <c r="F332" s="188" t="str">
        <f>IF(SUMIFS(
INDEX(Input_TUNet_Actual[[F-CurrentVDO_Input]:[F-NextVDO_Input]],0,MATCH(TUNet_Usage_PerRate_2[[#This Row],[VDO decision]],Input_TUNet_Actual[[#Headers],[F-CurrentVDO_Input]:[F-NextVDO_Input]],0)),
Input_TUNet_Actual[Customer type],$E332,Input_TUNet_Actual[Item],"Usage per customer - Block 1 - "&amp;F$327)=0,SUMIFS(TUNet_Usage_Actual_2[Value],TUNet_Usage_Actual_2[Customer type],$E332,TUNet_Usage_Actual_2[Description],"Usage per customer"),"-")</f>
        <v>-</v>
      </c>
      <c r="G332" s="188">
        <f>IF(SUMIFS(
INDEX(Input_TUNet_Actual[[F-CurrentVDO_Input]:[F-NextVDO_Input]],0,MATCH(TUNet_Usage_PerRate_2[[#This Row],[VDO decision]],Input_TUNet_Actual[[#Headers],[F-CurrentVDO_Input]:[F-NextVDO_Input]],0)),
Input_TUNet_Actual[Customer type],$E332,Input_TUNet_Actual[Item],"Usage per customer - Block 1 - "&amp;G$327)=0,SUMIFS(TUNet_Usage_Actual_2[Value],TUNet_Usage_Actual_2[Customer type],$E332,TUNet_Usage_Actual_2[Description],"Usage per customer"),"-")</f>
        <v>947.02566876496917</v>
      </c>
      <c r="H332" s="188">
        <f>IF(SUMIFS(
INDEX(Input_TUNet_Actual[[F-CurrentVDO_Input]:[F-NextVDO_Input]],0,MATCH(TUNet_Usage_PerRate_2[[#This Row],[VDO decision]],Input_TUNet_Actual[[#Headers],[F-CurrentVDO_Input]:[F-NextVDO_Input]],0)),
Input_TUNet_Actual[Customer type],$E332,Input_TUNet_Actual[Item],"Usage per customer - Block 1 - "&amp;H$327)=0,SUMIFS(TUNet_Usage_Actual_2[Value],TUNet_Usage_Actual_2[Customer type],$E332,TUNet_Usage_Actual_2[Description],"Usage per customer"),"-")</f>
        <v>947.02566876496917</v>
      </c>
      <c r="I332" s="188">
        <f>IF(SUMIFS(
INDEX(Input_TUNet_Actual[[F-CurrentVDO_Input]:[F-NextVDO_Input]],0,MATCH(TUNet_Usage_PerRate_2[[#This Row],[VDO decision]],Input_TUNet_Actual[[#Headers],[F-CurrentVDO_Input]:[F-NextVDO_Input]],0)),
Input_TUNet_Actual[Customer type],$E332,Input_TUNet_Actual[Item],"Usage per customer - Block 1 - "&amp;I$327)=0,SUMIFS(TUNet_Usage_Actual_2[Value],TUNet_Usage_Actual_2[Customer type],$E332,TUNet_Usage_Actual_2[Description],"Usage per customer"),"-")</f>
        <v>947.02566876496917</v>
      </c>
      <c r="J332" s="188">
        <f>IF(SUMIFS(
INDEX(Input_TUNet_Actual[[F-CurrentVDO_Input]:[F-NextVDO_Input]],0,MATCH(TUNet_Usage_PerRate_2[[#This Row],[VDO decision]],Input_TUNet_Actual[[#Headers],[F-CurrentVDO_Input]:[F-NextVDO_Input]],0)),
Input_TUNet_Actual[Customer type],$E332,Input_TUNet_Actual[Item],"Usage per customer - Block 1 - "&amp;J$327)=0,SUMIFS(TUNet_Usage_Actual_2[Value],TUNet_Usage_Actual_2[Customer type],$E332,TUNet_Usage_Actual_2[Description],"Usage per customer"),"-")</f>
        <v>947.02566876496917</v>
      </c>
    </row>
    <row r="333" spans="2:15" outlineLevel="1" x14ac:dyDescent="0.25">
      <c r="B333"/>
      <c r="C333" s="149" t="s">
        <v>594</v>
      </c>
      <c r="D333" s="187" t="str">
        <f>INDEX(Inputs!$H$10:$Q$10,1,MATCH($D$235,Inputs!$H$8:$Q$8,0))</f>
        <v>F-NextVDO_Input</v>
      </c>
      <c r="E333" s="60" t="s">
        <v>101</v>
      </c>
      <c r="F333" s="191" t="str">
        <f>IF(SUMIFS(
INDEX(Input_TUNet_Actual[[F-CurrentVDO_Input]:[F-NextVDO_Input]],0,MATCH(TUNet_Usage_PerRate_2[[#This Row],[VDO decision]],Input_TUNet_Actual[[#Headers],[F-CurrentVDO_Input]:[F-NextVDO_Input]],0)),
Input_TUNet_Actual[Customer type],$E333,Input_TUNet_Actual[Item],"Usage per customer - Block 1 - "&amp;F$327)=0,SUMIFS(TUNet_Usage_Actual_2[Value],TUNet_Usage_Actual_2[Customer type],$E333,TUNet_Usage_Actual_2[Description],"Usage per customer"),"-")</f>
        <v>-</v>
      </c>
      <c r="G333" s="191">
        <f>IF(SUMIFS(
INDEX(Input_TUNet_Actual[[F-CurrentVDO_Input]:[F-NextVDO_Input]],0,MATCH(TUNet_Usage_PerRate_2[[#This Row],[VDO decision]],Input_TUNet_Actual[[#Headers],[F-CurrentVDO_Input]:[F-NextVDO_Input]],0)),
Input_TUNet_Actual[Customer type],$E333,Input_TUNet_Actual[Item],"Usage per customer - Block 1 - "&amp;G$327)=0,SUMIFS(TUNet_Usage_Actual_2[Value],TUNet_Usage_Actual_2[Customer type],$E333,TUNet_Usage_Actual_2[Description],"Usage per customer"),"-")</f>
        <v>1342.9675640052469</v>
      </c>
      <c r="H333" s="191">
        <f>IF(SUMIFS(
INDEX(Input_TUNet_Actual[[F-CurrentVDO_Input]:[F-NextVDO_Input]],0,MATCH(TUNet_Usage_PerRate_2[[#This Row],[VDO decision]],Input_TUNet_Actual[[#Headers],[F-CurrentVDO_Input]:[F-NextVDO_Input]],0)),
Input_TUNet_Actual[Customer type],$E333,Input_TUNet_Actual[Item],"Usage per customer - Block 1 - "&amp;H$327)=0,SUMIFS(TUNet_Usage_Actual_2[Value],TUNet_Usage_Actual_2[Customer type],$E333,TUNet_Usage_Actual_2[Description],"Usage per customer"),"-")</f>
        <v>1342.9675640052469</v>
      </c>
      <c r="I333" s="191">
        <f>IF(SUMIFS(
INDEX(Input_TUNet_Actual[[F-CurrentVDO_Input]:[F-NextVDO_Input]],0,MATCH(TUNet_Usage_PerRate_2[[#This Row],[VDO decision]],Input_TUNet_Actual[[#Headers],[F-CurrentVDO_Input]:[F-NextVDO_Input]],0)),
Input_TUNet_Actual[Customer type],$E333,Input_TUNet_Actual[Item],"Usage per customer - Block 1 - "&amp;I$327)=0,SUMIFS(TUNet_Usage_Actual_2[Value],TUNet_Usage_Actual_2[Customer type],$E333,TUNet_Usage_Actual_2[Description],"Usage per customer"),"-")</f>
        <v>1342.9675640052469</v>
      </c>
      <c r="J333" s="191">
        <f>IF(SUMIFS(
INDEX(Input_TUNet_Actual[[F-CurrentVDO_Input]:[F-NextVDO_Input]],0,MATCH(TUNet_Usage_PerRate_2[[#This Row],[VDO decision]],Input_TUNet_Actual[[#Headers],[F-CurrentVDO_Input]:[F-NextVDO_Input]],0)),
Input_TUNet_Actual[Customer type],$E333,Input_TUNet_Actual[Item],"Usage per customer - Block 1 - "&amp;J$327)=0,SUMIFS(TUNet_Usage_Actual_2[Value],TUNet_Usage_Actual_2[Customer type],$E333,TUNet_Usage_Actual_2[Description],"Usage per customer"),"-")</f>
        <v>1342.9675640052469</v>
      </c>
    </row>
    <row r="334" spans="2:15" outlineLevel="1" x14ac:dyDescent="0.25">
      <c r="B334"/>
      <c r="C334" s="150"/>
      <c r="F334" s="190"/>
    </row>
    <row r="335" spans="2:15" ht="15.75" outlineLevel="1" x14ac:dyDescent="0.25">
      <c r="B335"/>
      <c r="C335" s="30" t="s">
        <v>582</v>
      </c>
    </row>
    <row r="336" spans="2:15" ht="15.75" outlineLevel="1" x14ac:dyDescent="0.25">
      <c r="C336" s="44" t="s">
        <v>54</v>
      </c>
      <c r="D336" s="44" t="s">
        <v>109</v>
      </c>
      <c r="E336" s="44" t="s">
        <v>523</v>
      </c>
      <c r="F336" s="44" t="s">
        <v>526</v>
      </c>
      <c r="G336" s="44" t="s">
        <v>324</v>
      </c>
      <c r="H336" s="44" t="s">
        <v>110</v>
      </c>
      <c r="I336" s="44" t="s">
        <v>111</v>
      </c>
      <c r="J336" s="43" t="s">
        <v>99</v>
      </c>
      <c r="K336" s="61" t="s">
        <v>277</v>
      </c>
      <c r="L336" s="61" t="s">
        <v>278</v>
      </c>
      <c r="M336" s="61" t="s">
        <v>279</v>
      </c>
      <c r="N336" s="61" t="s">
        <v>280</v>
      </c>
      <c r="O336" s="61" t="s">
        <v>281</v>
      </c>
    </row>
    <row r="337" spans="3:15" outlineLevel="1" x14ac:dyDescent="0.25">
      <c r="C337" s="60"/>
      <c r="D337" s="60"/>
      <c r="E337" s="60"/>
      <c r="F337" s="60"/>
      <c r="G337" s="60"/>
      <c r="H337" s="60"/>
      <c r="I337" s="60"/>
      <c r="J337" s="60"/>
      <c r="K337" s="67"/>
      <c r="L337" s="60"/>
      <c r="M337" s="60"/>
      <c r="N337" s="60"/>
      <c r="O337" s="60"/>
    </row>
    <row r="338" spans="3:15" ht="15.75" outlineLevel="1" x14ac:dyDescent="0.25">
      <c r="C338" s="1" t="s">
        <v>484</v>
      </c>
      <c r="D338" s="60"/>
      <c r="E338" s="60"/>
      <c r="F338" s="60"/>
      <c r="G338" s="69" t="s">
        <v>570</v>
      </c>
      <c r="H338" s="60"/>
      <c r="I338" s="60"/>
      <c r="J338" s="60"/>
      <c r="K338" s="67"/>
      <c r="L338" s="60"/>
      <c r="M338" s="60"/>
      <c r="N338" s="60"/>
      <c r="O338" s="60"/>
    </row>
    <row r="339" spans="3:15" outlineLevel="1" x14ac:dyDescent="0.25">
      <c r="C339" s="58" t="s">
        <v>498</v>
      </c>
      <c r="D339" s="58"/>
      <c r="E339" s="58"/>
      <c r="F339" s="58"/>
      <c r="G339" s="69"/>
      <c r="H339" s="69"/>
      <c r="I339" s="24"/>
      <c r="J339" s="24"/>
      <c r="K339" s="66"/>
      <c r="L339" s="24"/>
      <c r="M339" s="24"/>
      <c r="N339" s="24"/>
      <c r="O339" s="24"/>
    </row>
    <row r="340" spans="3:15" outlineLevel="1" x14ac:dyDescent="0.25">
      <c r="C340" s="60" t="s">
        <v>473</v>
      </c>
      <c r="D340" s="83" t="str">
        <f>Calc_TU_values!$D$235</f>
        <v>VDO 2022 - Final</v>
      </c>
      <c r="E340" s="24" t="s">
        <v>524</v>
      </c>
      <c r="F340" s="83" t="str">
        <f>INDEX(Inputs!$H$10:$Q$10,1,MATCH($D340,Inputs!$H$8:$Q$8,0))</f>
        <v>F-NextVDO_Input</v>
      </c>
      <c r="G340" s="59"/>
      <c r="H340" s="24" t="s">
        <v>117</v>
      </c>
      <c r="I340" s="24" t="s">
        <v>118</v>
      </c>
      <c r="J340" s="60" t="s">
        <v>100</v>
      </c>
      <c r="K340" s="67" cm="1">
        <f t="array" ref="K340">IFERROR(INDEX(Input_ForRateCalc[],MATCH($C340&amp;" - "&amp;K$336,Input_ForRateCalc[[Cost item]:[Cost item]],0),MATCH(Calc_TUV_Net_2[[#This Row],[Decision ref]:[Decision ref]],Input_ForRateCalc[#Headers],0)),"-")*TUProp_Days_2</f>
        <v>18.873479452054795</v>
      </c>
      <c r="L340" s="67" cm="1">
        <f t="array" ref="L340">IFERROR(INDEX(Input_ForRateCalc[],MATCH($C340&amp;" - "&amp;L$336,Input_ForRateCalc[[Cost item]:[Cost item]],0),MATCH(Calc_TUV_Net_2[[#This Row],[Decision ref]:[Decision ref]],Input_ForRateCalc[#Headers],0)),"-")*TUProp_Days_2</f>
        <v>15.289199999999999</v>
      </c>
      <c r="M340" s="67" cm="1">
        <f t="array" ref="M340">IFERROR(INDEX(Input_ForRateCalc[],MATCH($C340&amp;" - "&amp;M$336,Input_ForRateCalc[[Cost item]:[Cost item]],0),MATCH(Calc_TUV_Net_2[[#This Row],[Decision ref]:[Decision ref]],Input_ForRateCalc[#Headers],0)),"-")*TUProp_Days_2</f>
        <v>13.962060273972602</v>
      </c>
      <c r="N340" s="67" cm="1">
        <f t="array" ref="N340">IFERROR(INDEX(Input_ForRateCalc[],MATCH($C340&amp;" - "&amp;N$336,Input_ForRateCalc[[Cost item]:[Cost item]],0),MATCH(Calc_TUV_Net_2[[#This Row],[Decision ref]:[Decision ref]],Input_ForRateCalc[#Headers],0)),"-")*TUProp_Days_2</f>
        <v>23.776999999999997</v>
      </c>
      <c r="O340" s="67" cm="1">
        <f t="array" ref="O340">IFERROR(INDEX(Input_ForRateCalc[],MATCH($C340&amp;" - "&amp;O$336,Input_ForRateCalc[[Cost item]:[Cost item]],0),MATCH(Calc_TUV_Net_2[[#This Row],[Decision ref]:[Decision ref]],Input_ForRateCalc[#Headers],0)),"-")*TUProp_Days_2</f>
        <v>13.590399999999999</v>
      </c>
    </row>
    <row r="341" spans="3:15" outlineLevel="1" x14ac:dyDescent="0.25">
      <c r="C341" s="60" t="s">
        <v>284</v>
      </c>
      <c r="D341" s="83" t="str">
        <f>Calc_TU_values!$D$235</f>
        <v>VDO 2022 - Final</v>
      </c>
      <c r="E341" s="24" t="s">
        <v>524</v>
      </c>
      <c r="F341" s="83" t="str">
        <f>INDEX(Inputs!$H$10:$Q$10,1,MATCH($D341,Inputs!$H$8:$Q$8,0))</f>
        <v>F-NextVDO_Input</v>
      </c>
      <c r="G341" s="59"/>
      <c r="H341" s="24" t="s">
        <v>117</v>
      </c>
      <c r="I341" s="24" t="s">
        <v>118</v>
      </c>
      <c r="J341" s="60" t="s">
        <v>100</v>
      </c>
      <c r="K341" s="67" cm="1">
        <f t="array" ref="K341">IFERROR(INDEX(Input_ForRateCalc[],MATCH($C341&amp;" - "&amp;K$336,Input_ForRateCalc[[Cost item]:[Cost item]],0),MATCH(Calc_TUV_Net_2[[#This Row],[Decision ref]:[Decision ref]],Input_ForRateCalc[#Headers],0)),"-")*TUProp_Days_2</f>
        <v>10.82027397260274</v>
      </c>
      <c r="L341" s="67" cm="1">
        <f t="array" ref="L341">IFERROR(INDEX(Input_ForRateCalc[],MATCH($C341&amp;" - "&amp;L$336,Input_ForRateCalc[[Cost item]:[Cost item]],0),MATCH(Calc_TUV_Net_2[[#This Row],[Decision ref]:[Decision ref]],Input_ForRateCalc[#Headers],0)),"-")*TUProp_Days_2</f>
        <v>10.089863013698629</v>
      </c>
      <c r="M341" s="67" cm="1">
        <f t="array" ref="M341">IFERROR(INDEX(Input_ForRateCalc[],MATCH($C341&amp;" - "&amp;M$336,Input_ForRateCalc[[Cost item]:[Cost item]],0),MATCH(Calc_TUV_Net_2[[#This Row],[Decision ref]:[Decision ref]],Input_ForRateCalc[#Headers],0)),"-")*TUProp_Days_2</f>
        <v>9.2048767123287671</v>
      </c>
      <c r="N341" s="67" cm="1">
        <f t="array" ref="N341">IFERROR(INDEX(Input_ForRateCalc[],MATCH($C341&amp;" - "&amp;N$336,Input_ForRateCalc[[Cost item]:[Cost item]],0),MATCH(Calc_TUV_Net_2[[#This Row],[Decision ref]:[Decision ref]],Input_ForRateCalc[#Headers],0)),"-")*TUProp_Days_2</f>
        <v>9.8520547945205479</v>
      </c>
      <c r="O341" s="67" cm="1">
        <f t="array" ref="O341">IFERROR(INDEX(Input_ForRateCalc[],MATCH($C341&amp;" - "&amp;O$336,Input_ForRateCalc[[Cost item]:[Cost item]],0),MATCH(Calc_TUV_Net_2[[#This Row],[Decision ref]:[Decision ref]],Input_ForRateCalc[#Headers],0)),"-")*TUProp_Days_2</f>
        <v>7.2905205479452055</v>
      </c>
    </row>
    <row r="342" spans="3:15" outlineLevel="1" x14ac:dyDescent="0.25">
      <c r="C342" s="60" t="s">
        <v>327</v>
      </c>
      <c r="D342" s="83" t="str">
        <f>Calc_TU_values!$D$235</f>
        <v>VDO 2022 - Final</v>
      </c>
      <c r="E342" s="24" t="s">
        <v>524</v>
      </c>
      <c r="F342" s="83" t="str">
        <f>INDEX(Inputs!$H$10:$Q$10,1,MATCH($D342,Inputs!$H$8:$Q$8,0))</f>
        <v>F-NextVDO_Input</v>
      </c>
      <c r="G342" s="59"/>
      <c r="H342" s="24" t="s">
        <v>117</v>
      </c>
      <c r="I342" s="24" t="s">
        <v>118</v>
      </c>
      <c r="J342" s="60" t="s">
        <v>100</v>
      </c>
      <c r="K342" s="65">
        <f>IFERROR(SUM(K340:K341),"-")</f>
        <v>29.693753424657537</v>
      </c>
      <c r="L342" s="65">
        <f>IFERROR(SUM(L340:L341),"-")</f>
        <v>25.379063013698627</v>
      </c>
      <c r="M342" s="65">
        <f>IFERROR(SUM(M340:M341),"-")</f>
        <v>23.166936986301369</v>
      </c>
      <c r="N342" s="65">
        <f>IFERROR(SUM(N340:N341),"-")</f>
        <v>33.629054794520542</v>
      </c>
      <c r="O342" s="65">
        <f>IFERROR(SUM(O340:O341),"-")</f>
        <v>20.880920547945205</v>
      </c>
    </row>
    <row r="343" spans="3:15" outlineLevel="1" x14ac:dyDescent="0.25">
      <c r="C343" s="60" t="s">
        <v>473</v>
      </c>
      <c r="D343" s="83" t="str">
        <f>INDEX(Input_DecisionActual[[Decision]:[Decision]],MATCH(Calc_TU_values!$D$235,Input_DecisionActual[[VDO period]:[VDO period]],0),1)</f>
        <v>VDO 2021 - Final</v>
      </c>
      <c r="E343" s="24" t="s">
        <v>525</v>
      </c>
      <c r="F343" s="83" t="str">
        <f>IF($D343="-","-",INDEX(Inputs!$H$10:$Q$10,1,MATCH($D343,Inputs!$H$8:$Q$8,0)))</f>
        <v>F-CurrentVDO_Input</v>
      </c>
      <c r="G343" s="59"/>
      <c r="H343" s="24" t="s">
        <v>117</v>
      </c>
      <c r="I343" s="24" t="s">
        <v>118</v>
      </c>
      <c r="J343" s="60" t="s">
        <v>100</v>
      </c>
      <c r="K343" s="67" cm="1">
        <f t="array" ref="K343">IFERROR(INDEX(Input_ForRateCalc[],MATCH($C343&amp;" - "&amp;K$336,Input_ForRateCalc[[Cost item]:[Cost item]],0),MATCH(Calc_TUV_Net_2[[#This Row],[Decision ref]:[Decision ref]],Input_ForRateCalc[#Headers],0)),"-")*TUProp_Days_2</f>
        <v>18.005479452054793</v>
      </c>
      <c r="L343" s="67" cm="1">
        <f t="array" ref="L343">IFERROR(INDEX(Input_ForRateCalc[],MATCH($C343&amp;" - "&amp;L$336,Input_ForRateCalc[[Cost item]:[Cost item]],0),MATCH(Calc_TUV_Net_2[[#This Row],[Decision ref]:[Decision ref]],Input_ForRateCalc[#Headers],0)),"-")*TUProp_Days_2</f>
        <v>15.287671232876711</v>
      </c>
      <c r="M343" s="67" cm="1">
        <f t="array" ref="M343">IFERROR(INDEX(Input_ForRateCalc[],MATCH($C343&amp;" - "&amp;M$336,Input_ForRateCalc[[Cost item]:[Cost item]],0),MATCH(Calc_TUV_Net_2[[#This Row],[Decision ref]:[Decision ref]],Input_ForRateCalc[#Headers],0)),"-")*TUProp_Days_2</f>
        <v>11.725643835616438</v>
      </c>
      <c r="N343" s="67" cm="1">
        <f t="array" ref="N343">IFERROR(INDEX(Input_ForRateCalc[],MATCH($C343&amp;" - "&amp;N$336,Input_ForRateCalc[[Cost item]:[Cost item]],0),MATCH(Calc_TUV_Net_2[[#This Row],[Decision ref]:[Decision ref]],Input_ForRateCalc[#Headers],0)),"-")*TUProp_Days_2</f>
        <v>23.780821917808218</v>
      </c>
      <c r="O343" s="67" cm="1">
        <f t="array" ref="O343">IFERROR(INDEX(Input_ForRateCalc[],MATCH($C343&amp;" - "&amp;O$336,Input_ForRateCalc[[Cost item]:[Cost item]],0),MATCH(Calc_TUV_Net_2[[#This Row],[Decision ref]:[Decision ref]],Input_ForRateCalc[#Headers],0)),"-")*TUProp_Days_2</f>
        <v>10.167999999999999</v>
      </c>
    </row>
    <row r="344" spans="3:15" outlineLevel="1" x14ac:dyDescent="0.25">
      <c r="C344" s="60" t="s">
        <v>284</v>
      </c>
      <c r="D344" s="83" t="str">
        <f>INDEX(Input_DecisionActual[[Decision]:[Decision]],MATCH(Calc_TU_values!$D$235,Input_DecisionActual[[VDO period]:[VDO period]],0),1)</f>
        <v>VDO 2021 - Final</v>
      </c>
      <c r="E344" s="24" t="s">
        <v>525</v>
      </c>
      <c r="F344" s="83" t="str">
        <f>IF($D344="-","-",INDEX(Inputs!$H$10:$Q$10,1,MATCH($D344,Inputs!$H$8:$Q$8,0)))</f>
        <v>F-CurrentVDO_Input</v>
      </c>
      <c r="G344" s="59"/>
      <c r="H344" s="24" t="s">
        <v>117</v>
      </c>
      <c r="I344" s="24" t="s">
        <v>118</v>
      </c>
      <c r="J344" s="60" t="s">
        <v>100</v>
      </c>
      <c r="K344" s="67" cm="1">
        <f t="array" ref="K344">IFERROR(INDEX(Input_ForRateCalc[],MATCH($C344&amp;" - "&amp;K$336,Input_ForRateCalc[[Cost item]:[Cost item]],0),MATCH(Calc_TUV_Net_2[[#This Row],[Decision ref]:[Decision ref]],Input_ForRateCalc[#Headers],0)),"-")*TUProp_Days_2</f>
        <v>10.123835616438356</v>
      </c>
      <c r="L344" s="67" cm="1">
        <f t="array" ref="L344">IFERROR(INDEX(Input_ForRateCalc[],MATCH($C344&amp;" - "&amp;L$336,Input_ForRateCalc[[Cost item]:[Cost item]],0),MATCH(Calc_TUV_Net_2[[#This Row],[Decision ref]:[Decision ref]],Input_ForRateCalc[#Headers],0)),"-")*TUProp_Days_2</f>
        <v>11.176986301369862</v>
      </c>
      <c r="M344" s="67" cm="1">
        <f t="array" ref="M344">IFERROR(INDEX(Input_ForRateCalc[],MATCH($C344&amp;" - "&amp;M$336,Input_ForRateCalc[[Cost item]:[Cost item]],0),MATCH(Calc_TUV_Net_2[[#This Row],[Decision ref]:[Decision ref]],Input_ForRateCalc[#Headers],0)),"-")*TUProp_Days_2</f>
        <v>11.258520547945205</v>
      </c>
      <c r="N344" s="67" cm="1">
        <f t="array" ref="N344">IFERROR(INDEX(Input_ForRateCalc[],MATCH($C344&amp;" - "&amp;N$336,Input_ForRateCalc[[Cost item]:[Cost item]],0),MATCH(Calc_TUV_Net_2[[#This Row],[Decision ref]:[Decision ref]],Input_ForRateCalc[#Headers],0)),"-")*TUProp_Days_2</f>
        <v>11.126027397260273</v>
      </c>
      <c r="O344" s="67" cm="1">
        <f t="array" ref="O344">IFERROR(INDEX(Input_ForRateCalc[],MATCH($C344&amp;" - "&amp;O$336,Input_ForRateCalc[[Cost item]:[Cost item]],0),MATCH(Calc_TUV_Net_2[[#This Row],[Decision ref]:[Decision ref]],Input_ForRateCalc[#Headers],0)),"-")*TUProp_Days_2</f>
        <v>8.2927123287671236</v>
      </c>
    </row>
    <row r="345" spans="3:15" outlineLevel="1" x14ac:dyDescent="0.25">
      <c r="C345" s="60" t="s">
        <v>327</v>
      </c>
      <c r="D345" s="83" t="str">
        <f>INDEX(Input_DecisionActual[[Decision]:[Decision]],MATCH(Calc_TU_values!$D$235,Input_DecisionActual[[VDO period]:[VDO period]],0),1)</f>
        <v>VDO 2021 - Final</v>
      </c>
      <c r="E345" s="24" t="s">
        <v>525</v>
      </c>
      <c r="F345" s="83" t="str">
        <f>IF($D345="-","-",INDEX(Inputs!$H$10:$Q$10,1,MATCH($D345,Inputs!$H$8:$Q$8,0)))</f>
        <v>F-CurrentVDO_Input</v>
      </c>
      <c r="G345" s="59"/>
      <c r="H345" s="24" t="s">
        <v>117</v>
      </c>
      <c r="I345" s="24" t="s">
        <v>118</v>
      </c>
      <c r="J345" s="60" t="s">
        <v>100</v>
      </c>
      <c r="K345" s="66">
        <f>SUM(K343:K344)</f>
        <v>28.129315068493149</v>
      </c>
      <c r="L345" s="66">
        <f>SUM(L343:L344)</f>
        <v>26.464657534246573</v>
      </c>
      <c r="M345" s="66">
        <f>SUM(M343:M344)</f>
        <v>22.984164383561641</v>
      </c>
      <c r="N345" s="66">
        <f>SUM(N343:N344)</f>
        <v>34.906849315068492</v>
      </c>
      <c r="O345" s="66">
        <f>SUM(O343:O344)</f>
        <v>18.460712328767123</v>
      </c>
    </row>
    <row r="346" spans="3:15" outlineLevel="1" x14ac:dyDescent="0.25">
      <c r="C346" s="60" t="s">
        <v>328</v>
      </c>
      <c r="D346" s="24"/>
      <c r="E346" s="24"/>
      <c r="F346" s="24"/>
      <c r="G346" s="24"/>
      <c r="H346" s="24" t="s">
        <v>117</v>
      </c>
      <c r="I346" s="24" t="s">
        <v>118</v>
      </c>
      <c r="J346" s="60" t="s">
        <v>100</v>
      </c>
      <c r="K346" s="66">
        <f>IF(K345=0,"-",K342-K345)</f>
        <v>1.5644383561643878</v>
      </c>
      <c r="L346" s="66">
        <f t="shared" ref="L346" si="108">IF(L345=0,"-",L342-L345)</f>
        <v>-1.0855945205479465</v>
      </c>
      <c r="M346" s="66">
        <f t="shared" ref="M346" si="109">IF(M345=0,"-",M342-M345)</f>
        <v>0.18277260273972828</v>
      </c>
      <c r="N346" s="66">
        <f t="shared" ref="N346" si="110">IF(N345=0,"-",N342-N345)</f>
        <v>-1.2777945205479497</v>
      </c>
      <c r="O346" s="66">
        <f t="shared" ref="O346" si="111">IF(O345=0,"-",O342-O345)</f>
        <v>2.4202082191780825</v>
      </c>
    </row>
    <row r="347" spans="3:15" hidden="1" outlineLevel="1" x14ac:dyDescent="0.25">
      <c r="C347" s="60" t="s">
        <v>435</v>
      </c>
      <c r="D347" s="24"/>
      <c r="E347" s="24"/>
      <c r="F347" s="24"/>
      <c r="G347" s="24"/>
      <c r="H347" s="24" t="s">
        <v>117</v>
      </c>
      <c r="I347" s="24" t="s">
        <v>118</v>
      </c>
      <c r="J347" s="60" t="s">
        <v>100</v>
      </c>
      <c r="K347" s="67" t="str">
        <f>IFERROR(IF($D$313="Yes",K346*(1+WACC_adj_2),""),"-")</f>
        <v/>
      </c>
      <c r="L347" s="67" t="str">
        <f>IFERROR(IF($D$313="Yes",L346*(1+WACC_adj_2),""),"-")</f>
        <v/>
      </c>
      <c r="M347" s="67" t="str">
        <f>IFERROR(IF($D$313="Yes",M346*(1+WACC_adj_2),""),"-")</f>
        <v/>
      </c>
      <c r="N347" s="67" t="str">
        <f>IFERROR(IF($D$313="Yes",N346*(1+WACC_adj_2),""),"-")</f>
        <v/>
      </c>
      <c r="O347" s="67" t="str">
        <f>IFERROR(IF($D$313="Yes",O346*(1+WACC_adj_2),""),"-")</f>
        <v/>
      </c>
    </row>
    <row r="348" spans="3:15" outlineLevel="1" x14ac:dyDescent="0.25">
      <c r="C348" s="60" t="s">
        <v>330</v>
      </c>
      <c r="D348" s="83" t="str">
        <f>INDEX(Input_DecisionActual[[Decision]:[Decision]],MATCH(Calc_TU_values!$D$235,Input_DecisionActual[[VDO period]:[VDO period]],0),1)</f>
        <v>VDO 2021 - Final</v>
      </c>
      <c r="E348" s="24" t="s">
        <v>525</v>
      </c>
      <c r="F348" s="83" t="str">
        <f>IF($D348="-","-",INDEX(Inputs!$H$10:$Q$10,1,MATCH($D348,Inputs!$H$8:$Q$8,0)))</f>
        <v>F-CurrentVDO_Input</v>
      </c>
      <c r="G348" s="24"/>
      <c r="H348" s="24" t="s">
        <v>117</v>
      </c>
      <c r="I348" s="24" t="s">
        <v>118</v>
      </c>
      <c r="J348" s="60" t="s">
        <v>100</v>
      </c>
      <c r="K348" s="67" cm="1">
        <f t="array" ref="K348">IFERROR(SUM(K346:K347)*(INDEX(Inputs!$H$11:$Q$127,MATCH("Retail operating margin",Input_ForRateCalc[[Cost item]:[Cost item]],0),MATCH(Calc_TUV_Net_2[[#This Row],[Decision ref]:[Decision ref]],Inputs!$H$10:$Q$10,0))),"-")</f>
        <v>9.4492076712329023E-2</v>
      </c>
      <c r="L348" s="67" cm="1">
        <f t="array" ref="L348">IFERROR(SUM(L346:L347)*(INDEX(Inputs!$H$11:$Q$127,MATCH("Retail operating margin",Input_ForRateCalc[[Cost item]:[Cost item]],0),MATCH(Calc_TUV_Net_2[[#This Row],[Decision ref]:[Decision ref]],Inputs!$H$10:$Q$10,0))),"-")</f>
        <v>-6.556990904109597E-2</v>
      </c>
      <c r="M348" s="67" cm="1">
        <f t="array" ref="M348">IFERROR(SUM(M346:M347)*(INDEX(Inputs!$H$11:$Q$127,MATCH("Retail operating margin",Input_ForRateCalc[[Cost item]:[Cost item]],0),MATCH(Calc_TUV_Net_2[[#This Row],[Decision ref]:[Decision ref]],Inputs!$H$10:$Q$10,0))),"-")</f>
        <v>1.1039465205479588E-2</v>
      </c>
      <c r="N348" s="67" cm="1">
        <f t="array" ref="N348">IFERROR(SUM(N346:N347)*(INDEX(Inputs!$H$11:$Q$127,MATCH("Retail operating margin",Input_ForRateCalc[[Cost item]:[Cost item]],0),MATCH(Calc_TUV_Net_2[[#This Row],[Decision ref]:[Decision ref]],Inputs!$H$10:$Q$10,0))),"-")</f>
        <v>-7.7178789041096166E-2</v>
      </c>
      <c r="O348" s="67" cm="1">
        <f t="array" ref="O348">IFERROR(SUM(O346:O347)*(INDEX(Inputs!$H$11:$Q$127,MATCH("Retail operating margin",Input_ForRateCalc[[Cost item]:[Cost item]],0),MATCH(Calc_TUV_Net_2[[#This Row],[Decision ref]:[Decision ref]],Inputs!$H$10:$Q$10,0))),"-")</f>
        <v>0.14618057643835619</v>
      </c>
    </row>
    <row r="349" spans="3:15" outlineLevel="1" x14ac:dyDescent="0.25">
      <c r="C349" s="60" t="s">
        <v>436</v>
      </c>
      <c r="D349" s="24"/>
      <c r="E349" s="24"/>
      <c r="F349" s="24"/>
      <c r="G349" s="24"/>
      <c r="H349" s="24" t="s">
        <v>117</v>
      </c>
      <c r="I349" s="24" t="s">
        <v>118</v>
      </c>
      <c r="J349" s="60" t="s">
        <v>100</v>
      </c>
      <c r="K349" s="67">
        <f>IF(K345=0,"-",SUM(K346:K348)*GST)</f>
        <v>0.16589304328767168</v>
      </c>
      <c r="L349" s="67">
        <f>IF(L345=0,"-",SUM(L346:L348)*GST)</f>
        <v>-0.11511644295890425</v>
      </c>
      <c r="M349" s="67">
        <f>IF(M345=0,"-",SUM(M346:M348)*GST)</f>
        <v>1.9381206794520787E-2</v>
      </c>
      <c r="N349" s="67">
        <f>IF(N345=0,"-",SUM(N346:N348)*GST)</f>
        <v>-0.13549733095890459</v>
      </c>
      <c r="O349" s="67">
        <f>IF(O345=0,"-",SUM(O346:O348)*GST)</f>
        <v>0.25663887956164388</v>
      </c>
    </row>
    <row r="350" spans="3:15" outlineLevel="1" x14ac:dyDescent="0.25">
      <c r="C350" s="24" t="s">
        <v>494</v>
      </c>
      <c r="D350" s="24"/>
      <c r="E350" s="24"/>
      <c r="F350" s="24"/>
      <c r="G350" s="24"/>
      <c r="H350" s="24" t="s">
        <v>117</v>
      </c>
      <c r="I350" s="24" t="s">
        <v>118</v>
      </c>
      <c r="J350" s="60" t="s">
        <v>100</v>
      </c>
      <c r="K350" s="67">
        <f>IF(K345=0,"-",SUM(K346:K349))</f>
        <v>1.8248234761643884</v>
      </c>
      <c r="L350" s="67">
        <f>IF(L345=0,"-",SUM(L346:L349))</f>
        <v>-1.2662808725479466</v>
      </c>
      <c r="M350" s="67">
        <f>IF(M345=0,"-",SUM(M346:M349))</f>
        <v>0.21319327473972866</v>
      </c>
      <c r="N350" s="67">
        <f>IF(N345=0,"-",SUM(N346:N349))</f>
        <v>-1.4904706405479504</v>
      </c>
      <c r="O350" s="67">
        <f>IF(O345=0,"-",SUM(O346:O349))</f>
        <v>2.823027675178083</v>
      </c>
    </row>
    <row r="351" spans="3:15" outlineLevel="1" x14ac:dyDescent="0.25">
      <c r="C351" s="60"/>
      <c r="D351" s="118"/>
      <c r="E351" s="118"/>
      <c r="F351" s="118"/>
      <c r="H351" s="24"/>
      <c r="I351" s="24"/>
      <c r="J351" s="24"/>
      <c r="K351" s="131"/>
      <c r="L351" s="131"/>
      <c r="M351" s="131"/>
      <c r="N351" s="131"/>
      <c r="O351" s="131"/>
    </row>
    <row r="352" spans="3:15" outlineLevel="1" x14ac:dyDescent="0.25">
      <c r="C352" s="58" t="s">
        <v>499</v>
      </c>
      <c r="D352" s="24"/>
      <c r="E352" s="24"/>
      <c r="F352" s="24"/>
      <c r="G352" s="69"/>
      <c r="H352" s="24"/>
      <c r="I352" s="24"/>
      <c r="J352" s="24"/>
      <c r="K352" s="132"/>
      <c r="L352" s="132"/>
      <c r="M352" s="132"/>
      <c r="N352" s="132"/>
      <c r="O352" s="132"/>
    </row>
    <row r="353" spans="3:15" outlineLevel="1" x14ac:dyDescent="0.25">
      <c r="C353" s="60" t="s">
        <v>476</v>
      </c>
      <c r="D353" s="83" t="str">
        <f>Calc_TU_values!$D$235</f>
        <v>VDO 2022 - Final</v>
      </c>
      <c r="E353" s="24" t="s">
        <v>524</v>
      </c>
      <c r="F353" s="83" t="str">
        <f>INDEX(Inputs!$H$10:$Q$10,1,MATCH($D353,Inputs!$H$8:$Q$8,0))</f>
        <v>F-NextVDO_Input</v>
      </c>
      <c r="G353" s="24"/>
      <c r="H353" s="24" t="s">
        <v>139</v>
      </c>
      <c r="I353" s="24" t="s">
        <v>174</v>
      </c>
      <c r="J353" s="60" t="s">
        <v>100</v>
      </c>
      <c r="K353" s="67" cm="1">
        <f t="array" ref="K353">IFERROR(INDEX(Input_ForRateCalc[],MATCH($C353&amp;" - "&amp;K$336,Input_ForRateCalc[[Cost item]:[Cost item]],0),MATCH(Calc_TUV_Net_2[[#This Row],[Decision ref]:[Decision ref]],Input_ForRateCalc[#Headers],0)),"-")</f>
        <v>11.4503</v>
      </c>
      <c r="L353" s="67" t="str" cm="1">
        <f t="array" ref="L353">IFERROR(INDEX(Input_ForRateCalc[],MATCH($C353&amp;" - "&amp;L$336,Input_ForRateCalc[[Cost item]:[Cost item]],0),MATCH(Calc_TUV_Net_2[[#This Row],[Decision ref]:[Decision ref]],Input_ForRateCalc[#Headers],0)),"-")</f>
        <v>-</v>
      </c>
      <c r="M353" s="67" t="str" cm="1">
        <f t="array" ref="M353">IFERROR(INDEX(Input_ForRateCalc[],MATCH($C353&amp;" - "&amp;M$336,Input_ForRateCalc[[Cost item]:[Cost item]],0),MATCH(Calc_TUV_Net_2[[#This Row],[Decision ref]:[Decision ref]],Input_ForRateCalc[#Headers],0)),"-")</f>
        <v>-</v>
      </c>
      <c r="N353" s="67" t="str" cm="1">
        <f t="array" ref="N353">IFERROR(INDEX(Input_ForRateCalc[],MATCH($C353&amp;" - "&amp;N$336,Input_ForRateCalc[[Cost item]:[Cost item]],0),MATCH(Calc_TUV_Net_2[[#This Row],[Decision ref]:[Decision ref]],Input_ForRateCalc[#Headers],0)),"-")</f>
        <v>-</v>
      </c>
      <c r="O353" s="67" t="str" cm="1">
        <f t="array" ref="O353">IFERROR(INDEX(Input_ForRateCalc[],MATCH($C353&amp;" - "&amp;O$336,Input_ForRateCalc[[Cost item]:[Cost item]],0),MATCH(Calc_TUV_Net_2[[#This Row],[Decision ref]:[Decision ref]],Input_ForRateCalc[#Headers],0)),"-")</f>
        <v>-</v>
      </c>
    </row>
    <row r="354" spans="3:15" outlineLevel="1" x14ac:dyDescent="0.25">
      <c r="C354" s="60" t="s">
        <v>477</v>
      </c>
      <c r="D354" s="83" t="str">
        <f>Calc_TU_values!$D$235</f>
        <v>VDO 2022 - Final</v>
      </c>
      <c r="E354" s="24" t="s">
        <v>524</v>
      </c>
      <c r="F354" s="83" t="str">
        <f>INDEX(Inputs!$H$10:$Q$10,1,MATCH($D354,Inputs!$H$8:$Q$8,0))</f>
        <v>F-NextVDO_Input</v>
      </c>
      <c r="G354" s="69"/>
      <c r="H354" s="24" t="s">
        <v>139</v>
      </c>
      <c r="I354" s="24" t="s">
        <v>174</v>
      </c>
      <c r="J354" s="60" t="s">
        <v>100</v>
      </c>
      <c r="K354" s="67" cm="1">
        <f t="array" ref="K354">IFERROR(INDEX(Input_ForRateCalc[],MATCH($C354&amp;" - "&amp;K$336,Input_ForRateCalc[[Cost item]:[Cost item]],0),MATCH(Calc_TUV_Net_2[[#This Row],[Decision ref]:[Decision ref]],Input_ForRateCalc[#Headers],0)),"-")</f>
        <v>12.838200000000001</v>
      </c>
      <c r="L354" s="67" t="str" cm="1">
        <f t="array" ref="L354">IFERROR(INDEX(Input_ForRateCalc[],MATCH($C354&amp;" - "&amp;L$336,Input_ForRateCalc[[Cost item]:[Cost item]],0),MATCH(Calc_TUV_Net_2[[#This Row],[Decision ref]:[Decision ref]],Input_ForRateCalc[#Headers],0)),"-")</f>
        <v>-</v>
      </c>
      <c r="M354" s="67" t="str" cm="1">
        <f t="array" ref="M354">IFERROR(INDEX(Input_ForRateCalc[],MATCH($C354&amp;" - "&amp;M$336,Input_ForRateCalc[[Cost item]:[Cost item]],0),MATCH(Calc_TUV_Net_2[[#This Row],[Decision ref]:[Decision ref]],Input_ForRateCalc[#Headers],0)),"-")</f>
        <v>-</v>
      </c>
      <c r="N354" s="67" t="str" cm="1">
        <f t="array" ref="N354">IFERROR(INDEX(Input_ForRateCalc[],MATCH($C354&amp;" - "&amp;N$336,Input_ForRateCalc[[Cost item]:[Cost item]],0),MATCH(Calc_TUV_Net_2[[#This Row],[Decision ref]:[Decision ref]],Input_ForRateCalc[#Headers],0)),"-")</f>
        <v>-</v>
      </c>
      <c r="O354" s="67" t="str" cm="1">
        <f t="array" ref="O354">IFERROR(INDEX(Input_ForRateCalc[],MATCH($C354&amp;" - "&amp;O$336,Input_ForRateCalc[[Cost item]:[Cost item]],0),MATCH(Calc_TUV_Net_2[[#This Row],[Decision ref]:[Decision ref]],Input_ForRateCalc[#Headers],0)),"-")</f>
        <v>-</v>
      </c>
    </row>
    <row r="355" spans="3:15" outlineLevel="1" x14ac:dyDescent="0.25">
      <c r="C355" s="60" t="s">
        <v>478</v>
      </c>
      <c r="D355" s="83" t="str">
        <f>Calc_TU_values!$D$235</f>
        <v>VDO 2022 - Final</v>
      </c>
      <c r="E355" s="24" t="s">
        <v>524</v>
      </c>
      <c r="F355" s="83" t="str">
        <f>INDEX(Inputs!$H$10:$Q$10,1,MATCH($D355,Inputs!$H$8:$Q$8,0))</f>
        <v>F-NextVDO_Input</v>
      </c>
      <c r="G355" s="59"/>
      <c r="H355" s="24" t="s">
        <v>139</v>
      </c>
      <c r="I355" s="24" t="s">
        <v>174</v>
      </c>
      <c r="J355" s="60" t="s">
        <v>100</v>
      </c>
      <c r="K355" s="67" t="str" cm="1">
        <f t="array" ref="K355">IFERROR(INDEX(Input_ForRateCalc[],MATCH($C355&amp;" - "&amp;K$336,Input_ForRateCalc[[Cost item]:[Cost item]],0),MATCH(Calc_TUV_Net_2[[#This Row],[Decision ref]:[Decision ref]],Input_ForRateCalc[#Headers],0)),"-")</f>
        <v>-</v>
      </c>
      <c r="L355" s="67" cm="1">
        <f t="array" ref="L355">IFERROR(INDEX(Input_ForRateCalc[],MATCH($C355&amp;" - "&amp;L$336,Input_ForRateCalc[[Cost item]:[Cost item]],0),MATCH(Calc_TUV_Net_2[[#This Row],[Decision ref]:[Decision ref]],Input_ForRateCalc[#Headers],0)),"-")</f>
        <v>8.0500000000000007</v>
      </c>
      <c r="M355" s="67" cm="1">
        <f t="array" ref="M355">IFERROR(INDEX(Input_ForRateCalc[],MATCH($C355&amp;" - "&amp;M$336,Input_ForRateCalc[[Cost item]:[Cost item]],0),MATCH(Calc_TUV_Net_2[[#This Row],[Decision ref]:[Decision ref]],Input_ForRateCalc[#Headers],0)),"-")</f>
        <v>8.67</v>
      </c>
      <c r="N355" s="67" cm="1">
        <f t="array" ref="N355">IFERROR(INDEX(Input_ForRateCalc[],MATCH($C355&amp;" - "&amp;N$336,Input_ForRateCalc[[Cost item]:[Cost item]],0),MATCH(Calc_TUV_Net_2[[#This Row],[Decision ref]:[Decision ref]],Input_ForRateCalc[#Headers],0)),"-")</f>
        <v>8.15</v>
      </c>
      <c r="O355" s="67" cm="1">
        <f t="array" ref="O355">IFERROR(INDEX(Input_ForRateCalc[],MATCH($C355&amp;" - "&amp;O$336,Input_ForRateCalc[[Cost item]:[Cost item]],0),MATCH(Calc_TUV_Net_2[[#This Row],[Decision ref]:[Decision ref]],Input_ForRateCalc[#Headers],0)),"-")</f>
        <v>7.99</v>
      </c>
    </row>
    <row r="356" spans="3:15" outlineLevel="1" x14ac:dyDescent="0.25">
      <c r="C356" s="60" t="s">
        <v>327</v>
      </c>
      <c r="D356" s="83" t="str">
        <f>Calc_TU_values!$D$235</f>
        <v>VDO 2022 - Final</v>
      </c>
      <c r="E356" s="24" t="s">
        <v>524</v>
      </c>
      <c r="F356" s="83" t="str">
        <f>INDEX(Inputs!$H$10:$Q$10,1,MATCH($D356,Inputs!$H$8:$Q$8,0))</f>
        <v>F-NextVDO_Input</v>
      </c>
      <c r="G356" s="59"/>
      <c r="H356" s="24" t="s">
        <v>139</v>
      </c>
      <c r="I356" s="24" t="s">
        <v>118</v>
      </c>
      <c r="J356" s="60" t="s">
        <v>100</v>
      </c>
      <c r="K356" s="68">
        <f>SUM(
IFERROR(K353/100*SUMIFS(INDEX(TUNet_Usage_PerRate_2[],0,MATCH(K$336,TUNet_Usage_PerRate_2[#Headers],0)),TUNet_Usage_PerRate_2[Customer type],Calc_TUV_Net_2[[#This Row],[Customer type]],TUNet_Usage_PerRate_2[Description],"Usage per customer - Block 1"),0),
IFERROR(K354/100*SUMIFS(INDEX(TUNet_Usage_PerRate_2[],0,MATCH(K$336,TUNet_Usage_PerRate_2[#Headers],0)),TUNet_Usage_PerRate_2[Customer type],Calc_TUV_Net_2[[#This Row],[Customer type]],TUNet_Usage_PerRate_2[Description],"Usage per customer - Balance"),0),
IFERROR(K355/100*SUMIFS(INDEX(TUNet_Usage_PerRate_2[],0,MATCH(K$336,TUNet_Usage_PerRate_2[#Headers],0)),TUNet_Usage_PerRate_2[Customer type],Calc_TUV_Net_2[[#This Row],[Customer type]],TUNet_Usage_PerRate_2[Description],"Usage per customer - Single rate"),0))</f>
        <v>108.43728015059527</v>
      </c>
      <c r="L356" s="68">
        <f>SUM(
IFERROR(L353/100*SUMIFS(INDEX(TUNet_Usage_PerRate_2[],0,MATCH(L$336,TUNet_Usage_PerRate_2[#Headers],0)),TUNet_Usage_PerRate_2[Customer type],Calc_TUV_Net_2[[#This Row],[Customer type]],TUNet_Usage_PerRate_2[Description],"Usage per customer - Block 1"),0),
IFERROR(L354/100*SUMIFS(INDEX(TUNet_Usage_PerRate_2[],0,MATCH(L$336,TUNet_Usage_PerRate_2[#Headers],0)),TUNet_Usage_PerRate_2[Customer type],Calc_TUV_Net_2[[#This Row],[Customer type]],TUNet_Usage_PerRate_2[Description],"Usage per customer - Balance"),0),
IFERROR(L355/100*SUMIFS(INDEX(TUNet_Usage_PerRate_2[],0,MATCH(L$336,TUNet_Usage_PerRate_2[#Headers],0)),TUNet_Usage_PerRate_2[Customer type],Calc_TUV_Net_2[[#This Row],[Customer type]],TUNet_Usage_PerRate_2[Description],"Usage per customer - Single rate"),0))</f>
        <v>76.235566335580017</v>
      </c>
      <c r="M356" s="68">
        <f>SUM(
IFERROR(M353/100*SUMIFS(INDEX(TUNet_Usage_PerRate_2[],0,MATCH(M$336,TUNet_Usage_PerRate_2[#Headers],0)),TUNet_Usage_PerRate_2[Customer type],Calc_TUV_Net_2[[#This Row],[Customer type]],TUNet_Usage_PerRate_2[Description],"Usage per customer - Block 1"),0),
IFERROR(M354/100*SUMIFS(INDEX(TUNet_Usage_PerRate_2[],0,MATCH(M$336,TUNet_Usage_PerRate_2[#Headers],0)),TUNet_Usage_PerRate_2[Customer type],Calc_TUV_Net_2[[#This Row],[Customer type]],TUNet_Usage_PerRate_2[Description],"Usage per customer - Balance"),0),
IFERROR(M355/100*SUMIFS(INDEX(TUNet_Usage_PerRate_2[],0,MATCH(M$336,TUNet_Usage_PerRate_2[#Headers],0)),TUNet_Usage_PerRate_2[Customer type],Calc_TUV_Net_2[[#This Row],[Customer type]],TUNet_Usage_PerRate_2[Description],"Usage per customer - Single rate"),0))</f>
        <v>82.107125481922822</v>
      </c>
      <c r="N356" s="68">
        <f>SUM(
IFERROR(N353/100*SUMIFS(INDEX(TUNet_Usage_PerRate_2[],0,MATCH(N$336,TUNet_Usage_PerRate_2[#Headers],0)),TUNet_Usage_PerRate_2[Customer type],Calc_TUV_Net_2[[#This Row],[Customer type]],TUNet_Usage_PerRate_2[Description],"Usage per customer - Block 1"),0),
IFERROR(N354/100*SUMIFS(INDEX(TUNet_Usage_PerRate_2[],0,MATCH(N$336,TUNet_Usage_PerRate_2[#Headers],0)),TUNet_Usage_PerRate_2[Customer type],Calc_TUV_Net_2[[#This Row],[Customer type]],TUNet_Usage_PerRate_2[Description],"Usage per customer - Balance"),0),
IFERROR(N355/100*SUMIFS(INDEX(TUNet_Usage_PerRate_2[],0,MATCH(N$336,TUNet_Usage_PerRate_2[#Headers],0)),TUNet_Usage_PerRate_2[Customer type],Calc_TUV_Net_2[[#This Row],[Customer type]],TUNet_Usage_PerRate_2[Description],"Usage per customer - Single rate"),0))</f>
        <v>77.182592004344997</v>
      </c>
      <c r="O356" s="68">
        <f>SUM(
IFERROR(O353/100*SUMIFS(INDEX(TUNet_Usage_PerRate_2[],0,MATCH(O$336,TUNet_Usage_PerRate_2[#Headers],0)),TUNet_Usage_PerRate_2[Customer type],Calc_TUV_Net_2[[#This Row],[Customer type]],TUNet_Usage_PerRate_2[Description],"Usage per customer - Block 1"),0),
IFERROR(O354/100*SUMIFS(INDEX(TUNet_Usage_PerRate_2[],0,MATCH(O$336,TUNet_Usage_PerRate_2[#Headers],0)),TUNet_Usage_PerRate_2[Customer type],Calc_TUV_Net_2[[#This Row],[Customer type]],TUNet_Usage_PerRate_2[Description],"Usage per customer - Balance"),0),
IFERROR(O355/100*SUMIFS(INDEX(TUNet_Usage_PerRate_2[],0,MATCH(O$336,TUNet_Usage_PerRate_2[#Headers],0)),TUNet_Usage_PerRate_2[Customer type],Calc_TUV_Net_2[[#This Row],[Customer type]],TUNet_Usage_PerRate_2[Description],"Usage per customer - Single rate"),0))</f>
        <v>75.667350934321036</v>
      </c>
    </row>
    <row r="357" spans="3:15" outlineLevel="1" x14ac:dyDescent="0.25">
      <c r="C357" s="60" t="s">
        <v>476</v>
      </c>
      <c r="D357" s="83" t="str">
        <f>INDEX(Input_DecisionActual[[Decision]:[Decision]],MATCH(Calc_TU_values!$D$235,Input_DecisionActual[[VDO period]:[VDO period]],0),1)</f>
        <v>VDO 2021 - Final</v>
      </c>
      <c r="E357" s="24" t="s">
        <v>525</v>
      </c>
      <c r="F357" s="83" t="str">
        <f>IF($D357="-","-",INDEX(Inputs!$H$10:$Q$10,1,MATCH($D357,Inputs!$H$8:$Q$8,0)))</f>
        <v>F-CurrentVDO_Input</v>
      </c>
      <c r="G357" s="59"/>
      <c r="H357" s="24" t="s">
        <v>139</v>
      </c>
      <c r="I357" s="24" t="s">
        <v>174</v>
      </c>
      <c r="J357" s="60" t="s">
        <v>100</v>
      </c>
      <c r="K357" s="67" cm="1">
        <f t="array" ref="K357">IFERROR(INDEX(Input_ForRateCalc[],MATCH($C357&amp;" - "&amp;K$336,Input_ForRateCalc[[Cost item]:[Cost item]],0),MATCH(Calc_TUV_Net_2[[#This Row],[Decision ref]:[Decision ref]],Input_ForRateCalc[#Headers],0)),"-")</f>
        <v>10.535</v>
      </c>
      <c r="L357" s="67" t="str" cm="1">
        <f t="array" ref="L357">IFERROR(INDEX(Input_ForRateCalc[],MATCH($C357&amp;" - "&amp;L$336,Input_ForRateCalc[[Cost item]:[Cost item]],0),MATCH(Calc_TUV_Net_2[[#This Row],[Decision ref]:[Decision ref]],Input_ForRateCalc[#Headers],0)),"-")</f>
        <v>-</v>
      </c>
      <c r="M357" s="67" t="str" cm="1">
        <f t="array" ref="M357">IFERROR(INDEX(Input_ForRateCalc[],MATCH($C357&amp;" - "&amp;M$336,Input_ForRateCalc[[Cost item]:[Cost item]],0),MATCH(Calc_TUV_Net_2[[#This Row],[Decision ref]:[Decision ref]],Input_ForRateCalc[#Headers],0)),"-")</f>
        <v>-</v>
      </c>
      <c r="N357" s="67" t="str" cm="1">
        <f t="array" ref="N357">IFERROR(INDEX(Input_ForRateCalc[],MATCH($C357&amp;" - "&amp;N$336,Input_ForRateCalc[[Cost item]:[Cost item]],0),MATCH(Calc_TUV_Net_2[[#This Row],[Decision ref]:[Decision ref]],Input_ForRateCalc[#Headers],0)),"-")</f>
        <v>-</v>
      </c>
      <c r="O357" s="67" t="str" cm="1">
        <f t="array" ref="O357">IFERROR(INDEX(Input_ForRateCalc[],MATCH($C357&amp;" - "&amp;O$336,Input_ForRateCalc[[Cost item]:[Cost item]],0),MATCH(Calc_TUV_Net_2[[#This Row],[Decision ref]:[Decision ref]],Input_ForRateCalc[#Headers],0)),"-")</f>
        <v>-</v>
      </c>
    </row>
    <row r="358" spans="3:15" outlineLevel="1" x14ac:dyDescent="0.25">
      <c r="C358" s="60" t="s">
        <v>477</v>
      </c>
      <c r="D358" s="83" t="str">
        <f>INDEX(Input_DecisionActual[[Decision]:[Decision]],MATCH(Calc_TU_values!$D$235,Input_DecisionActual[[VDO period]:[VDO period]],0),1)</f>
        <v>VDO 2021 - Final</v>
      </c>
      <c r="E358" s="24" t="s">
        <v>525</v>
      </c>
      <c r="F358" s="83" t="str">
        <f>IF($D358="-","-",INDEX(Inputs!$H$10:$Q$10,1,MATCH($D358,Inputs!$H$8:$Q$8,0)))</f>
        <v>F-CurrentVDO_Input</v>
      </c>
      <c r="G358" s="59"/>
      <c r="H358" s="24" t="s">
        <v>139</v>
      </c>
      <c r="I358" s="24" t="s">
        <v>174</v>
      </c>
      <c r="J358" s="60" t="s">
        <v>100</v>
      </c>
      <c r="K358" s="67" cm="1">
        <f t="array" ref="K358">IFERROR(INDEX(Input_ForRateCalc[],MATCH($C358&amp;" - "&amp;K$336,Input_ForRateCalc[[Cost item]:[Cost item]],0),MATCH(Calc_TUV_Net_2[[#This Row],[Decision ref]:[Decision ref]],Input_ForRateCalc[#Headers],0)),"-")</f>
        <v>12.073700000000001</v>
      </c>
      <c r="L358" s="67" t="str" cm="1">
        <f t="array" ref="L358">IFERROR(INDEX(Input_ForRateCalc[],MATCH($C358&amp;" - "&amp;L$336,Input_ForRateCalc[[Cost item]:[Cost item]],0),MATCH(Calc_TUV_Net_2[[#This Row],[Decision ref]:[Decision ref]],Input_ForRateCalc[#Headers],0)),"-")</f>
        <v>-</v>
      </c>
      <c r="M358" s="67" t="str" cm="1">
        <f t="array" ref="M358">IFERROR(INDEX(Input_ForRateCalc[],MATCH($C358&amp;" - "&amp;M$336,Input_ForRateCalc[[Cost item]:[Cost item]],0),MATCH(Calc_TUV_Net_2[[#This Row],[Decision ref]:[Decision ref]],Input_ForRateCalc[#Headers],0)),"-")</f>
        <v>-</v>
      </c>
      <c r="N358" s="67" t="str" cm="1">
        <f t="array" ref="N358">IFERROR(INDEX(Input_ForRateCalc[],MATCH($C358&amp;" - "&amp;N$336,Input_ForRateCalc[[Cost item]:[Cost item]],0),MATCH(Calc_TUV_Net_2[[#This Row],[Decision ref]:[Decision ref]],Input_ForRateCalc[#Headers],0)),"-")</f>
        <v>-</v>
      </c>
      <c r="O358" s="67" t="str" cm="1">
        <f t="array" ref="O358">IFERROR(INDEX(Input_ForRateCalc[],MATCH($C358&amp;" - "&amp;O$336,Input_ForRateCalc[[Cost item]:[Cost item]],0),MATCH(Calc_TUV_Net_2[[#This Row],[Decision ref]:[Decision ref]],Input_ForRateCalc[#Headers],0)),"-")</f>
        <v>-</v>
      </c>
    </row>
    <row r="359" spans="3:15" outlineLevel="1" x14ac:dyDescent="0.25">
      <c r="C359" s="60" t="s">
        <v>478</v>
      </c>
      <c r="D359" s="83" t="str">
        <f>INDEX(Input_DecisionActual[[Decision]:[Decision]],MATCH(Calc_TU_values!$D$235,Input_DecisionActual[[VDO period]:[VDO period]],0),1)</f>
        <v>VDO 2021 - Final</v>
      </c>
      <c r="E359" s="24" t="s">
        <v>525</v>
      </c>
      <c r="F359" s="83" t="str">
        <f>IF($D359="-","-",INDEX(Inputs!$H$10:$Q$10,1,MATCH($D359,Inputs!$H$8:$Q$8,0)))</f>
        <v>F-CurrentVDO_Input</v>
      </c>
      <c r="G359" s="59"/>
      <c r="H359" s="24" t="s">
        <v>139</v>
      </c>
      <c r="I359" s="24" t="s">
        <v>174</v>
      </c>
      <c r="J359" s="60" t="s">
        <v>100</v>
      </c>
      <c r="K359" s="67" t="str" cm="1">
        <f t="array" ref="K359">IFERROR(INDEX(Input_ForRateCalc[],MATCH($C359&amp;" - "&amp;K$336,Input_ForRateCalc[[Cost item]:[Cost item]],0),MATCH(Calc_TUV_Net_2[[#This Row],[Decision ref]:[Decision ref]],Input_ForRateCalc[#Headers],0)),"-")</f>
        <v>-</v>
      </c>
      <c r="L359" s="67" cm="1">
        <f t="array" ref="L359">IFERROR(INDEX(Input_ForRateCalc[],MATCH($C359&amp;" - "&amp;L$336,Input_ForRateCalc[[Cost item]:[Cost item]],0),MATCH(Calc_TUV_Net_2[[#This Row],[Decision ref]:[Decision ref]],Input_ForRateCalc[#Headers],0)),"-")</f>
        <v>6.47</v>
      </c>
      <c r="M359" s="67" cm="1">
        <f t="array" ref="M359">IFERROR(INDEX(Input_ForRateCalc[],MATCH($C359&amp;" - "&amp;M$336,Input_ForRateCalc[[Cost item]:[Cost item]],0),MATCH(Calc_TUV_Net_2[[#This Row],[Decision ref]:[Decision ref]],Input_ForRateCalc[#Headers],0)),"-")</f>
        <v>7.4139999999999997</v>
      </c>
      <c r="N359" s="67" cm="1">
        <f t="array" ref="N359">IFERROR(INDEX(Input_ForRateCalc[],MATCH($C359&amp;" - "&amp;N$336,Input_ForRateCalc[[Cost item]:[Cost item]],0),MATCH(Calc_TUV_Net_2[[#This Row],[Decision ref]:[Decision ref]],Input_ForRateCalc[#Headers],0)),"-")</f>
        <v>6.74</v>
      </c>
      <c r="O359" s="67" cm="1">
        <f t="array" ref="O359">IFERROR(INDEX(Input_ForRateCalc[],MATCH($C359&amp;" - "&amp;O$336,Input_ForRateCalc[[Cost item]:[Cost item]],0),MATCH(Calc_TUV_Net_2[[#This Row],[Decision ref]:[Decision ref]],Input_ForRateCalc[#Headers],0)),"-")</f>
        <v>7.67</v>
      </c>
    </row>
    <row r="360" spans="3:15" outlineLevel="1" x14ac:dyDescent="0.25">
      <c r="C360" s="60" t="s">
        <v>327</v>
      </c>
      <c r="D360" s="83" t="str">
        <f>INDEX(Input_DecisionActual[[Decision]:[Decision]],MATCH(Calc_TU_values!$D$235,Input_DecisionActual[[VDO period]:[VDO period]],0),1)</f>
        <v>VDO 2021 - Final</v>
      </c>
      <c r="E360" s="24" t="s">
        <v>525</v>
      </c>
      <c r="F360" s="83" t="str">
        <f>IF($D360="-","-",INDEX(Inputs!$H$10:$Q$10,1,MATCH($D360,Inputs!$H$8:$Q$8,0)))</f>
        <v>F-CurrentVDO_Input</v>
      </c>
      <c r="G360" s="59"/>
      <c r="H360" s="24" t="s">
        <v>139</v>
      </c>
      <c r="I360" s="24" t="s">
        <v>118</v>
      </c>
      <c r="J360" s="60" t="s">
        <v>100</v>
      </c>
      <c r="K360" s="68">
        <f>SUM(
IFERROR(K357/100*SUMIFS(INDEX(TUNet_Usage_PerRate_2[],0,MATCH(K$336,TUNet_Usage_PerRate_2[#Headers],0)),TUNet_Usage_PerRate_2[Customer type],Calc_TUV_Net_2[[#This Row],[Customer type]],TUNet_Usage_PerRate_2[Description],"Usage per customer - Block 1"),0),
IFERROR(K358/100*SUMIFS(INDEX(TUNet_Usage_PerRate_2[],0,MATCH(K$336,TUNet_Usage_PerRate_2[#Headers],0)),TUNet_Usage_PerRate_2[Customer type],Calc_TUV_Net_2[[#This Row],[Customer type]],TUNet_Usage_PerRate_2[Description],"Usage per customer - Balance"),0),
IFERROR(K359/100*SUMIFS(INDEX(TUNet_Usage_PerRate_2[],0,MATCH(K$336,TUNet_Usage_PerRate_2[#Headers],0)),TUNet_Usage_PerRate_2[Customer type],Calc_TUV_Net_2[[#This Row],[Customer type]],TUNet_Usage_PerRate_2[Description],"Usage per customer - Single rate"),0))</f>
        <v>99.769154204389494</v>
      </c>
      <c r="L360" s="68">
        <f>SUM(
IFERROR(L357/100*SUMIFS(INDEX(TUNet_Usage_PerRate_2[],0,MATCH(L$336,TUNet_Usage_PerRate_2[#Headers],0)),TUNet_Usage_PerRate_2[Customer type],Calc_TUV_Net_2[[#This Row],[Customer type]],TUNet_Usage_PerRate_2[Description],"Usage per customer - Block 1"),0),
IFERROR(L358/100*SUMIFS(INDEX(TUNet_Usage_PerRate_2[],0,MATCH(L$336,TUNet_Usage_PerRate_2[#Headers],0)),TUNet_Usage_PerRate_2[Customer type],Calc_TUV_Net_2[[#This Row],[Customer type]],TUNet_Usage_PerRate_2[Description],"Usage per customer - Balance"),0),
IFERROR(L359/100*SUMIFS(INDEX(TUNet_Usage_PerRate_2[],0,MATCH(L$336,TUNet_Usage_PerRate_2[#Headers],0)),TUNet_Usage_PerRate_2[Customer type],Calc_TUV_Net_2[[#This Row],[Customer type]],TUNet_Usage_PerRate_2[Description],"Usage per customer - Single rate"),0))</f>
        <v>61.272560769093502</v>
      </c>
      <c r="M360" s="68">
        <f>SUM(
IFERROR(M357/100*SUMIFS(INDEX(TUNet_Usage_PerRate_2[],0,MATCH(M$336,TUNet_Usage_PerRate_2[#Headers],0)),TUNet_Usage_PerRate_2[Customer type],Calc_TUV_Net_2[[#This Row],[Customer type]],TUNet_Usage_PerRate_2[Description],"Usage per customer - Block 1"),0),
IFERROR(M358/100*SUMIFS(INDEX(TUNet_Usage_PerRate_2[],0,MATCH(M$336,TUNet_Usage_PerRate_2[#Headers],0)),TUNet_Usage_PerRate_2[Customer type],Calc_TUV_Net_2[[#This Row],[Customer type]],TUNet_Usage_PerRate_2[Description],"Usage per customer - Balance"),0),
IFERROR(M359/100*SUMIFS(INDEX(TUNet_Usage_PerRate_2[],0,MATCH(M$336,TUNet_Usage_PerRate_2[#Headers],0)),TUNet_Usage_PerRate_2[Customer type],Calc_TUV_Net_2[[#This Row],[Customer type]],TUNet_Usage_PerRate_2[Description],"Usage per customer - Single rate"),0))</f>
        <v>70.212483082234812</v>
      </c>
      <c r="N360" s="68">
        <f>SUM(
IFERROR(N357/100*SUMIFS(INDEX(TUNet_Usage_PerRate_2[],0,MATCH(N$336,TUNet_Usage_PerRate_2[#Headers],0)),TUNet_Usage_PerRate_2[Customer type],Calc_TUV_Net_2[[#This Row],[Customer type]],TUNet_Usage_PerRate_2[Description],"Usage per customer - Block 1"),0),
IFERROR(N358/100*SUMIFS(INDEX(TUNet_Usage_PerRate_2[],0,MATCH(N$336,TUNet_Usage_PerRate_2[#Headers],0)),TUNet_Usage_PerRate_2[Customer type],Calc_TUV_Net_2[[#This Row],[Customer type]],TUNet_Usage_PerRate_2[Description],"Usage per customer - Balance"),0),
IFERROR(N359/100*SUMIFS(INDEX(TUNet_Usage_PerRate_2[],0,MATCH(N$336,TUNet_Usage_PerRate_2[#Headers],0)),TUNet_Usage_PerRate_2[Customer type],Calc_TUV_Net_2[[#This Row],[Customer type]],TUNet_Usage_PerRate_2[Description],"Usage per customer - Single rate"),0))</f>
        <v>63.829530074758921</v>
      </c>
      <c r="O360" s="68">
        <f>SUM(
IFERROR(O357/100*SUMIFS(INDEX(TUNet_Usage_PerRate_2[],0,MATCH(O$336,TUNet_Usage_PerRate_2[#Headers],0)),TUNet_Usage_PerRate_2[Customer type],Calc_TUV_Net_2[[#This Row],[Customer type]],TUNet_Usage_PerRate_2[Description],"Usage per customer - Block 1"),0),
IFERROR(O358/100*SUMIFS(INDEX(TUNet_Usage_PerRate_2[],0,MATCH(O$336,TUNet_Usage_PerRate_2[#Headers],0)),TUNet_Usage_PerRate_2[Customer type],Calc_TUV_Net_2[[#This Row],[Customer type]],TUNet_Usage_PerRate_2[Description],"Usage per customer - Balance"),0),
IFERROR(O359/100*SUMIFS(INDEX(TUNet_Usage_PerRate_2[],0,MATCH(O$336,TUNet_Usage_PerRate_2[#Headers],0)),TUNet_Usage_PerRate_2[Customer type],Calc_TUV_Net_2[[#This Row],[Customer type]],TUNet_Usage_PerRate_2[Description],"Usage per customer - Single rate"),0))</f>
        <v>72.636868794273141</v>
      </c>
    </row>
    <row r="361" spans="3:15" outlineLevel="1" x14ac:dyDescent="0.25">
      <c r="C361" s="60" t="s">
        <v>328</v>
      </c>
      <c r="D361" s="24"/>
      <c r="E361" s="24"/>
      <c r="F361" s="24"/>
      <c r="G361" s="24"/>
      <c r="H361" s="24" t="s">
        <v>139</v>
      </c>
      <c r="I361" s="24" t="s">
        <v>118</v>
      </c>
      <c r="J361" s="60" t="s">
        <v>100</v>
      </c>
      <c r="K361" s="66">
        <f>IF(K360=0,"-",K356-K360)</f>
        <v>8.6681259462057767</v>
      </c>
      <c r="L361" s="66">
        <f t="shared" ref="L361" si="112">IF(L360=0,"-",L356-L360)</f>
        <v>14.963005566486515</v>
      </c>
      <c r="M361" s="66">
        <f t="shared" ref="M361" si="113">IF(M360=0,"-",M356-M360)</f>
        <v>11.89464239968801</v>
      </c>
      <c r="N361" s="66">
        <f t="shared" ref="N361" si="114">IF(N360=0,"-",N356-N360)</f>
        <v>13.353061929586076</v>
      </c>
      <c r="O361" s="66">
        <f t="shared" ref="O361" si="115">IF(O360=0,"-",O356-O360)</f>
        <v>3.0304821400478943</v>
      </c>
    </row>
    <row r="362" spans="3:15" hidden="1" outlineLevel="1" x14ac:dyDescent="0.25">
      <c r="C362" s="60" t="s">
        <v>435</v>
      </c>
      <c r="D362" s="24"/>
      <c r="E362" s="24"/>
      <c r="F362" s="24"/>
      <c r="G362" s="24"/>
      <c r="H362" s="24" t="s">
        <v>139</v>
      </c>
      <c r="I362" s="24" t="s">
        <v>118</v>
      </c>
      <c r="J362" s="60" t="s">
        <v>100</v>
      </c>
      <c r="K362" s="67" t="str">
        <f>IF($D$313="Yes",K361*(1+WACC_adj_2),"")</f>
        <v/>
      </c>
      <c r="L362" s="67" t="str">
        <f>IF($D$313="Yes",L361*(1+WACC_adj_2),"")</f>
        <v/>
      </c>
      <c r="M362" s="67" t="str">
        <f>IF($D$313="Yes",M361*(1+WACC_adj_2),"")</f>
        <v/>
      </c>
      <c r="N362" s="67" t="str">
        <f>IF($D$313="Yes",N361*(1+WACC_adj_2),"")</f>
        <v/>
      </c>
      <c r="O362" s="67" t="str">
        <f>IF($D$313="Yes",O361*(1+WACC_adj_2),"")</f>
        <v/>
      </c>
    </row>
    <row r="363" spans="3:15" outlineLevel="1" x14ac:dyDescent="0.25">
      <c r="C363" s="60" t="s">
        <v>330</v>
      </c>
      <c r="D363" s="83" t="str">
        <f>INDEX(Input_DecisionActual[[Decision]:[Decision]],MATCH(Calc_TU_values!$D$235,Input_DecisionActual[[VDO period]:[VDO period]],0),1)</f>
        <v>VDO 2021 - Final</v>
      </c>
      <c r="E363" s="24" t="s">
        <v>525</v>
      </c>
      <c r="F363" s="83" t="str">
        <f>IF($D363="-","-",INDEX(Inputs!$H$10:$Q$10,1,MATCH($D363,Inputs!$H$8:$Q$8,0)))</f>
        <v>F-CurrentVDO_Input</v>
      </c>
      <c r="G363" s="24"/>
      <c r="H363" s="24" t="s">
        <v>139</v>
      </c>
      <c r="I363" s="24" t="s">
        <v>118</v>
      </c>
      <c r="J363" s="60" t="s">
        <v>100</v>
      </c>
      <c r="K363" s="67" cm="1">
        <f t="array" ref="K363">IFERROR(SUM(K361:K362)*(INDEX(Inputs!$H$11:$Q$127,MATCH("Retail operating margin",Input_ForRateCalc[[Cost item]:[Cost item]],0),MATCH(Calc_TUV_Net_2[[#This Row],[Decision ref]:[Decision ref]],Inputs!$H$10:$Q$10,0))),"-")</f>
        <v>0.52355480715082892</v>
      </c>
      <c r="L363" s="67" cm="1">
        <f t="array" ref="L363">IFERROR(SUM(L361:L362)*(INDEX(Inputs!$H$11:$Q$127,MATCH("Retail operating margin",Input_ForRateCalc[[Cost item]:[Cost item]],0),MATCH(Calc_TUV_Net_2[[#This Row],[Decision ref]:[Decision ref]],Inputs!$H$10:$Q$10,0))),"-")</f>
        <v>0.90376553621578559</v>
      </c>
      <c r="M363" s="67" cm="1">
        <f t="array" ref="M363">IFERROR(SUM(M361:M362)*(INDEX(Inputs!$H$11:$Q$127,MATCH("Retail operating margin",Input_ForRateCalc[[Cost item]:[Cost item]],0),MATCH(Calc_TUV_Net_2[[#This Row],[Decision ref]:[Decision ref]],Inputs!$H$10:$Q$10,0))),"-")</f>
        <v>0.71843640094115579</v>
      </c>
      <c r="N363" s="67" cm="1">
        <f t="array" ref="N363">IFERROR(SUM(N361:N362)*(INDEX(Inputs!$H$11:$Q$127,MATCH("Retail operating margin",Input_ForRateCalc[[Cost item]:[Cost item]],0),MATCH(Calc_TUV_Net_2[[#This Row],[Decision ref]:[Decision ref]],Inputs!$H$10:$Q$10,0))),"-")</f>
        <v>0.80652494054699897</v>
      </c>
      <c r="O363" s="67" cm="1">
        <f t="array" ref="O363">IFERROR(SUM(O361:O362)*(INDEX(Inputs!$H$11:$Q$127,MATCH("Retail operating margin",Input_ForRateCalc[[Cost item]:[Cost item]],0),MATCH(Calc_TUV_Net_2[[#This Row],[Decision ref]:[Decision ref]],Inputs!$H$10:$Q$10,0))),"-")</f>
        <v>0.18304112125889282</v>
      </c>
    </row>
    <row r="364" spans="3:15" outlineLevel="1" x14ac:dyDescent="0.25">
      <c r="C364" s="60" t="s">
        <v>436</v>
      </c>
      <c r="D364" s="24"/>
      <c r="E364" s="24"/>
      <c r="F364" s="24"/>
      <c r="G364" s="24"/>
      <c r="H364" s="24" t="s">
        <v>139</v>
      </c>
      <c r="I364" s="24" t="s">
        <v>118</v>
      </c>
      <c r="J364" s="60" t="s">
        <v>100</v>
      </c>
      <c r="K364" s="67">
        <f>IF(K360=0,"-",SUM(K361:K363)*GST)</f>
        <v>0.91916807533566058</v>
      </c>
      <c r="L364" s="67">
        <f>IF(L360=0,"-",SUM(L361:L363)*GST)</f>
        <v>1.5866771102702302</v>
      </c>
      <c r="M364" s="67">
        <f>IF(M360=0,"-",SUM(M361:M363)*GST)</f>
        <v>1.2613078800629167</v>
      </c>
      <c r="N364" s="67">
        <f>IF(N360=0,"-",SUM(N361:N363)*GST)</f>
        <v>1.4159586870133076</v>
      </c>
      <c r="O364" s="67">
        <f>IF(O360=0,"-",SUM(O361:O363)*GST)</f>
        <v>0.32135232613067877</v>
      </c>
    </row>
    <row r="365" spans="3:15" outlineLevel="1" x14ac:dyDescent="0.25">
      <c r="C365" s="60" t="s">
        <v>495</v>
      </c>
      <c r="D365" s="118"/>
      <c r="E365" s="118"/>
      <c r="F365" s="118"/>
      <c r="H365" s="24" t="s">
        <v>139</v>
      </c>
      <c r="I365" s="24" t="s">
        <v>118</v>
      </c>
      <c r="J365" s="60" t="s">
        <v>100</v>
      </c>
      <c r="K365" s="67">
        <f>IF(K360=0,"-",SUM(K361:K364))</f>
        <v>10.110848828692266</v>
      </c>
      <c r="L365" s="67">
        <f t="shared" ref="L365:O365" si="116">IF(L360=0,"-",SUM(L361:L364))</f>
        <v>17.453448212972532</v>
      </c>
      <c r="M365" s="67">
        <f t="shared" si="116"/>
        <v>13.874386680692083</v>
      </c>
      <c r="N365" s="67">
        <f t="shared" si="116"/>
        <v>15.575545557146384</v>
      </c>
      <c r="O365" s="67">
        <f t="shared" si="116"/>
        <v>3.5348755874374662</v>
      </c>
    </row>
    <row r="366" spans="3:15" outlineLevel="1" x14ac:dyDescent="0.25">
      <c r="C366" s="60"/>
      <c r="D366" s="128"/>
      <c r="E366" s="128"/>
      <c r="F366" s="128"/>
      <c r="G366" s="128"/>
      <c r="H366" s="128"/>
      <c r="I366" s="128"/>
      <c r="J366" s="128"/>
      <c r="K366" s="139"/>
      <c r="L366" s="139"/>
      <c r="M366" s="139"/>
      <c r="N366" s="139"/>
      <c r="O366" s="139"/>
    </row>
    <row r="367" spans="3:15" outlineLevel="1" x14ac:dyDescent="0.25">
      <c r="C367" s="58" t="s">
        <v>549</v>
      </c>
      <c r="D367" s="24"/>
      <c r="E367" s="24"/>
      <c r="F367" s="24"/>
      <c r="G367" s="69" t="s">
        <v>570</v>
      </c>
      <c r="H367" s="24"/>
      <c r="I367" s="24"/>
      <c r="J367" s="24"/>
      <c r="K367" s="139"/>
      <c r="L367" s="139"/>
      <c r="M367" s="139"/>
      <c r="N367" s="139"/>
      <c r="O367" s="139"/>
    </row>
    <row r="368" spans="3:15" outlineLevel="1" x14ac:dyDescent="0.25">
      <c r="C368" s="60" t="s">
        <v>548</v>
      </c>
      <c r="D368" s="83" t="str">
        <f>Calc_TU_values!$D$235</f>
        <v>VDO 2022 - Final</v>
      </c>
      <c r="E368" s="24" t="s">
        <v>524</v>
      </c>
      <c r="F368" s="83" t="str">
        <f>INDEX(Inputs!$H$10:$Q$10,1,MATCH($D368,Inputs!$H$8:$Q$8,0))</f>
        <v>F-NextVDO_Input</v>
      </c>
      <c r="G368" s="24"/>
      <c r="H368" s="24" t="s">
        <v>139</v>
      </c>
      <c r="I368" s="24" t="s">
        <v>174</v>
      </c>
      <c r="J368" s="60" t="s">
        <v>100</v>
      </c>
      <c r="K368" s="67" cm="1">
        <f t="array" ref="K368">IFERROR(INDEX(Input_ForRateCalc[],MATCH($C368&amp;" - "&amp;K$336,Input_ForRateCalc[[Cost item]:[Cost item]],0),MATCH(Calc_TUV_Net_2[[#This Row],[Decision ref]:[Decision ref]],Input_ForRateCalc[#Headers],0)),"-")</f>
        <v>4.2622999999999998</v>
      </c>
      <c r="L368" s="67" cm="1">
        <f t="array" ref="L368">IFERROR(INDEX(Input_ForRateCalc[],MATCH($C368&amp;" - "&amp;L$336,Input_ForRateCalc[[Cost item]:[Cost item]],0),MATCH(Calc_TUV_Net_2[[#This Row],[Decision ref]:[Decision ref]],Input_ForRateCalc[#Headers],0)),"-")</f>
        <v>2.4700000000000002</v>
      </c>
      <c r="M368" s="67" cm="1">
        <f t="array" ref="M368">IFERROR(INDEX(Input_ForRateCalc[],MATCH($C368&amp;" - "&amp;M$336,Input_ForRateCalc[[Cost item]:[Cost item]],0),MATCH(Calc_TUV_Net_2[[#This Row],[Decision ref]:[Decision ref]],Input_ForRateCalc[#Headers],0)),"-")</f>
        <v>3.5990000000000002</v>
      </c>
      <c r="N368" s="67" cm="1">
        <f t="array" ref="N368">IFERROR(INDEX(Input_ForRateCalc[],MATCH($C368&amp;" - "&amp;N$336,Input_ForRateCalc[[Cost item]:[Cost item]],0),MATCH(Calc_TUV_Net_2[[#This Row],[Decision ref]:[Decision ref]],Input_ForRateCalc[#Headers],0)),"-")</f>
        <v>2.39</v>
      </c>
      <c r="O368" s="67" cm="1">
        <f t="array" ref="O368">IFERROR(INDEX(Input_ForRateCalc[],MATCH($C368&amp;" - "&amp;O$336,Input_ForRateCalc[[Cost item]:[Cost item]],0),MATCH(Calc_TUV_Net_2[[#This Row],[Decision ref]:[Decision ref]],Input_ForRateCalc[#Headers],0)),"-")</f>
        <v>2.17</v>
      </c>
    </row>
    <row r="369" spans="3:15" outlineLevel="1" x14ac:dyDescent="0.25">
      <c r="C369" s="60" t="s">
        <v>327</v>
      </c>
      <c r="D369" s="83" t="str">
        <f>Calc_TU_values!$D$235</f>
        <v>VDO 2022 - Final</v>
      </c>
      <c r="E369" s="24" t="s">
        <v>524</v>
      </c>
      <c r="F369" s="83" t="str">
        <f>INDEX(Inputs!$H$10:$Q$10,1,MATCH($D369,Inputs!$H$8:$Q$8,0))</f>
        <v>F-NextVDO_Input</v>
      </c>
      <c r="G369" s="128"/>
      <c r="H369" s="24" t="s">
        <v>139</v>
      </c>
      <c r="I369" s="24" t="s">
        <v>118</v>
      </c>
      <c r="J369" s="60" t="s">
        <v>100</v>
      </c>
      <c r="K369" s="68" cm="1">
        <f t="array" ref="K369">TUProp_CLLoad_2*SUM(
IFERROR(K368/100*INDEX(Input_Usage[#All],MATCH(Calc_TUV_Net_2[[#This Row],[Customer type]:[Customer type]]&amp;" - medium - controlled load",Input_Usage[[#All],[Ref]],0),MATCH($F369,Input_Usage[#Headers],0)),0))</f>
        <v>20.691586030619156</v>
      </c>
      <c r="L369" s="68" cm="1">
        <f t="array" ref="L369">TUProp_CLLoad_2*SUM(
IFERROR(L368/100*INDEX(Input_Usage[#All],MATCH(Calc_TUV_Net_2[[#This Row],[Customer type]:[Customer type]]&amp;" - medium - controlled load",Input_Usage[[#All],[Ref]],0),MATCH($F369,Input_Usage[#Headers],0)),0))</f>
        <v>11.990760269251183</v>
      </c>
      <c r="M369" s="68" cm="1">
        <f t="array" ref="M369">TUProp_CLLoad_2*SUM(
IFERROR(M368/100*INDEX(Input_Usage[#All],MATCH(Calc_TUV_Net_2[[#This Row],[Customer type]:[Customer type]]&amp;" - medium - controlled load",Input_Usage[[#All],[Ref]],0),MATCH($F369,Input_Usage[#Headers],0)),0))</f>
        <v>17.471557169649799</v>
      </c>
      <c r="N369" s="68" cm="1">
        <f t="array" ref="N369">TUProp_CLLoad_2*SUM(
IFERROR(N368/100*INDEX(Input_Usage[#All],MATCH(Calc_TUV_Net_2[[#This Row],[Customer type]:[Customer type]]&amp;" - medium - controlled load",Input_Usage[[#All],[Ref]],0),MATCH($F369,Input_Usage[#Headers],0)),0))</f>
        <v>11.602395564174222</v>
      </c>
      <c r="O369" s="68" cm="1">
        <f t="array" ref="O369">TUProp_CLLoad_2*SUM(
IFERROR(O368/100*INDEX(Input_Usage[#All],MATCH(Calc_TUV_Net_2[[#This Row],[Customer type]:[Customer type]]&amp;" - medium - controlled load",Input_Usage[[#All],[Ref]],0),MATCH($F369,Input_Usage[#Headers],0)),0))</f>
        <v>10.534392625212577</v>
      </c>
    </row>
    <row r="370" spans="3:15" outlineLevel="1" x14ac:dyDescent="0.25">
      <c r="C370" s="60" t="s">
        <v>548</v>
      </c>
      <c r="D370" s="83" t="str">
        <f>INDEX(Input_DecisionActual[[Decision]:[Decision]],MATCH(Calc_TU_values!$D$235,Input_DecisionActual[[VDO period]:[VDO period]],0),1)</f>
        <v>VDO 2021 - Final</v>
      </c>
      <c r="E370" s="24" t="s">
        <v>525</v>
      </c>
      <c r="F370" s="83" t="str">
        <f>IF($D370="-","-",INDEX(Inputs!$H$10:$Q$10,1,MATCH($D370,Inputs!$H$8:$Q$8,0)))</f>
        <v>F-CurrentVDO_Input</v>
      </c>
      <c r="G370" s="128"/>
      <c r="H370" s="24" t="s">
        <v>139</v>
      </c>
      <c r="I370" s="24" t="s">
        <v>174</v>
      </c>
      <c r="J370" s="60" t="s">
        <v>100</v>
      </c>
      <c r="K370" s="67">
        <f>IFERROR(INDEX(Input_ForRateCalc[],MATCH($C370&amp;" - "&amp;K$336,Input_ForRateCalc[[Cost item]:[Cost item]],0),MATCH($F370,Input_ForRateCalc[#Headers],0)),"-")</f>
        <v>3.8612000000000002</v>
      </c>
      <c r="L370" s="67">
        <f>IFERROR(INDEX(Input_ForRateCalc[],MATCH($C370&amp;" - "&amp;L$336,Input_ForRateCalc[[Cost item]:[Cost item]],0),MATCH($F370,Input_ForRateCalc[#Headers],0)),"-")</f>
        <v>2.09</v>
      </c>
      <c r="M370" s="67">
        <f>IFERROR(INDEX(Input_ForRateCalc[],MATCH($C370&amp;" - "&amp;M$336,Input_ForRateCalc[[Cost item]:[Cost item]],0),MATCH($F370,Input_ForRateCalc[#Headers],0)),"-")</f>
        <v>2.9159999999999999</v>
      </c>
      <c r="N370" s="67">
        <f>IFERROR(INDEX(Input_ForRateCalc[],MATCH($C370&amp;" - "&amp;N$336,Input_ForRateCalc[[Cost item]:[Cost item]],0),MATCH($F370,Input_ForRateCalc[#Headers],0)),"-")</f>
        <v>2.14</v>
      </c>
      <c r="O370" s="67">
        <f>IFERROR(INDEX(Input_ForRateCalc[],MATCH($C370&amp;" - "&amp;O$336,Input_ForRateCalc[[Cost item]:[Cost item]],0),MATCH($F370,Input_ForRateCalc[#Headers],0)),"-")</f>
        <v>1.73</v>
      </c>
    </row>
    <row r="371" spans="3:15" outlineLevel="1" x14ac:dyDescent="0.25">
      <c r="C371" s="60" t="s">
        <v>327</v>
      </c>
      <c r="D371" s="83" t="str">
        <f>INDEX(Input_DecisionActual[[Decision]:[Decision]],MATCH(Calc_TU_values!$D$235,Input_DecisionActual[[VDO period]:[VDO period]],0),1)</f>
        <v>VDO 2021 - Final</v>
      </c>
      <c r="E371" s="24" t="s">
        <v>525</v>
      </c>
      <c r="F371" s="83" t="str">
        <f>IF($D371="-","-",INDEX(Inputs!$H$10:$Q$10,1,MATCH($D371,Inputs!$H$8:$Q$8,0)))</f>
        <v>F-CurrentVDO_Input</v>
      </c>
      <c r="G371" s="128"/>
      <c r="H371" s="24" t="s">
        <v>139</v>
      </c>
      <c r="I371" s="24" t="s">
        <v>118</v>
      </c>
      <c r="J371" s="60" t="s">
        <v>100</v>
      </c>
      <c r="K371" s="68" cm="1">
        <f t="array" ref="K371">TUProp_CLLoad_2*SUM(
IFERROR(K370/100*INDEX(Input_Usage[#All],MATCH(Calc_TUV_Net_2[[#This Row],[Customer type]:[Customer type]]&amp;" - medium - controlled load",Input_Usage[[#All],[Ref]],0),MATCH($F371,Input_Usage[#Headers],0)),0))</f>
        <v>18.744422490539542</v>
      </c>
      <c r="L371" s="68" cm="1">
        <f t="array" ref="L371">TUProp_CLLoad_2*SUM(
IFERROR(L370/100*INDEX(Input_Usage[#All],MATCH(Calc_TUV_Net_2[[#This Row],[Customer type]:[Customer type]]&amp;" - medium - controlled load",Input_Usage[[#All],[Ref]],0),MATCH($F371,Input_Usage[#Headers],0)),0))</f>
        <v>10.146027920135616</v>
      </c>
      <c r="M371" s="68" cm="1">
        <f t="array" ref="M371">TUProp_CLLoad_2*SUM(
IFERROR(M370/100*INDEX(Input_Usage[#All],MATCH(Calc_TUV_Net_2[[#This Row],[Customer type]:[Customer type]]&amp;" - medium - controlled load",Input_Usage[[#All],[Ref]],0),MATCH($F371,Input_Usage[#Headers],0)),0))</f>
        <v>14.155893500055242</v>
      </c>
      <c r="N371" s="68" cm="1">
        <f t="array" ref="N371">TUProp_CLLoad_2*SUM(
IFERROR(N370/100*INDEX(Input_Usage[#All],MATCH(Calc_TUV_Net_2[[#This Row],[Customer type]:[Customer type]]&amp;" - medium - controlled load",Input_Usage[[#All],[Ref]],0),MATCH($F371,Input_Usage[#Headers],0)),0))</f>
        <v>10.388755860808718</v>
      </c>
      <c r="O371" s="68" cm="1">
        <f t="array" ref="O371">TUProp_CLLoad_2*SUM(
IFERROR(O370/100*INDEX(Input_Usage[#All],MATCH(Calc_TUV_Net_2[[#This Row],[Customer type]:[Customer type]]&amp;" - medium - controlled load",Input_Usage[[#All],[Ref]],0),MATCH($F371,Input_Usage[#Headers],0)),0))</f>
        <v>8.3983867472892904</v>
      </c>
    </row>
    <row r="372" spans="3:15" outlineLevel="1" x14ac:dyDescent="0.25">
      <c r="C372" s="60" t="s">
        <v>328</v>
      </c>
      <c r="D372" s="24"/>
      <c r="E372" s="24"/>
      <c r="F372" s="24"/>
      <c r="G372" s="24"/>
      <c r="H372" s="24" t="s">
        <v>139</v>
      </c>
      <c r="I372" s="24" t="s">
        <v>118</v>
      </c>
      <c r="J372" s="60" t="s">
        <v>100</v>
      </c>
      <c r="K372" s="66">
        <f>IF(K371=0,"-",K369-K371)</f>
        <v>1.9471635400796146</v>
      </c>
      <c r="L372" s="66">
        <f t="shared" ref="L372:O372" si="117">IF(L371=0,"-",L369-L371)</f>
        <v>1.8447323491155672</v>
      </c>
      <c r="M372" s="66">
        <f t="shared" si="117"/>
        <v>3.3156636695945565</v>
      </c>
      <c r="N372" s="66">
        <f t="shared" si="117"/>
        <v>1.2136397033655033</v>
      </c>
      <c r="O372" s="66">
        <f t="shared" si="117"/>
        <v>2.1360058779232869</v>
      </c>
    </row>
    <row r="373" spans="3:15" hidden="1" outlineLevel="1" x14ac:dyDescent="0.25">
      <c r="C373" s="60" t="s">
        <v>435</v>
      </c>
      <c r="D373" s="24"/>
      <c r="E373" s="24"/>
      <c r="F373" s="24"/>
      <c r="G373" s="24"/>
      <c r="H373" s="24" t="s">
        <v>139</v>
      </c>
      <c r="I373" s="24" t="s">
        <v>118</v>
      </c>
      <c r="J373" s="60" t="s">
        <v>100</v>
      </c>
      <c r="K373" s="67" t="str">
        <f>IF($D$313="Yes",K372*(1+WACC_adj_2),"")</f>
        <v/>
      </c>
      <c r="L373" s="67" t="str">
        <f>IF($D$313="Yes",L372*(1+WACC_adj_2),"")</f>
        <v/>
      </c>
      <c r="M373" s="67" t="str">
        <f>IF($D$313="Yes",M372*(1+WACC_adj_2),"")</f>
        <v/>
      </c>
      <c r="N373" s="67" t="str">
        <f>IF($D$313="Yes",N372*(1+WACC_adj_2),"")</f>
        <v/>
      </c>
      <c r="O373" s="67" t="str">
        <f>IF($D$313="Yes",O372*(1+WACC_adj_2),"")</f>
        <v/>
      </c>
    </row>
    <row r="374" spans="3:15" outlineLevel="1" x14ac:dyDescent="0.25">
      <c r="C374" s="60" t="s">
        <v>330</v>
      </c>
      <c r="D374" s="83" t="str">
        <f>INDEX(Input_DecisionActual[[Decision]:[Decision]],MATCH(Calc_TU_values!$D$235,Input_DecisionActual[[VDO period]:[VDO period]],0),1)</f>
        <v>VDO 2021 - Final</v>
      </c>
      <c r="E374" s="24" t="s">
        <v>525</v>
      </c>
      <c r="F374" s="83" t="str">
        <f>IF($D374="-","-",INDEX(Inputs!$H$10:$Q$10,1,MATCH($D374,Inputs!$H$8:$Q$8,0)))</f>
        <v>F-CurrentVDO_Input</v>
      </c>
      <c r="G374" s="24"/>
      <c r="H374" s="24" t="s">
        <v>139</v>
      </c>
      <c r="I374" s="24" t="s">
        <v>118</v>
      </c>
      <c r="J374" s="60" t="s">
        <v>100</v>
      </c>
      <c r="K374" s="67" cm="1">
        <f t="array" ref="K374">IFERROR(SUM(K372:K373)*(INDEX(Inputs!$H$11:$Q$127,MATCH("Retail operating margin",Input_ForRateCalc[[Cost item]:[Cost item]],0),MATCH(Calc_TUV_Net_2[[#This Row],[Decision ref]:[Decision ref]],Inputs!$H$10:$Q$10,0))),"-")</f>
        <v>0.11760867782080872</v>
      </c>
      <c r="L374" s="67" cm="1">
        <f t="array" ref="L374">IFERROR(SUM(L372:L373)*(INDEX(Inputs!$H$11:$Q$127,MATCH("Retail operating margin",Input_ForRateCalc[[Cost item]:[Cost item]],0),MATCH(Calc_TUV_Net_2[[#This Row],[Decision ref]:[Decision ref]],Inputs!$H$10:$Q$10,0))),"-")</f>
        <v>0.11142183388658027</v>
      </c>
      <c r="M374" s="67" cm="1">
        <f t="array" ref="M374">IFERROR(SUM(M372:M373)*(INDEX(Inputs!$H$11:$Q$127,MATCH("Retail operating margin",Input_ForRateCalc[[Cost item]:[Cost item]],0),MATCH(Calc_TUV_Net_2[[#This Row],[Decision ref]:[Decision ref]],Inputs!$H$10:$Q$10,0))),"-")</f>
        <v>0.20026608564351123</v>
      </c>
      <c r="N374" s="67" cm="1">
        <f t="array" ref="N374">IFERROR(SUM(N372:N373)*(INDEX(Inputs!$H$11:$Q$127,MATCH("Retail operating margin",Input_ForRateCalc[[Cost item]:[Cost item]],0),MATCH(Calc_TUV_Net_2[[#This Row],[Decision ref]:[Decision ref]],Inputs!$H$10:$Q$10,0))),"-")</f>
        <v>7.3303838083276396E-2</v>
      </c>
      <c r="O374" s="67" cm="1">
        <f t="array" ref="O374">IFERROR(SUM(O372:O373)*(INDEX(Inputs!$H$11:$Q$127,MATCH("Retail operating margin",Input_ForRateCalc[[Cost item]:[Cost item]],0),MATCH(Calc_TUV_Net_2[[#This Row],[Decision ref]:[Decision ref]],Inputs!$H$10:$Q$10,0))),"-")</f>
        <v>0.12901475502656654</v>
      </c>
    </row>
    <row r="375" spans="3:15" outlineLevel="1" x14ac:dyDescent="0.25">
      <c r="C375" s="60" t="s">
        <v>436</v>
      </c>
      <c r="D375" s="24"/>
      <c r="E375" s="24"/>
      <c r="F375" s="24"/>
      <c r="G375" s="24"/>
      <c r="H375" s="24" t="s">
        <v>139</v>
      </c>
      <c r="I375" s="24" t="s">
        <v>118</v>
      </c>
      <c r="J375" s="60" t="s">
        <v>100</v>
      </c>
      <c r="K375" s="67">
        <f>IF(K371=0,"-",SUM(K372:K374)*GST)</f>
        <v>0.20647722179004233</v>
      </c>
      <c r="L375" s="67">
        <f>IF(L371=0,"-",SUM(L372:L374)*GST)</f>
        <v>0.19561541830021476</v>
      </c>
      <c r="M375" s="67">
        <f>IF(M371=0,"-",SUM(M372:M374)*GST)</f>
        <v>0.35159297552380675</v>
      </c>
      <c r="N375" s="67">
        <f>IF(N371=0,"-",SUM(N372:N374)*GST)</f>
        <v>0.12869435414487798</v>
      </c>
      <c r="O375" s="67">
        <f>IF(O371=0,"-",SUM(O372:O374)*GST)</f>
        <v>0.22650206329498535</v>
      </c>
    </row>
    <row r="376" spans="3:15" outlineLevel="1" x14ac:dyDescent="0.25">
      <c r="C376" s="60" t="s">
        <v>571</v>
      </c>
      <c r="D376" s="118"/>
      <c r="E376" s="118"/>
      <c r="F376" s="118"/>
      <c r="H376" s="24" t="s">
        <v>139</v>
      </c>
      <c r="I376" s="24" t="s">
        <v>118</v>
      </c>
      <c r="J376" s="60" t="s">
        <v>100</v>
      </c>
      <c r="K376" s="67">
        <f>IF(K371=0,"-",SUM(K372:K375))</f>
        <v>2.2712494396904654</v>
      </c>
      <c r="L376" s="67">
        <f>IF(L371=0,"-",SUM(L372:L375))</f>
        <v>2.1517696013023619</v>
      </c>
      <c r="M376" s="67">
        <f>IF(M371=0,"-",SUM(M372:M375))</f>
        <v>3.8675227307618743</v>
      </c>
      <c r="N376" s="67">
        <f>IF(N371=0,"-",SUM(N372:N375))</f>
        <v>1.4156378955936577</v>
      </c>
      <c r="O376" s="67">
        <f>IF(O371=0,"-",SUM(O372:O375))</f>
        <v>2.4915226962448385</v>
      </c>
    </row>
    <row r="377" spans="3:15" outlineLevel="1" x14ac:dyDescent="0.25">
      <c r="C377" s="60"/>
      <c r="D377" s="128"/>
      <c r="E377" s="128"/>
      <c r="F377" s="128"/>
      <c r="G377" s="128"/>
      <c r="H377" s="128"/>
      <c r="I377" s="128"/>
      <c r="J377" s="128"/>
      <c r="K377" s="139"/>
      <c r="L377" s="139"/>
      <c r="M377" s="139"/>
      <c r="N377" s="139"/>
      <c r="O377" s="139"/>
    </row>
    <row r="378" spans="3:15" ht="15.75" outlineLevel="1" x14ac:dyDescent="0.25">
      <c r="C378" s="153" t="s">
        <v>485</v>
      </c>
      <c r="D378" s="24"/>
      <c r="E378" s="24"/>
      <c r="F378" s="24"/>
      <c r="G378" s="69" t="s">
        <v>570</v>
      </c>
      <c r="H378" s="24"/>
      <c r="I378" s="24"/>
      <c r="J378" s="24"/>
      <c r="K378" s="66"/>
      <c r="L378" s="24"/>
      <c r="M378" s="24"/>
      <c r="N378" s="24"/>
      <c r="O378" s="24"/>
    </row>
    <row r="379" spans="3:15" outlineLevel="1" x14ac:dyDescent="0.25">
      <c r="C379" s="58" t="s">
        <v>500</v>
      </c>
      <c r="D379" s="58"/>
      <c r="E379" s="58"/>
      <c r="F379" s="58"/>
      <c r="G379" s="69"/>
      <c r="H379" s="69"/>
      <c r="I379" s="24"/>
      <c r="J379" s="24"/>
      <c r="K379" s="66"/>
      <c r="L379" s="24"/>
      <c r="M379" s="24"/>
      <c r="N379" s="24"/>
      <c r="O379" s="24"/>
    </row>
    <row r="380" spans="3:15" outlineLevel="1" x14ac:dyDescent="0.25">
      <c r="C380" s="60" t="s">
        <v>480</v>
      </c>
      <c r="D380" s="83" t="str">
        <f>Calc_TU_values!$D$235</f>
        <v>VDO 2022 - Final</v>
      </c>
      <c r="E380" s="24" t="s">
        <v>524</v>
      </c>
      <c r="F380" s="83" t="str">
        <f>INDEX(Inputs!$H$10:$Q$10,1,MATCH($D380,Inputs!$H$8:$Q$8,0))</f>
        <v>F-NextVDO_Input</v>
      </c>
      <c r="G380" s="59"/>
      <c r="H380" s="24" t="s">
        <v>117</v>
      </c>
      <c r="I380" s="24" t="s">
        <v>118</v>
      </c>
      <c r="J380" s="60" t="s">
        <v>101</v>
      </c>
      <c r="K380" s="67" cm="1">
        <f t="array" ref="K380">IFERROR(INDEX(Input_ForRateCalc[],MATCH($C380&amp;" - "&amp;K$336,Input_ForRateCalc[[Cost item]:[Cost item]],0),MATCH(Calc_TUV_Net_2[[#This Row],[Decision ref]:[Decision ref]],Input_ForRateCalc[#Headers],0)),"-")*TUProp_Days_2</f>
        <v>18.873479452054795</v>
      </c>
      <c r="L380" s="67" cm="1">
        <f t="array" ref="L380">IFERROR(INDEX(Input_ForRateCalc[],MATCH($C380&amp;" - "&amp;L$336,Input_ForRateCalc[[Cost item]:[Cost item]],0),MATCH(Calc_TUV_Net_2[[#This Row],[Decision ref]:[Decision ref]],Input_ForRateCalc[#Headers],0)),"-")*TUProp_Days_2</f>
        <v>27.180799999999998</v>
      </c>
      <c r="M380" s="67" cm="1">
        <f t="array" ref="M380">IFERROR(INDEX(Input_ForRateCalc[],MATCH($C380&amp;" - "&amp;M$336,Input_ForRateCalc[[Cost item]:[Cost item]],0),MATCH(Calc_TUV_Net_2[[#This Row],[Decision ref]:[Decision ref]],Input_ForRateCalc[#Headers],0)),"-")*TUProp_Days_2</f>
        <v>22.840800000000002</v>
      </c>
      <c r="N380" s="67" cm="1">
        <f t="array" ref="N380">IFERROR(INDEX(Input_ForRateCalc[],MATCH($C380&amp;" - "&amp;N$336,Input_ForRateCalc[[Cost item]:[Cost item]],0),MATCH(Calc_TUV_Net_2[[#This Row],[Decision ref]:[Decision ref]],Input_ForRateCalc[#Headers],0)),"-")*TUProp_Days_2</f>
        <v>30.572200000000002</v>
      </c>
      <c r="O380" s="67" cm="1">
        <f t="array" ref="O380">IFERROR(INDEX(Input_ForRateCalc[],MATCH($C380&amp;" - "&amp;O$336,Input_ForRateCalc[[Cost item]:[Cost item]],0),MATCH(Calc_TUV_Net_2[[#This Row],[Decision ref]:[Decision ref]],Input_ForRateCalc[#Headers],0)),"-")*TUProp_Days_2</f>
        <v>20.385599999999997</v>
      </c>
    </row>
    <row r="381" spans="3:15" outlineLevel="1" x14ac:dyDescent="0.25">
      <c r="C381" s="60" t="s">
        <v>284</v>
      </c>
      <c r="D381" s="83" t="str">
        <f>Calc_TU_values!$D$235</f>
        <v>VDO 2022 - Final</v>
      </c>
      <c r="E381" s="24" t="s">
        <v>524</v>
      </c>
      <c r="F381" s="83" t="str">
        <f>INDEX(Inputs!$H$10:$Q$10,1,MATCH($D381,Inputs!$H$8:$Q$8,0))</f>
        <v>F-NextVDO_Input</v>
      </c>
      <c r="G381" s="59"/>
      <c r="H381" s="24" t="s">
        <v>117</v>
      </c>
      <c r="I381" s="24" t="s">
        <v>118</v>
      </c>
      <c r="J381" s="60" t="s">
        <v>101</v>
      </c>
      <c r="K381" s="67" cm="1">
        <f t="array" ref="K381">IFERROR(INDEX(Input_ForRateCalc[],MATCH($C381&amp;" - "&amp;K$336,Input_ForRateCalc[[Cost item]:[Cost item]],0),MATCH(Calc_TUV_Net_2[[#This Row],[Decision ref]:[Decision ref]],Input_ForRateCalc[#Headers],0)),"-")*TUProp_Days_2</f>
        <v>10.82027397260274</v>
      </c>
      <c r="L381" s="67" cm="1">
        <f t="array" ref="L381">IFERROR(INDEX(Input_ForRateCalc[],MATCH($C381&amp;" - "&amp;L$336,Input_ForRateCalc[[Cost item]:[Cost item]],0),MATCH(Calc_TUV_Net_2[[#This Row],[Decision ref]:[Decision ref]],Input_ForRateCalc[#Headers],0)),"-")*TUProp_Days_2</f>
        <v>10.089863013698629</v>
      </c>
      <c r="M381" s="67" cm="1">
        <f t="array" ref="M381">IFERROR(INDEX(Input_ForRateCalc[],MATCH($C381&amp;" - "&amp;M$336,Input_ForRateCalc[[Cost item]:[Cost item]],0),MATCH(Calc_TUV_Net_2[[#This Row],[Decision ref]:[Decision ref]],Input_ForRateCalc[#Headers],0)),"-")*TUProp_Days_2</f>
        <v>9.2048767123287671</v>
      </c>
      <c r="N381" s="67" cm="1">
        <f t="array" ref="N381">IFERROR(INDEX(Input_ForRateCalc[],MATCH($C381&amp;" - "&amp;N$336,Input_ForRateCalc[[Cost item]:[Cost item]],0),MATCH(Calc_TUV_Net_2[[#This Row],[Decision ref]:[Decision ref]],Input_ForRateCalc[#Headers],0)),"-")*TUProp_Days_2</f>
        <v>9.8520547945205479</v>
      </c>
      <c r="O381" s="67" cm="1">
        <f t="array" ref="O381">IFERROR(INDEX(Input_ForRateCalc[],MATCH($C381&amp;" - "&amp;O$336,Input_ForRateCalc[[Cost item]:[Cost item]],0),MATCH(Calc_TUV_Net_2[[#This Row],[Decision ref]:[Decision ref]],Input_ForRateCalc[#Headers],0)),"-")*TUProp_Days_2</f>
        <v>7.2905205479452055</v>
      </c>
    </row>
    <row r="382" spans="3:15" outlineLevel="1" x14ac:dyDescent="0.25">
      <c r="C382" s="60" t="s">
        <v>327</v>
      </c>
      <c r="D382" s="83" t="str">
        <f>Calc_TU_values!$D$235</f>
        <v>VDO 2022 - Final</v>
      </c>
      <c r="E382" s="24" t="s">
        <v>524</v>
      </c>
      <c r="F382" s="83" t="str">
        <f>INDEX(Inputs!$H$10:$Q$10,1,MATCH($D382,Inputs!$H$8:$Q$8,0))</f>
        <v>F-NextVDO_Input</v>
      </c>
      <c r="G382" s="59"/>
      <c r="H382" s="24" t="s">
        <v>117</v>
      </c>
      <c r="I382" s="24" t="s">
        <v>118</v>
      </c>
      <c r="J382" s="60" t="s">
        <v>101</v>
      </c>
      <c r="K382" s="65">
        <f>IFERROR(SUM(K380:K381),"-")</f>
        <v>29.693753424657537</v>
      </c>
      <c r="L382" s="65">
        <f>IFERROR(SUM(L380:L381),"-")</f>
        <v>37.270663013698623</v>
      </c>
      <c r="M382" s="65">
        <f>IFERROR(SUM(M380:M381),"-")</f>
        <v>32.04567671232877</v>
      </c>
      <c r="N382" s="65">
        <f>IFERROR(SUM(N380:N381),"-")</f>
        <v>40.42425479452055</v>
      </c>
      <c r="O382" s="65">
        <f>IFERROR(SUM(O380:O381),"-")</f>
        <v>27.676120547945203</v>
      </c>
    </row>
    <row r="383" spans="3:15" outlineLevel="1" x14ac:dyDescent="0.25">
      <c r="C383" s="60" t="s">
        <v>480</v>
      </c>
      <c r="D383" s="83" t="str">
        <f>INDEX(Input_DecisionActual[[Decision]:[Decision]],MATCH(Calc_TU_values!$D$235,Input_DecisionActual[[VDO period]:[VDO period]],0),1)</f>
        <v>VDO 2021 - Final</v>
      </c>
      <c r="E383" s="24" t="s">
        <v>525</v>
      </c>
      <c r="F383" s="83" t="str">
        <f>IF($D383="-","-",INDEX(Inputs!$H$10:$Q$10,1,MATCH($D383,Inputs!$H$8:$Q$8,0)))</f>
        <v>F-CurrentVDO_Input</v>
      </c>
      <c r="G383" s="59"/>
      <c r="H383" s="24" t="s">
        <v>117</v>
      </c>
      <c r="I383" s="24" t="s">
        <v>118</v>
      </c>
      <c r="J383" s="60" t="s">
        <v>101</v>
      </c>
      <c r="K383" s="67" cm="1">
        <f t="array" ref="K383">IFERROR(INDEX(Input_ForRateCalc[],MATCH($C383&amp;" - "&amp;K$336,Input_ForRateCalc[[Cost item]:[Cost item]],0),MATCH(Calc_TUV_Net_2[[#This Row],[Decision ref]:[Decision ref]],Input_ForRateCalc[#Headers],0)),"-")*TUProp_Days_2</f>
        <v>18.005479452054793</v>
      </c>
      <c r="L383" s="67" cm="1">
        <f t="array" ref="L383">IFERROR(INDEX(Input_ForRateCalc[],MATCH($C383&amp;" - "&amp;L$336,Input_ForRateCalc[[Cost item]:[Cost item]],0),MATCH(Calc_TUV_Net_2[[#This Row],[Decision ref]:[Decision ref]],Input_ForRateCalc[#Headers],0)),"-")*TUProp_Days_2</f>
        <v>27.17808219178082</v>
      </c>
      <c r="M383" s="67" cm="1">
        <f t="array" ref="M383">IFERROR(INDEX(Input_ForRateCalc[],MATCH($C383&amp;" - "&amp;M$336,Input_ForRateCalc[[Cost item]:[Cost item]],0),MATCH(Calc_TUV_Net_2[[#This Row],[Decision ref]:[Decision ref]],Input_ForRateCalc[#Headers],0)),"-")*TUProp_Days_2</f>
        <v>20.169704109589041</v>
      </c>
      <c r="N383" s="67" cm="1">
        <f t="array" ref="N383">IFERROR(INDEX(Input_ForRateCalc[],MATCH($C383&amp;" - "&amp;N$336,Input_ForRateCalc[[Cost item]:[Cost item]],0),MATCH(Calc_TUV_Net_2[[#This Row],[Decision ref]:[Decision ref]],Input_ForRateCalc[#Headers],0)),"-")*TUProp_Days_2</f>
        <v>30.575342465753423</v>
      </c>
      <c r="O383" s="67" cm="1">
        <f t="array" ref="O383">IFERROR(INDEX(Input_ForRateCalc[],MATCH($C383&amp;" - "&amp;O$336,Input_ForRateCalc[[Cost item]:[Cost item]],0),MATCH(Calc_TUV_Net_2[[#This Row],[Decision ref]:[Decision ref]],Input_ForRateCalc[#Headers],0)),"-")*TUProp_Days_2</f>
        <v>13.565599999999998</v>
      </c>
    </row>
    <row r="384" spans="3:15" outlineLevel="1" x14ac:dyDescent="0.25">
      <c r="C384" s="60" t="s">
        <v>284</v>
      </c>
      <c r="D384" s="83" t="str">
        <f>INDEX(Input_DecisionActual[[Decision]:[Decision]],MATCH(Calc_TU_values!$D$235,Input_DecisionActual[[VDO period]:[VDO period]],0),1)</f>
        <v>VDO 2021 - Final</v>
      </c>
      <c r="E384" s="24" t="s">
        <v>525</v>
      </c>
      <c r="F384" s="83" t="str">
        <f>IF($D384="-","-",INDEX(Inputs!$H$10:$Q$10,1,MATCH($D384,Inputs!$H$8:$Q$8,0)))</f>
        <v>F-CurrentVDO_Input</v>
      </c>
      <c r="G384" s="59"/>
      <c r="H384" s="24" t="s">
        <v>117</v>
      </c>
      <c r="I384" s="24" t="s">
        <v>118</v>
      </c>
      <c r="J384" s="60" t="s">
        <v>101</v>
      </c>
      <c r="K384" s="67" cm="1">
        <f t="array" ref="K384">IFERROR(INDEX(Input_ForRateCalc[],MATCH($C384&amp;" - "&amp;K$336,Input_ForRateCalc[[Cost item]:[Cost item]],0),MATCH(Calc_TUV_Net_2[[#This Row],[Decision ref]:[Decision ref]],Input_ForRateCalc[#Headers],0)),"-")*TUProp_Days_2</f>
        <v>10.123835616438356</v>
      </c>
      <c r="L384" s="67" cm="1">
        <f t="array" ref="L384">IFERROR(INDEX(Input_ForRateCalc[],MATCH($C384&amp;" - "&amp;L$336,Input_ForRateCalc[[Cost item]:[Cost item]],0),MATCH(Calc_TUV_Net_2[[#This Row],[Decision ref]:[Decision ref]],Input_ForRateCalc[#Headers],0)),"-")*TUProp_Days_2</f>
        <v>11.176986301369862</v>
      </c>
      <c r="M384" s="67" cm="1">
        <f t="array" ref="M384">IFERROR(INDEX(Input_ForRateCalc[],MATCH($C384&amp;" - "&amp;M$336,Input_ForRateCalc[[Cost item]:[Cost item]],0),MATCH(Calc_TUV_Net_2[[#This Row],[Decision ref]:[Decision ref]],Input_ForRateCalc[#Headers],0)),"-")*TUProp_Days_2</f>
        <v>11.258520547945205</v>
      </c>
      <c r="N384" s="67" cm="1">
        <f t="array" ref="N384">IFERROR(INDEX(Input_ForRateCalc[],MATCH($C384&amp;" - "&amp;N$336,Input_ForRateCalc[[Cost item]:[Cost item]],0),MATCH(Calc_TUV_Net_2[[#This Row],[Decision ref]:[Decision ref]],Input_ForRateCalc[#Headers],0)),"-")*TUProp_Days_2</f>
        <v>11.126027397260273</v>
      </c>
      <c r="O384" s="67" cm="1">
        <f t="array" ref="O384">IFERROR(INDEX(Input_ForRateCalc[],MATCH($C384&amp;" - "&amp;O$336,Input_ForRateCalc[[Cost item]:[Cost item]],0),MATCH(Calc_TUV_Net_2[[#This Row],[Decision ref]:[Decision ref]],Input_ForRateCalc[#Headers],0)),"-")*TUProp_Days_2</f>
        <v>8.2927123287671236</v>
      </c>
    </row>
    <row r="385" spans="3:15" outlineLevel="1" x14ac:dyDescent="0.25">
      <c r="C385" s="60" t="s">
        <v>327</v>
      </c>
      <c r="D385" s="83" t="str">
        <f>INDEX(Input_DecisionActual[[Decision]:[Decision]],MATCH(Calc_TU_values!$D$235,Input_DecisionActual[[VDO period]:[VDO period]],0),1)</f>
        <v>VDO 2021 - Final</v>
      </c>
      <c r="E385" s="24" t="s">
        <v>525</v>
      </c>
      <c r="F385" s="83" t="str">
        <f>IF($D385="-","-",INDEX(Inputs!$H$10:$Q$10,1,MATCH($D385,Inputs!$H$8:$Q$8,0)))</f>
        <v>F-CurrentVDO_Input</v>
      </c>
      <c r="G385" s="59"/>
      <c r="H385" s="24" t="s">
        <v>117</v>
      </c>
      <c r="I385" s="24" t="s">
        <v>118</v>
      </c>
      <c r="J385" s="60" t="s">
        <v>101</v>
      </c>
      <c r="K385" s="66">
        <f>SUM(K383:K384)</f>
        <v>28.129315068493149</v>
      </c>
      <c r="L385" s="66">
        <f>SUM(L383:L384)</f>
        <v>38.355068493150682</v>
      </c>
      <c r="M385" s="66">
        <f>SUM(M383:M384)</f>
        <v>31.428224657534244</v>
      </c>
      <c r="N385" s="66">
        <f>SUM(N383:N384)</f>
        <v>41.701369863013696</v>
      </c>
      <c r="O385" s="66">
        <f>SUM(O383:O384)</f>
        <v>21.85831232876712</v>
      </c>
    </row>
    <row r="386" spans="3:15" outlineLevel="1" x14ac:dyDescent="0.25">
      <c r="C386" s="60" t="s">
        <v>328</v>
      </c>
      <c r="D386" s="24"/>
      <c r="E386" s="24"/>
      <c r="F386" s="24"/>
      <c r="G386" s="60"/>
      <c r="H386" s="24" t="s">
        <v>117</v>
      </c>
      <c r="I386" s="24" t="s">
        <v>118</v>
      </c>
      <c r="J386" s="60" t="s">
        <v>101</v>
      </c>
      <c r="K386" s="66">
        <f>IF(K385=0,"-",K382-K385)</f>
        <v>1.5644383561643878</v>
      </c>
      <c r="L386" s="66">
        <f t="shared" ref="L386:O386" si="118">IF(L385=0,"-",L382-L385)</f>
        <v>-1.0844054794520588</v>
      </c>
      <c r="M386" s="66">
        <f t="shared" si="118"/>
        <v>0.61745205479452636</v>
      </c>
      <c r="N386" s="66">
        <f t="shared" si="118"/>
        <v>-1.2771150684931456</v>
      </c>
      <c r="O386" s="66">
        <f t="shared" si="118"/>
        <v>5.8178082191780831</v>
      </c>
    </row>
    <row r="387" spans="3:15" hidden="1" outlineLevel="1" x14ac:dyDescent="0.25">
      <c r="C387" s="60" t="s">
        <v>435</v>
      </c>
      <c r="D387" s="24"/>
      <c r="E387" s="24"/>
      <c r="F387" s="24"/>
      <c r="G387" s="60"/>
      <c r="H387" s="24" t="s">
        <v>117</v>
      </c>
      <c r="I387" s="24" t="s">
        <v>118</v>
      </c>
      <c r="J387" s="60" t="s">
        <v>101</v>
      </c>
      <c r="K387" s="67" t="str">
        <f>IFERROR(IF($D$313="Yes",K386*(1+WACC_adj_2),""),"-")</f>
        <v/>
      </c>
      <c r="L387" s="67" t="str">
        <f>IFERROR(IF($D$313="Yes",L386*(1+WACC_adj_2),""),"-")</f>
        <v/>
      </c>
      <c r="M387" s="67" t="str">
        <f>IFERROR(IF($D$313="Yes",M386*(1+WACC_adj_2),""),"-")</f>
        <v/>
      </c>
      <c r="N387" s="67" t="str">
        <f>IFERROR(IF($D$313="Yes",N386*(1+WACC_adj_2),""),"-")</f>
        <v/>
      </c>
      <c r="O387" s="67" t="str">
        <f>IFERROR(IF($D$313="Yes",O386*(1+WACC_adj_2),""),"-")</f>
        <v/>
      </c>
    </row>
    <row r="388" spans="3:15" outlineLevel="1" x14ac:dyDescent="0.25">
      <c r="C388" s="60" t="s">
        <v>330</v>
      </c>
      <c r="D388" s="83" t="str">
        <f>INDEX(Input_DecisionActual[[Decision]:[Decision]],MATCH(Calc_TU_values!$D$235,Input_DecisionActual[[VDO period]:[VDO period]],0),1)</f>
        <v>VDO 2021 - Final</v>
      </c>
      <c r="E388" s="24" t="s">
        <v>525</v>
      </c>
      <c r="F388" s="83" t="str">
        <f>IF($D388="-","-",INDEX(Inputs!$H$10:$Q$10,1,MATCH($D388,Inputs!$H$8:$Q$8,0)))</f>
        <v>F-CurrentVDO_Input</v>
      </c>
      <c r="G388" s="60"/>
      <c r="H388" s="24" t="s">
        <v>117</v>
      </c>
      <c r="I388" s="24" t="s">
        <v>118</v>
      </c>
      <c r="J388" s="60" t="s">
        <v>101</v>
      </c>
      <c r="K388" s="67" cm="1">
        <f t="array" ref="K388">IFERROR(SUM(K386:K387)*(INDEX(Inputs!$H$11:$Q$127,MATCH("Retail operating margin",Input_ForRateCalc[[Cost item]:[Cost item]],0),MATCH(Calc_TUV_Net_2[[#This Row],[Decision ref]:[Decision ref]],Inputs!$H$10:$Q$10,0))),"-")</f>
        <v>9.4492076712329023E-2</v>
      </c>
      <c r="L388" s="67" cm="1">
        <f t="array" ref="L388">IFERROR(SUM(L386:L387)*(INDEX(Inputs!$H$11:$Q$127,MATCH("Retail operating margin",Input_ForRateCalc[[Cost item]:[Cost item]],0),MATCH(Calc_TUV_Net_2[[#This Row],[Decision ref]:[Decision ref]],Inputs!$H$10:$Q$10,0))),"-")</f>
        <v>-6.5498090958904354E-2</v>
      </c>
      <c r="M388" s="67" cm="1">
        <f t="array" ref="M388">IFERROR(SUM(M386:M387)*(INDEX(Inputs!$H$11:$Q$127,MATCH("Retail operating margin",Input_ForRateCalc[[Cost item]:[Cost item]],0),MATCH(Calc_TUV_Net_2[[#This Row],[Decision ref]:[Decision ref]],Inputs!$H$10:$Q$10,0))),"-")</f>
        <v>3.7294104109589395E-2</v>
      </c>
      <c r="N388" s="67" cm="1">
        <f t="array" ref="N388">IFERROR(SUM(N386:N387)*(INDEX(Inputs!$H$11:$Q$127,MATCH("Retail operating margin",Input_ForRateCalc[[Cost item]:[Cost item]],0),MATCH(Calc_TUV_Net_2[[#This Row],[Decision ref]:[Decision ref]],Inputs!$H$10:$Q$10,0))),"-")</f>
        <v>-7.7137750136985997E-2</v>
      </c>
      <c r="O388" s="67" cm="1">
        <f t="array" ref="O388">IFERROR(SUM(O386:O387)*(INDEX(Inputs!$H$11:$Q$127,MATCH("Retail operating margin",Input_ForRateCalc[[Cost item]:[Cost item]],0),MATCH(Calc_TUV_Net_2[[#This Row],[Decision ref]:[Decision ref]],Inputs!$H$10:$Q$10,0))),"-")</f>
        <v>0.35139561643835621</v>
      </c>
    </row>
    <row r="389" spans="3:15" outlineLevel="1" x14ac:dyDescent="0.25">
      <c r="C389" s="60" t="s">
        <v>436</v>
      </c>
      <c r="D389" s="24"/>
      <c r="E389" s="24"/>
      <c r="F389" s="24"/>
      <c r="G389" s="60"/>
      <c r="H389" s="24" t="s">
        <v>117</v>
      </c>
      <c r="I389" s="24" t="s">
        <v>118</v>
      </c>
      <c r="J389" s="60" t="s">
        <v>101</v>
      </c>
      <c r="K389" s="67">
        <f>IF(K385=0,"-",SUM(K386:K388)*GST)</f>
        <v>0.16589304328767168</v>
      </c>
      <c r="L389" s="67">
        <f>IF(L385=0,"-",SUM(L386:L388)*GST)</f>
        <v>-0.11499035704109631</v>
      </c>
      <c r="M389" s="67">
        <f>IF(M385=0,"-",SUM(M386:M388)*GST)</f>
        <v>6.5474615890411578E-2</v>
      </c>
      <c r="N389" s="67">
        <f>IF(N385=0,"-",SUM(N386:N388)*GST)</f>
        <v>-0.13542528186301317</v>
      </c>
      <c r="O389" s="67">
        <f>IF(O385=0,"-",SUM(O386:O388)*GST)</f>
        <v>0.61692038356164403</v>
      </c>
    </row>
    <row r="390" spans="3:15" outlineLevel="1" x14ac:dyDescent="0.25">
      <c r="C390" s="24" t="s">
        <v>494</v>
      </c>
      <c r="D390" s="24"/>
      <c r="E390" s="24"/>
      <c r="F390" s="24"/>
      <c r="G390" s="60"/>
      <c r="H390" s="24" t="s">
        <v>117</v>
      </c>
      <c r="I390" s="24" t="s">
        <v>118</v>
      </c>
      <c r="J390" s="60" t="s">
        <v>101</v>
      </c>
      <c r="K390" s="67">
        <f>IF(K385=0,"-",SUM(K386:K389))</f>
        <v>1.8248234761643884</v>
      </c>
      <c r="L390" s="67">
        <f>IF(L385=0,"-",SUM(L386:L389))</f>
        <v>-1.2648939274520594</v>
      </c>
      <c r="M390" s="67">
        <f>IF(M385=0,"-",SUM(M386:M389))</f>
        <v>0.7202207747945274</v>
      </c>
      <c r="N390" s="67">
        <f>IF(N385=0,"-",SUM(N386:N389))</f>
        <v>-1.489678100493145</v>
      </c>
      <c r="O390" s="67">
        <f>IF(O385=0,"-",SUM(O386:O389))</f>
        <v>6.7861242191780837</v>
      </c>
    </row>
    <row r="391" spans="3:15" outlineLevel="1" x14ac:dyDescent="0.25">
      <c r="C391" s="60"/>
      <c r="D391" s="60"/>
      <c r="E391" s="60"/>
      <c r="F391" s="60"/>
      <c r="H391" s="60"/>
      <c r="I391" s="24"/>
      <c r="J391" s="24"/>
      <c r="K391" s="132"/>
      <c r="L391" s="132"/>
      <c r="M391" s="132"/>
      <c r="N391" s="132"/>
      <c r="O391" s="132"/>
    </row>
    <row r="392" spans="3:15" outlineLevel="1" x14ac:dyDescent="0.25">
      <c r="C392" s="58" t="s">
        <v>501</v>
      </c>
      <c r="D392" s="60"/>
      <c r="E392" s="60"/>
      <c r="F392" s="60"/>
      <c r="G392" s="69"/>
      <c r="H392" s="60"/>
      <c r="I392" s="24"/>
      <c r="J392" s="60"/>
      <c r="K392" s="132"/>
      <c r="L392" s="132"/>
      <c r="M392" s="132"/>
      <c r="N392" s="132"/>
      <c r="O392" s="132"/>
    </row>
    <row r="393" spans="3:15" outlineLevel="1" x14ac:dyDescent="0.25">
      <c r="C393" s="60" t="s">
        <v>481</v>
      </c>
      <c r="D393" s="83" t="str">
        <f>Calc_TU_values!$D$235</f>
        <v>VDO 2022 - Final</v>
      </c>
      <c r="E393" s="24" t="s">
        <v>524</v>
      </c>
      <c r="F393" s="83" t="str">
        <f>INDEX(Inputs!$H$10:$Q$10,1,MATCH($D393,Inputs!$H$8:$Q$8,0))</f>
        <v>F-NextVDO_Input</v>
      </c>
      <c r="G393" s="60"/>
      <c r="H393" s="24" t="s">
        <v>139</v>
      </c>
      <c r="I393" s="24" t="s">
        <v>174</v>
      </c>
      <c r="J393" s="60" t="s">
        <v>101</v>
      </c>
      <c r="K393" s="67" cm="1">
        <f t="array" ref="K393">IFERROR(INDEX(Input_ForRateCalc[],MATCH($C393&amp;" - "&amp;K$336,Input_ForRateCalc[[Cost item]:[Cost item]],0),MATCH(Calc_TUV_Net_2[[#This Row],[Decision ref]:[Decision ref]],Input_ForRateCalc[#Headers],0)),"-")</f>
        <v>15.538600000000001</v>
      </c>
      <c r="L393" s="67" t="str" cm="1">
        <f t="array" ref="L393">IFERROR(INDEX(Input_ForRateCalc[],MATCH($C393&amp;" - "&amp;L$336,Input_ForRateCalc[[Cost item]:[Cost item]],0),MATCH(Calc_TUV_Net_2[[#This Row],[Decision ref]:[Decision ref]],Input_ForRateCalc[#Headers],0)),"-")</f>
        <v>-</v>
      </c>
      <c r="M393" s="67" t="str" cm="1">
        <f t="array" ref="M393">IFERROR(INDEX(Input_ForRateCalc[],MATCH($C393&amp;" - "&amp;M$336,Input_ForRateCalc[[Cost item]:[Cost item]],0),MATCH(Calc_TUV_Net_2[[#This Row],[Decision ref]:[Decision ref]],Input_ForRateCalc[#Headers],0)),"-")</f>
        <v>-</v>
      </c>
      <c r="N393" s="67" t="str" cm="1">
        <f t="array" ref="N393">IFERROR(INDEX(Input_ForRateCalc[],MATCH($C393&amp;" - "&amp;N$336,Input_ForRateCalc[[Cost item]:[Cost item]],0),MATCH(Calc_TUV_Net_2[[#This Row],[Decision ref]:[Decision ref]],Input_ForRateCalc[#Headers],0)),"-")</f>
        <v>-</v>
      </c>
      <c r="O393" s="67" t="str" cm="1">
        <f t="array" ref="O393">IFERROR(INDEX(Input_ForRateCalc[],MATCH($C393&amp;" - "&amp;O$336,Input_ForRateCalc[[Cost item]:[Cost item]],0),MATCH(Calc_TUV_Net_2[[#This Row],[Decision ref]:[Decision ref]],Input_ForRateCalc[#Headers],0)),"-")</f>
        <v>-</v>
      </c>
    </row>
    <row r="394" spans="3:15" outlineLevel="1" x14ac:dyDescent="0.25">
      <c r="C394" s="60" t="s">
        <v>482</v>
      </c>
      <c r="D394" s="83" t="str">
        <f>Calc_TU_values!$D$235</f>
        <v>VDO 2022 - Final</v>
      </c>
      <c r="E394" s="24" t="s">
        <v>524</v>
      </c>
      <c r="F394" s="83" t="str">
        <f>INDEX(Inputs!$H$10:$Q$10,1,MATCH($D394,Inputs!$H$8:$Q$8,0))</f>
        <v>F-NextVDO_Input</v>
      </c>
      <c r="G394" s="69"/>
      <c r="H394" s="24" t="s">
        <v>139</v>
      </c>
      <c r="I394" s="24" t="s">
        <v>174</v>
      </c>
      <c r="J394" s="60" t="s">
        <v>101</v>
      </c>
      <c r="K394" s="67" cm="1">
        <f t="array" ref="K394">IFERROR(INDEX(Input_ForRateCalc[],MATCH($C394&amp;" - "&amp;K$336,Input_ForRateCalc[[Cost item]:[Cost item]],0),MATCH(Calc_TUV_Net_2[[#This Row],[Decision ref]:[Decision ref]],Input_ForRateCalc[#Headers],0)),"-")</f>
        <v>18.2667</v>
      </c>
      <c r="L394" s="67" t="str" cm="1">
        <f t="array" ref="L394">IFERROR(INDEX(Input_ForRateCalc[],MATCH($C394&amp;" - "&amp;L$336,Input_ForRateCalc[[Cost item]:[Cost item]],0),MATCH(Calc_TUV_Net_2[[#This Row],[Decision ref]:[Decision ref]],Input_ForRateCalc[#Headers],0)),"-")</f>
        <v>-</v>
      </c>
      <c r="M394" s="67" t="str" cm="1">
        <f t="array" ref="M394">IFERROR(INDEX(Input_ForRateCalc[],MATCH($C394&amp;" - "&amp;M$336,Input_ForRateCalc[[Cost item]:[Cost item]],0),MATCH(Calc_TUV_Net_2[[#This Row],[Decision ref]:[Decision ref]],Input_ForRateCalc[#Headers],0)),"-")</f>
        <v>-</v>
      </c>
      <c r="N394" s="67" t="str" cm="1">
        <f t="array" ref="N394">IFERROR(INDEX(Input_ForRateCalc[],MATCH($C394&amp;" - "&amp;N$336,Input_ForRateCalc[[Cost item]:[Cost item]],0),MATCH(Calc_TUV_Net_2[[#This Row],[Decision ref]:[Decision ref]],Input_ForRateCalc[#Headers],0)),"-")</f>
        <v>-</v>
      </c>
      <c r="O394" s="67" t="str" cm="1">
        <f t="array" ref="O394">IFERROR(INDEX(Input_ForRateCalc[],MATCH($C394&amp;" - "&amp;O$336,Input_ForRateCalc[[Cost item]:[Cost item]],0),MATCH(Calc_TUV_Net_2[[#This Row],[Decision ref]:[Decision ref]],Input_ForRateCalc[#Headers],0)),"-")</f>
        <v>-</v>
      </c>
    </row>
    <row r="395" spans="3:15" outlineLevel="1" x14ac:dyDescent="0.25">
      <c r="C395" s="60" t="s">
        <v>483</v>
      </c>
      <c r="D395" s="83" t="str">
        <f>Calc_TU_values!$D$235</f>
        <v>VDO 2022 - Final</v>
      </c>
      <c r="E395" s="24" t="s">
        <v>524</v>
      </c>
      <c r="F395" s="83" t="str">
        <f>INDEX(Inputs!$H$10:$Q$10,1,MATCH($D395,Inputs!$H$8:$Q$8,0))</f>
        <v>F-NextVDO_Input</v>
      </c>
      <c r="G395" s="59"/>
      <c r="H395" s="24" t="s">
        <v>139</v>
      </c>
      <c r="I395" s="24" t="s">
        <v>174</v>
      </c>
      <c r="J395" s="60" t="s">
        <v>101</v>
      </c>
      <c r="K395" s="67" t="str" cm="1">
        <f t="array" ref="K395">IFERROR(INDEX(Input_ForRateCalc[],MATCH($C395&amp;" - "&amp;K$336,Input_ForRateCalc[[Cost item]:[Cost item]],0),MATCH(Calc_TUV_Net_2[[#This Row],[Decision ref]:[Decision ref]],Input_ForRateCalc[#Headers],0)),"-")</f>
        <v>-</v>
      </c>
      <c r="L395" s="67" cm="1">
        <f t="array" ref="L395">IFERROR(INDEX(Input_ForRateCalc[],MATCH($C395&amp;" - "&amp;L$336,Input_ForRateCalc[[Cost item]:[Cost item]],0),MATCH(Calc_TUV_Net_2[[#This Row],[Decision ref]:[Decision ref]],Input_ForRateCalc[#Headers],0)),"-")</f>
        <v>8.2100000000000009</v>
      </c>
      <c r="M395" s="67" cm="1">
        <f t="array" ref="M395">IFERROR(INDEX(Input_ForRateCalc[],MATCH($C395&amp;" - "&amp;M$336,Input_ForRateCalc[[Cost item]:[Cost item]],0),MATCH(Calc_TUV_Net_2[[#This Row],[Decision ref]:[Decision ref]],Input_ForRateCalc[#Headers],0)),"-")</f>
        <v>10.973000000000001</v>
      </c>
      <c r="N395" s="67" cm="1">
        <f t="array" ref="N395">IFERROR(INDEX(Input_ForRateCalc[],MATCH($C395&amp;" - "&amp;N$336,Input_ForRateCalc[[Cost item]:[Cost item]],0),MATCH(Calc_TUV_Net_2[[#This Row],[Decision ref]:[Decision ref]],Input_ForRateCalc[#Headers],0)),"-")</f>
        <v>9.2899999999999991</v>
      </c>
      <c r="O395" s="67" cm="1">
        <f t="array" ref="O395">IFERROR(INDEX(Input_ForRateCalc[],MATCH($C395&amp;" - "&amp;O$336,Input_ForRateCalc[[Cost item]:[Cost item]],0),MATCH(Calc_TUV_Net_2[[#This Row],[Decision ref]:[Decision ref]],Input_ForRateCalc[#Headers],0)),"-")</f>
        <v>8.7899999999999991</v>
      </c>
    </row>
    <row r="396" spans="3:15" outlineLevel="1" x14ac:dyDescent="0.25">
      <c r="C396" s="60" t="s">
        <v>327</v>
      </c>
      <c r="D396" s="83" t="str">
        <f>Calc_TU_values!$D$235</f>
        <v>VDO 2022 - Final</v>
      </c>
      <c r="E396" s="24" t="s">
        <v>524</v>
      </c>
      <c r="F396" s="83" t="str">
        <f>INDEX(Inputs!$H$10:$Q$10,1,MATCH($D396,Inputs!$H$8:$Q$8,0))</f>
        <v>F-NextVDO_Input</v>
      </c>
      <c r="G396" s="59"/>
      <c r="H396" s="24" t="s">
        <v>139</v>
      </c>
      <c r="I396" s="24" t="s">
        <v>118</v>
      </c>
      <c r="J396" s="60" t="s">
        <v>101</v>
      </c>
      <c r="K396" s="68">
        <f>SUM(
IFERROR(K393/100*SUMIFS(INDEX(TUNet_Usage_PerRate_2[],0,MATCH(K$336,TUNet_Usage_PerRate_2[#Headers],0)),TUNet_Usage_PerRate_2[Customer type],Calc_TUV_Net_2[[#This Row],[Customer type]],TUNet_Usage_PerRate_2[Description],"Usage per customer - Block 1"),0),
IFERROR(K394/100*SUMIFS(INDEX(TUNet_Usage_PerRate_2[],0,MATCH(K$336,TUNet_Usage_PerRate_2[#Headers],0)),TUNet_Usage_PerRate_2[Customer type],Calc_TUV_Net_2[[#This Row],[Customer type]],TUNet_Usage_PerRate_2[Description],"Usage per customer - Balance"),0),
IFERROR(K395/100*SUMIFS(INDEX(TUNet_Usage_PerRate_2[],0,MATCH(K$336,TUNet_Usage_PerRate_2[#Headers],0)),TUNet_Usage_PerRate_2[Customer type],Calc_TUV_Net_2[[#This Row],[Customer type]],TUNet_Usage_PerRate_2[Description],"Usage per customer - Single rate"),0))</f>
        <v>217.48923601414643</v>
      </c>
      <c r="L396" s="68">
        <f>SUM(
IFERROR(L393/100*SUMIFS(INDEX(TUNet_Usage_PerRate_2[],0,MATCH(L$336,TUNet_Usage_PerRate_2[#Headers],0)),TUNet_Usage_PerRate_2[Customer type],Calc_TUV_Net_2[[#This Row],[Customer type]],TUNet_Usage_PerRate_2[Description],"Usage per customer - Block 1"),0),
IFERROR(L394/100*SUMIFS(INDEX(TUNet_Usage_PerRate_2[],0,MATCH(L$336,TUNet_Usage_PerRate_2[#Headers],0)),TUNet_Usage_PerRate_2[Customer type],Calc_TUV_Net_2[[#This Row],[Customer type]],TUNet_Usage_PerRate_2[Description],"Usage per customer - Balance"),0),
IFERROR(L395/100*SUMIFS(INDEX(TUNet_Usage_PerRate_2[],0,MATCH(L$336,TUNet_Usage_PerRate_2[#Headers],0)),TUNet_Usage_PerRate_2[Customer type],Calc_TUV_Net_2[[#This Row],[Customer type]],TUNet_Usage_PerRate_2[Description],"Usage per customer - Single rate"),0))</f>
        <v>110.25763700483078</v>
      </c>
      <c r="M396" s="68">
        <f>SUM(
IFERROR(M393/100*SUMIFS(INDEX(TUNet_Usage_PerRate_2[],0,MATCH(M$336,TUNet_Usage_PerRate_2[#Headers],0)),TUNet_Usage_PerRate_2[Customer type],Calc_TUV_Net_2[[#This Row],[Customer type]],TUNet_Usage_PerRate_2[Description],"Usage per customer - Block 1"),0),
IFERROR(M394/100*SUMIFS(INDEX(TUNet_Usage_PerRate_2[],0,MATCH(M$336,TUNet_Usage_PerRate_2[#Headers],0)),TUNet_Usage_PerRate_2[Customer type],Calc_TUV_Net_2[[#This Row],[Customer type]],TUNet_Usage_PerRate_2[Description],"Usage per customer - Balance"),0),
IFERROR(M395/100*SUMIFS(INDEX(TUNet_Usage_PerRate_2[],0,MATCH(M$336,TUNet_Usage_PerRate_2[#Headers],0)),TUNet_Usage_PerRate_2[Customer type],Calc_TUV_Net_2[[#This Row],[Customer type]],TUNet_Usage_PerRate_2[Description],"Usage per customer - Single rate"),0))</f>
        <v>147.36383079829577</v>
      </c>
      <c r="N396" s="68">
        <f>SUM(
IFERROR(N393/100*SUMIFS(INDEX(TUNet_Usage_PerRate_2[],0,MATCH(N$336,TUNet_Usage_PerRate_2[#Headers],0)),TUNet_Usage_PerRate_2[Customer type],Calc_TUV_Net_2[[#This Row],[Customer type]],TUNet_Usage_PerRate_2[Description],"Usage per customer - Block 1"),0),
IFERROR(N394/100*SUMIFS(INDEX(TUNet_Usage_PerRate_2[],0,MATCH(N$336,TUNet_Usage_PerRate_2[#Headers],0)),TUNet_Usage_PerRate_2[Customer type],Calc_TUV_Net_2[[#This Row],[Customer type]],TUNet_Usage_PerRate_2[Description],"Usage per customer - Balance"),0),
IFERROR(N395/100*SUMIFS(INDEX(TUNet_Usage_PerRate_2[],0,MATCH(N$336,TUNet_Usage_PerRate_2[#Headers],0)),TUNet_Usage_PerRate_2[Customer type],Calc_TUV_Net_2[[#This Row],[Customer type]],TUNet_Usage_PerRate_2[Description],"Usage per customer - Single rate"),0))</f>
        <v>124.76168669608744</v>
      </c>
      <c r="O396" s="68">
        <f>SUM(
IFERROR(O393/100*SUMIFS(INDEX(TUNet_Usage_PerRate_2[],0,MATCH(O$336,TUNet_Usage_PerRate_2[#Headers],0)),TUNet_Usage_PerRate_2[Customer type],Calc_TUV_Net_2[[#This Row],[Customer type]],TUNet_Usage_PerRate_2[Description],"Usage per customer - Block 1"),0),
IFERROR(O394/100*SUMIFS(INDEX(TUNet_Usage_PerRate_2[],0,MATCH(O$336,TUNet_Usage_PerRate_2[#Headers],0)),TUNet_Usage_PerRate_2[Customer type],Calc_TUV_Net_2[[#This Row],[Customer type]],TUNet_Usage_PerRate_2[Description],"Usage per customer - Balance"),0),
IFERROR(O395/100*SUMIFS(INDEX(TUNet_Usage_PerRate_2[],0,MATCH(O$336,TUNet_Usage_PerRate_2[#Headers],0)),TUNet_Usage_PerRate_2[Customer type],Calc_TUV_Net_2[[#This Row],[Customer type]],TUNet_Usage_PerRate_2[Description],"Usage per customer - Single rate"),0))</f>
        <v>118.04684887606119</v>
      </c>
    </row>
    <row r="397" spans="3:15" outlineLevel="1" x14ac:dyDescent="0.25">
      <c r="C397" s="60" t="s">
        <v>481</v>
      </c>
      <c r="D397" s="83" t="str">
        <f>INDEX(Input_DecisionActual[[Decision]:[Decision]],MATCH(Calc_TU_values!$D$235,Input_DecisionActual[[VDO period]:[VDO period]],0),1)</f>
        <v>VDO 2021 - Final</v>
      </c>
      <c r="E397" s="24" t="s">
        <v>525</v>
      </c>
      <c r="F397" s="83" t="str">
        <f>IF($D397="-","-",INDEX(Inputs!$H$10:$Q$10,1,MATCH($D397,Inputs!$H$8:$Q$8,0)))</f>
        <v>F-CurrentVDO_Input</v>
      </c>
      <c r="G397" s="59"/>
      <c r="H397" s="24" t="s">
        <v>139</v>
      </c>
      <c r="I397" s="24" t="s">
        <v>174</v>
      </c>
      <c r="J397" s="60" t="s">
        <v>101</v>
      </c>
      <c r="K397" s="67" cm="1">
        <f t="array" ref="K397">IFERROR(INDEX(Input_ForRateCalc[],MATCH($C397&amp;" - "&amp;K$336,Input_ForRateCalc[[Cost item]:[Cost item]],0),MATCH(Calc_TUV_Net_2[[#This Row],[Decision ref]:[Decision ref]],Input_ForRateCalc[#Headers],0)),"-")</f>
        <v>13.9602</v>
      </c>
      <c r="L397" s="67" t="str" cm="1">
        <f t="array" ref="L397">IFERROR(INDEX(Input_ForRateCalc[],MATCH($C397&amp;" - "&amp;L$336,Input_ForRateCalc[[Cost item]:[Cost item]],0),MATCH(Calc_TUV_Net_2[[#This Row],[Decision ref]:[Decision ref]],Input_ForRateCalc[#Headers],0)),"-")</f>
        <v>-</v>
      </c>
      <c r="M397" s="67" t="str" cm="1">
        <f t="array" ref="M397">IFERROR(INDEX(Input_ForRateCalc[],MATCH($C397&amp;" - "&amp;M$336,Input_ForRateCalc[[Cost item]:[Cost item]],0),MATCH(Calc_TUV_Net_2[[#This Row],[Decision ref]:[Decision ref]],Input_ForRateCalc[#Headers],0)),"-")</f>
        <v>-</v>
      </c>
      <c r="N397" s="67" t="str" cm="1">
        <f t="array" ref="N397">IFERROR(INDEX(Input_ForRateCalc[],MATCH($C397&amp;" - "&amp;N$336,Input_ForRateCalc[[Cost item]:[Cost item]],0),MATCH(Calc_TUV_Net_2[[#This Row],[Decision ref]:[Decision ref]],Input_ForRateCalc[#Headers],0)),"-")</f>
        <v>-</v>
      </c>
      <c r="O397" s="67" t="str" cm="1">
        <f t="array" ref="O397">IFERROR(INDEX(Input_ForRateCalc[],MATCH($C397&amp;" - "&amp;O$336,Input_ForRateCalc[[Cost item]:[Cost item]],0),MATCH(Calc_TUV_Net_2[[#This Row],[Decision ref]:[Decision ref]],Input_ForRateCalc[#Headers],0)),"-")</f>
        <v>-</v>
      </c>
    </row>
    <row r="398" spans="3:15" outlineLevel="1" x14ac:dyDescent="0.25">
      <c r="C398" s="60" t="s">
        <v>482</v>
      </c>
      <c r="D398" s="83" t="str">
        <f>INDEX(Input_DecisionActual[[Decision]:[Decision]],MATCH(Calc_TU_values!$D$235,Input_DecisionActual[[VDO period]:[VDO period]],0),1)</f>
        <v>VDO 2021 - Final</v>
      </c>
      <c r="E398" s="24" t="s">
        <v>525</v>
      </c>
      <c r="F398" s="83" t="str">
        <f>IF($D398="-","-",INDEX(Inputs!$H$10:$Q$10,1,MATCH($D398,Inputs!$H$8:$Q$8,0)))</f>
        <v>F-CurrentVDO_Input</v>
      </c>
      <c r="G398" s="59"/>
      <c r="H398" s="24" t="s">
        <v>139</v>
      </c>
      <c r="I398" s="24" t="s">
        <v>174</v>
      </c>
      <c r="J398" s="60" t="s">
        <v>101</v>
      </c>
      <c r="K398" s="67" cm="1">
        <f t="array" ref="K398">IFERROR(INDEX(Input_ForRateCalc[],MATCH($C398&amp;" - "&amp;K$336,Input_ForRateCalc[[Cost item]:[Cost item]],0),MATCH(Calc_TUV_Net_2[[#This Row],[Decision ref]:[Decision ref]],Input_ForRateCalc[#Headers],0)),"-")</f>
        <v>16.934899999999999</v>
      </c>
      <c r="L398" s="67" t="str" cm="1">
        <f t="array" ref="L398">IFERROR(INDEX(Input_ForRateCalc[],MATCH($C398&amp;" - "&amp;L$336,Input_ForRateCalc[[Cost item]:[Cost item]],0),MATCH(Calc_TUV_Net_2[[#This Row],[Decision ref]:[Decision ref]],Input_ForRateCalc[#Headers],0)),"-")</f>
        <v>-</v>
      </c>
      <c r="M398" s="67" t="str" cm="1">
        <f t="array" ref="M398">IFERROR(INDEX(Input_ForRateCalc[],MATCH($C398&amp;" - "&amp;M$336,Input_ForRateCalc[[Cost item]:[Cost item]],0),MATCH(Calc_TUV_Net_2[[#This Row],[Decision ref]:[Decision ref]],Input_ForRateCalc[#Headers],0)),"-")</f>
        <v>-</v>
      </c>
      <c r="N398" s="67" t="str" cm="1">
        <f t="array" ref="N398">IFERROR(INDEX(Input_ForRateCalc[],MATCH($C398&amp;" - "&amp;N$336,Input_ForRateCalc[[Cost item]:[Cost item]],0),MATCH(Calc_TUV_Net_2[[#This Row],[Decision ref]:[Decision ref]],Input_ForRateCalc[#Headers],0)),"-")</f>
        <v>-</v>
      </c>
      <c r="O398" s="67" t="str" cm="1">
        <f t="array" ref="O398">IFERROR(INDEX(Input_ForRateCalc[],MATCH($C398&amp;" - "&amp;O$336,Input_ForRateCalc[[Cost item]:[Cost item]],0),MATCH(Calc_TUV_Net_2[[#This Row],[Decision ref]:[Decision ref]],Input_ForRateCalc[#Headers],0)),"-")</f>
        <v>-</v>
      </c>
    </row>
    <row r="399" spans="3:15" outlineLevel="1" x14ac:dyDescent="0.25">
      <c r="C399" s="60" t="s">
        <v>483</v>
      </c>
      <c r="D399" s="83" t="str">
        <f>INDEX(Input_DecisionActual[[Decision]:[Decision]],MATCH(Calc_TU_values!$D$235,Input_DecisionActual[[VDO period]:[VDO period]],0),1)</f>
        <v>VDO 2021 - Final</v>
      </c>
      <c r="E399" s="24" t="s">
        <v>525</v>
      </c>
      <c r="F399" s="83" t="str">
        <f>IF($D399="-","-",INDEX(Inputs!$H$10:$Q$10,1,MATCH($D399,Inputs!$H$8:$Q$8,0)))</f>
        <v>F-CurrentVDO_Input</v>
      </c>
      <c r="G399" s="59"/>
      <c r="H399" s="24" t="s">
        <v>139</v>
      </c>
      <c r="I399" s="24" t="s">
        <v>174</v>
      </c>
      <c r="J399" s="60" t="s">
        <v>101</v>
      </c>
      <c r="K399" s="67" t="str" cm="1">
        <f t="array" ref="K399">IFERROR(INDEX(Input_ForRateCalc[],MATCH($C399&amp;" - "&amp;K$336,Input_ForRateCalc[[Cost item]:[Cost item]],0),MATCH(Calc_TUV_Net_2[[#This Row],[Decision ref]:[Decision ref]],Input_ForRateCalc[#Headers],0)),"-")</f>
        <v>-</v>
      </c>
      <c r="L399" s="67" cm="1">
        <f t="array" ref="L399">IFERROR(INDEX(Input_ForRateCalc[],MATCH($C399&amp;" - "&amp;L$336,Input_ForRateCalc[[Cost item]:[Cost item]],0),MATCH(Calc_TUV_Net_2[[#This Row],[Decision ref]:[Decision ref]],Input_ForRateCalc[#Headers],0)),"-")</f>
        <v>7.54</v>
      </c>
      <c r="M399" s="67" cm="1">
        <f t="array" ref="M399">IFERROR(INDEX(Input_ForRateCalc[],MATCH($C399&amp;" - "&amp;M$336,Input_ForRateCalc[[Cost item]:[Cost item]],0),MATCH(Calc_TUV_Net_2[[#This Row],[Decision ref]:[Decision ref]],Input_ForRateCalc[#Headers],0)),"-")</f>
        <v>9.3260000000000005</v>
      </c>
      <c r="N399" s="67" cm="1">
        <f t="array" ref="N399">IFERROR(INDEX(Input_ForRateCalc[],MATCH($C399&amp;" - "&amp;N$336,Input_ForRateCalc[[Cost item]:[Cost item]],0),MATCH(Calc_TUV_Net_2[[#This Row],[Decision ref]:[Decision ref]],Input_ForRateCalc[#Headers],0)),"-")</f>
        <v>8.44</v>
      </c>
      <c r="O399" s="67" cm="1">
        <f t="array" ref="O399">IFERROR(INDEX(Input_ForRateCalc[],MATCH($C399&amp;" - "&amp;O$336,Input_ForRateCalc[[Cost item]:[Cost item]],0),MATCH(Calc_TUV_Net_2[[#This Row],[Decision ref]:[Decision ref]],Input_ForRateCalc[#Headers],0)),"-")</f>
        <v>9.27</v>
      </c>
    </row>
    <row r="400" spans="3:15" outlineLevel="1" x14ac:dyDescent="0.25">
      <c r="C400" s="60" t="s">
        <v>327</v>
      </c>
      <c r="D400" s="83" t="str">
        <f>INDEX(Input_DecisionActual[[Decision]:[Decision]],MATCH(Calc_TU_values!$D$235,Input_DecisionActual[[VDO period]:[VDO period]],0),1)</f>
        <v>VDO 2021 - Final</v>
      </c>
      <c r="E400" s="24" t="s">
        <v>525</v>
      </c>
      <c r="F400" s="83" t="str">
        <f>IF($D400="-","-",INDEX(Inputs!$H$10:$Q$10,1,MATCH($D400,Inputs!$H$8:$Q$8,0)))</f>
        <v>F-CurrentVDO_Input</v>
      </c>
      <c r="G400" s="59"/>
      <c r="H400" s="24" t="s">
        <v>139</v>
      </c>
      <c r="I400" s="24" t="s">
        <v>118</v>
      </c>
      <c r="J400" s="60" t="s">
        <v>101</v>
      </c>
      <c r="K400" s="68">
        <f>SUM(
IFERROR(K397/100*SUMIFS(INDEX(TUNet_Usage_PerRate_2[],0,MATCH(K$336,TUNet_Usage_PerRate_2[#Headers],0)),TUNet_Usage_PerRate_2[Customer type],Calc_TUV_Net_2[[#This Row],[Customer type]],TUNet_Usage_PerRate_2[Description],"Usage per customer - Block 1"),0),
IFERROR(K398/100*SUMIFS(INDEX(TUNet_Usage_PerRate_2[],0,MATCH(K$336,TUNet_Usage_PerRate_2[#Headers],0)),TUNet_Usage_PerRate_2[Customer type],Calc_TUV_Net_2[[#This Row],[Customer type]],TUNet_Usage_PerRate_2[Description],"Usage per customer - Balance"),0),
IFERROR(K399/100*SUMIFS(INDEX(TUNet_Usage_PerRate_2[],0,MATCH(K$336,TUNet_Usage_PerRate_2[#Headers],0)),TUNet_Usage_PerRate_2[Customer type],Calc_TUV_Net_2[[#This Row],[Customer type]],TUNet_Usage_PerRate_2[Description],"Usage per customer - Single rate"),0))</f>
        <v>197.08827399672458</v>
      </c>
      <c r="L400" s="68">
        <f>SUM(
IFERROR(L397/100*SUMIFS(INDEX(TUNet_Usage_PerRate_2[],0,MATCH(L$336,TUNet_Usage_PerRate_2[#Headers],0)),TUNet_Usage_PerRate_2[Customer type],Calc_TUV_Net_2[[#This Row],[Customer type]],TUNet_Usage_PerRate_2[Description],"Usage per customer - Block 1"),0),
IFERROR(L398/100*SUMIFS(INDEX(TUNet_Usage_PerRate_2[],0,MATCH(L$336,TUNet_Usage_PerRate_2[#Headers],0)),TUNet_Usage_PerRate_2[Customer type],Calc_TUV_Net_2[[#This Row],[Customer type]],TUNet_Usage_PerRate_2[Description],"Usage per customer - Balance"),0),
IFERROR(L399/100*SUMIFS(INDEX(TUNet_Usage_PerRate_2[],0,MATCH(L$336,TUNet_Usage_PerRate_2[#Headers],0)),TUNet_Usage_PerRate_2[Customer type],Calc_TUV_Net_2[[#This Row],[Customer type]],TUNet_Usage_PerRate_2[Description],"Usage per customer - Single rate"),0))</f>
        <v>101.25975432599562</v>
      </c>
      <c r="M400" s="68">
        <f>SUM(
IFERROR(M397/100*SUMIFS(INDEX(TUNet_Usage_PerRate_2[],0,MATCH(M$336,TUNet_Usage_PerRate_2[#Headers],0)),TUNet_Usage_PerRate_2[Customer type],Calc_TUV_Net_2[[#This Row],[Customer type]],TUNet_Usage_PerRate_2[Description],"Usage per customer - Block 1"),0),
IFERROR(M398/100*SUMIFS(INDEX(TUNet_Usage_PerRate_2[],0,MATCH(M$336,TUNet_Usage_PerRate_2[#Headers],0)),TUNet_Usage_PerRate_2[Customer type],Calc_TUV_Net_2[[#This Row],[Customer type]],TUNet_Usage_PerRate_2[Description],"Usage per customer - Balance"),0),
IFERROR(M399/100*SUMIFS(INDEX(TUNet_Usage_PerRate_2[],0,MATCH(M$336,TUNet_Usage_PerRate_2[#Headers],0)),TUNet_Usage_PerRate_2[Customer type],Calc_TUV_Net_2[[#This Row],[Customer type]],TUNet_Usage_PerRate_2[Description],"Usage per customer - Single rate"),0))</f>
        <v>125.24515501912934</v>
      </c>
      <c r="N400" s="68">
        <f>SUM(
IFERROR(N397/100*SUMIFS(INDEX(TUNet_Usage_PerRate_2[],0,MATCH(N$336,TUNet_Usage_PerRate_2[#Headers],0)),TUNet_Usage_PerRate_2[Customer type],Calc_TUV_Net_2[[#This Row],[Customer type]],TUNet_Usage_PerRate_2[Description],"Usage per customer - Block 1"),0),
IFERROR(N398/100*SUMIFS(INDEX(TUNet_Usage_PerRate_2[],0,MATCH(N$336,TUNet_Usage_PerRate_2[#Headers],0)),TUNet_Usage_PerRate_2[Customer type],Calc_TUV_Net_2[[#This Row],[Customer type]],TUNet_Usage_PerRate_2[Description],"Usage per customer - Balance"),0),
IFERROR(N399/100*SUMIFS(INDEX(TUNet_Usage_PerRate_2[],0,MATCH(N$336,TUNet_Usage_PerRate_2[#Headers],0)),TUNet_Usage_PerRate_2[Customer type],Calc_TUV_Net_2[[#This Row],[Customer type]],TUNet_Usage_PerRate_2[Description],"Usage per customer - Single rate"),0))</f>
        <v>113.34646240204282</v>
      </c>
      <c r="O400" s="68">
        <f>SUM(
IFERROR(O397/100*SUMIFS(INDEX(TUNet_Usage_PerRate_2[],0,MATCH(O$336,TUNet_Usage_PerRate_2[#Headers],0)),TUNet_Usage_PerRate_2[Customer type],Calc_TUV_Net_2[[#This Row],[Customer type]],TUNet_Usage_PerRate_2[Description],"Usage per customer - Block 1"),0),
IFERROR(O398/100*SUMIFS(INDEX(TUNet_Usage_PerRate_2[],0,MATCH(O$336,TUNet_Usage_PerRate_2[#Headers],0)),TUNet_Usage_PerRate_2[Customer type],Calc_TUV_Net_2[[#This Row],[Customer type]],TUNet_Usage_PerRate_2[Description],"Usage per customer - Balance"),0),
IFERROR(O399/100*SUMIFS(INDEX(TUNet_Usage_PerRate_2[],0,MATCH(O$336,TUNet_Usage_PerRate_2[#Headers],0)),TUNet_Usage_PerRate_2[Customer type],Calc_TUV_Net_2[[#This Row],[Customer type]],TUNet_Usage_PerRate_2[Description],"Usage per customer - Single rate"),0))</f>
        <v>124.49309318328638</v>
      </c>
    </row>
    <row r="401" spans="3:15" outlineLevel="1" x14ac:dyDescent="0.25">
      <c r="C401" s="60" t="s">
        <v>328</v>
      </c>
      <c r="D401" s="24"/>
      <c r="E401" s="24"/>
      <c r="F401" s="24"/>
      <c r="G401" s="60"/>
      <c r="H401" s="24" t="s">
        <v>139</v>
      </c>
      <c r="I401" s="24" t="s">
        <v>118</v>
      </c>
      <c r="J401" s="60" t="s">
        <v>101</v>
      </c>
      <c r="K401" s="66">
        <f>IF(K400=0,"-",K396-K400)</f>
        <v>20.400962017421847</v>
      </c>
      <c r="L401" s="66">
        <f t="shared" ref="L401:O401" si="119">IF(L400=0,"-",L396-L400)</f>
        <v>8.9978826788351682</v>
      </c>
      <c r="M401" s="66">
        <f t="shared" si="119"/>
        <v>22.118675779166423</v>
      </c>
      <c r="N401" s="66">
        <f t="shared" si="119"/>
        <v>11.41522429404462</v>
      </c>
      <c r="O401" s="66">
        <f t="shared" si="119"/>
        <v>-6.4462443072251858</v>
      </c>
    </row>
    <row r="402" spans="3:15" hidden="1" outlineLevel="1" x14ac:dyDescent="0.25">
      <c r="C402" s="60" t="s">
        <v>435</v>
      </c>
      <c r="D402" s="24"/>
      <c r="E402" s="24"/>
      <c r="F402" s="24"/>
      <c r="G402" s="60"/>
      <c r="H402" s="24" t="s">
        <v>139</v>
      </c>
      <c r="I402" s="24" t="s">
        <v>118</v>
      </c>
      <c r="J402" s="60" t="s">
        <v>101</v>
      </c>
      <c r="K402" s="67" t="str">
        <f>IF($D$313="Yes",K401*(1+WACC_adj_2),"")</f>
        <v/>
      </c>
      <c r="L402" s="67" t="str">
        <f>IF($D$313="Yes",L401*(1+WACC_adj_2),"")</f>
        <v/>
      </c>
      <c r="M402" s="67" t="str">
        <f>IF($D$313="Yes",M401*(1+WACC_adj_2),"")</f>
        <v/>
      </c>
      <c r="N402" s="67" t="str">
        <f>IF($D$313="Yes",N401*(1+WACC_adj_2),"")</f>
        <v/>
      </c>
      <c r="O402" s="67" t="str">
        <f>IF($D$313="Yes",O401*(1+WACC_adj_2),"")</f>
        <v/>
      </c>
    </row>
    <row r="403" spans="3:15" outlineLevel="1" x14ac:dyDescent="0.25">
      <c r="C403" s="60" t="s">
        <v>330</v>
      </c>
      <c r="D403" s="83" t="str">
        <f>INDEX(Input_DecisionActual[[Decision]:[Decision]],MATCH(Calc_TU_values!$D$235,Input_DecisionActual[[VDO period]:[VDO period]],0),1)</f>
        <v>VDO 2021 - Final</v>
      </c>
      <c r="E403" s="24" t="s">
        <v>525</v>
      </c>
      <c r="F403" s="83" t="str">
        <f>IF($D403="-","-",INDEX(Inputs!$H$10:$Q$10,1,MATCH($D403,Inputs!$H$8:$Q$8,0)))</f>
        <v>F-CurrentVDO_Input</v>
      </c>
      <c r="G403" s="60"/>
      <c r="H403" s="24" t="s">
        <v>139</v>
      </c>
      <c r="I403" s="24" t="s">
        <v>118</v>
      </c>
      <c r="J403" s="60" t="s">
        <v>101</v>
      </c>
      <c r="K403" s="67" cm="1">
        <f t="array" ref="K403">IFERROR(SUM(K401:K402)*(INDEX(Inputs!$H$11:$Q$127,MATCH("Retail operating margin",Input_ForRateCalc[[Cost item]:[Cost item]],0),MATCH(Calc_TUV_Net_2[[#This Row],[Decision ref]:[Decision ref]],Inputs!$H$10:$Q$10,0))),"-")</f>
        <v>1.2322181058522796</v>
      </c>
      <c r="L403" s="67" cm="1">
        <f t="array" ref="L403">IFERROR(SUM(L401:L402)*(INDEX(Inputs!$H$11:$Q$127,MATCH("Retail operating margin",Input_ForRateCalc[[Cost item]:[Cost item]],0),MATCH(Calc_TUV_Net_2[[#This Row],[Decision ref]:[Decision ref]],Inputs!$H$10:$Q$10,0))),"-")</f>
        <v>0.54347211380164417</v>
      </c>
      <c r="M403" s="67" cm="1">
        <f t="array" ref="M403">IFERROR(SUM(M401:M402)*(INDEX(Inputs!$H$11:$Q$127,MATCH("Retail operating margin",Input_ForRateCalc[[Cost item]:[Cost item]],0),MATCH(Calc_TUV_Net_2[[#This Row],[Decision ref]:[Decision ref]],Inputs!$H$10:$Q$10,0))),"-")</f>
        <v>1.3359680170616521</v>
      </c>
      <c r="N403" s="67" cm="1">
        <f t="array" ref="N403">IFERROR(SUM(N401:N402)*(INDEX(Inputs!$H$11:$Q$127,MATCH("Retail operating margin",Input_ForRateCalc[[Cost item]:[Cost item]],0),MATCH(Calc_TUV_Net_2[[#This Row],[Decision ref]:[Decision ref]],Inputs!$H$10:$Q$10,0))),"-")</f>
        <v>0.68947954736029504</v>
      </c>
      <c r="O403" s="67" cm="1">
        <f t="array" ref="O403">IFERROR(SUM(O401:O402)*(INDEX(Inputs!$H$11:$Q$127,MATCH("Retail operating margin",Input_ForRateCalc[[Cost item]:[Cost item]],0),MATCH(Calc_TUV_Net_2[[#This Row],[Decision ref]:[Decision ref]],Inputs!$H$10:$Q$10,0))),"-")</f>
        <v>-0.38935315615640126</v>
      </c>
    </row>
    <row r="404" spans="3:15" outlineLevel="1" x14ac:dyDescent="0.25">
      <c r="C404" s="60" t="s">
        <v>436</v>
      </c>
      <c r="D404" s="24"/>
      <c r="E404" s="24"/>
      <c r="F404" s="24"/>
      <c r="G404" s="60"/>
      <c r="H404" s="24" t="s">
        <v>139</v>
      </c>
      <c r="I404" s="24" t="s">
        <v>118</v>
      </c>
      <c r="J404" s="60" t="s">
        <v>101</v>
      </c>
      <c r="K404" s="67">
        <f>IF(K400=0,"-",SUM(K401:K403)*GST)</f>
        <v>2.1633180123274127</v>
      </c>
      <c r="L404" s="67">
        <f>IF(L400=0,"-",SUM(L401:L403)*GST)</f>
        <v>0.95413547926368136</v>
      </c>
      <c r="M404" s="67">
        <f>IF(M400=0,"-",SUM(M401:M403)*GST)</f>
        <v>2.3454643796228076</v>
      </c>
      <c r="N404" s="67">
        <f>IF(N400=0,"-",SUM(N401:N403)*GST)</f>
        <v>1.2104703841404916</v>
      </c>
      <c r="O404" s="67">
        <f>IF(O400=0,"-",SUM(O401:O403)*GST)</f>
        <v>-0.68355974633815875</v>
      </c>
    </row>
    <row r="405" spans="3:15" outlineLevel="1" x14ac:dyDescent="0.25">
      <c r="C405" s="60" t="s">
        <v>495</v>
      </c>
      <c r="D405" s="118"/>
      <c r="E405" s="118"/>
      <c r="F405" s="118"/>
      <c r="H405" s="24" t="s">
        <v>139</v>
      </c>
      <c r="I405" s="24" t="s">
        <v>118</v>
      </c>
      <c r="J405" s="60" t="s">
        <v>101</v>
      </c>
      <c r="K405" s="67">
        <f>IF(K400=0,"-",SUM(K401:K404))</f>
        <v>23.796498135601539</v>
      </c>
      <c r="L405" s="67">
        <f t="shared" ref="L405" si="120">IF(L400=0,"-",SUM(L401:L404))</f>
        <v>10.495490271900495</v>
      </c>
      <c r="M405" s="67">
        <f t="shared" ref="M405" si="121">IF(M400=0,"-",SUM(M401:M404))</f>
        <v>25.800108175850884</v>
      </c>
      <c r="N405" s="67">
        <f t="shared" ref="N405" si="122">IF(N400=0,"-",SUM(N401:N404))</f>
        <v>13.315174225545405</v>
      </c>
      <c r="O405" s="67">
        <f t="shared" ref="O405" si="123">IF(O400=0,"-",SUM(O401:O404))</f>
        <v>-7.5191572097197463</v>
      </c>
    </row>
    <row r="406" spans="3:15" outlineLevel="1" x14ac:dyDescent="0.25">
      <c r="C406" s="58"/>
      <c r="D406" s="58"/>
      <c r="E406" s="58"/>
      <c r="F406" s="58"/>
      <c r="G406" s="69"/>
      <c r="H406" s="69"/>
      <c r="I406" s="24"/>
      <c r="J406" s="24"/>
      <c r="K406" s="66"/>
      <c r="L406" s="24"/>
      <c r="M406" s="24"/>
      <c r="N406" s="24"/>
      <c r="O406" s="24"/>
    </row>
    <row r="407" spans="3:15" outlineLevel="1" x14ac:dyDescent="0.25">
      <c r="C407" s="58"/>
      <c r="D407" s="58"/>
      <c r="E407" s="58"/>
      <c r="F407" s="58"/>
      <c r="G407" s="69"/>
      <c r="H407" s="69"/>
      <c r="I407" s="24"/>
      <c r="J407" s="24"/>
      <c r="K407" s="66"/>
      <c r="L407" s="24"/>
      <c r="M407" s="24"/>
      <c r="N407" s="24"/>
      <c r="O407" s="24"/>
    </row>
    <row r="408" spans="3:15" ht="15.75" outlineLevel="1" x14ac:dyDescent="0.25">
      <c r="C408" s="1" t="s">
        <v>486</v>
      </c>
      <c r="D408" s="60"/>
      <c r="E408" s="60"/>
      <c r="F408" s="60"/>
      <c r="G408" s="69" t="s">
        <v>570</v>
      </c>
      <c r="H408" s="60"/>
      <c r="I408" s="24"/>
      <c r="J408" s="24"/>
      <c r="K408" s="66"/>
      <c r="L408" s="24"/>
      <c r="M408" s="24"/>
      <c r="N408" s="24"/>
      <c r="O408" s="24"/>
    </row>
    <row r="409" spans="3:15" outlineLevel="1" x14ac:dyDescent="0.25">
      <c r="C409" s="58" t="s">
        <v>502</v>
      </c>
      <c r="D409" s="58"/>
      <c r="E409" s="58"/>
      <c r="F409" s="58"/>
      <c r="G409" s="69"/>
      <c r="H409" s="69"/>
      <c r="I409" s="24"/>
      <c r="J409" s="24"/>
      <c r="K409" s="66"/>
      <c r="L409" s="24"/>
      <c r="M409" s="24"/>
      <c r="N409" s="24"/>
      <c r="O409" s="24"/>
    </row>
    <row r="410" spans="3:15" outlineLevel="1" x14ac:dyDescent="0.25">
      <c r="C410" s="60" t="s">
        <v>488</v>
      </c>
      <c r="D410" s="83" t="str">
        <f>Calc_TU_values!$D$235</f>
        <v>VDO 2022 - Final</v>
      </c>
      <c r="E410" s="24" t="s">
        <v>524</v>
      </c>
      <c r="F410" s="83" t="str">
        <f>INDEX(Inputs!$H$10:$Q$10,1,MATCH($D410,Inputs!$H$8:$Q$8,0))</f>
        <v>F-NextVDO_Input</v>
      </c>
      <c r="G410" s="59"/>
      <c r="H410" s="24" t="s">
        <v>117</v>
      </c>
      <c r="I410" s="24" t="s">
        <v>118</v>
      </c>
      <c r="J410" s="60" t="s">
        <v>100</v>
      </c>
      <c r="K410" s="67" cm="1">
        <f t="array" ref="K410">IFERROR(INDEX(Input_ForRateCalc[],MATCH($C410&amp;" - "&amp;K$336,Input_ForRateCalc[[Cost item]:[Cost item]],0),MATCH(Calc_TUV_Net_2[[#This Row],[Decision ref]:[Decision ref]],Input_ForRateCalc[#Headers],0)),"-")*TUProp_Days_2</f>
        <v>18.873479452054795</v>
      </c>
      <c r="L410" s="67" cm="1">
        <f t="array" ref="L410">IFERROR(INDEX(Input_ForRateCalc[],MATCH($C410&amp;" - "&amp;L$336,Input_ForRateCalc[[Cost item]:[Cost item]],0),MATCH(Calc_TUV_Net_2[[#This Row],[Decision ref]:[Decision ref]],Input_ForRateCalc[#Headers],0)),"-")*TUProp_Days_2</f>
        <v>15.289199999999999</v>
      </c>
      <c r="M410" s="67" cm="1">
        <f t="array" ref="M410">IFERROR(INDEX(Input_ForRateCalc[],MATCH($C410&amp;" - "&amp;M$336,Input_ForRateCalc[[Cost item]:[Cost item]],0),MATCH(Calc_TUV_Net_2[[#This Row],[Decision ref]:[Decision ref]],Input_ForRateCalc[#Headers],0)),"-")*TUProp_Days_2</f>
        <v>13.962060273972602</v>
      </c>
      <c r="N410" s="67" cm="1">
        <f t="array" ref="N410">IFERROR(INDEX(Input_ForRateCalc[],MATCH($C410&amp;" - "&amp;N$336,Input_ForRateCalc[[Cost item]:[Cost item]],0),MATCH(Calc_TUV_Net_2[[#This Row],[Decision ref]:[Decision ref]],Input_ForRateCalc[#Headers],0)),"-")*TUProp_Days_2</f>
        <v>23.776999999999997</v>
      </c>
      <c r="O410" s="67" cm="1">
        <f t="array" ref="O410">IFERROR(INDEX(Input_ForRateCalc[],MATCH($C410&amp;" - "&amp;O$336,Input_ForRateCalc[[Cost item]:[Cost item]],0),MATCH(Calc_TUV_Net_2[[#This Row],[Decision ref]:[Decision ref]],Input_ForRateCalc[#Headers],0)),"-")*TUProp_Days_2</f>
        <v>13.590399999999999</v>
      </c>
    </row>
    <row r="411" spans="3:15" outlineLevel="1" x14ac:dyDescent="0.25">
      <c r="C411" s="60" t="s">
        <v>284</v>
      </c>
      <c r="D411" s="83" t="str">
        <f>Calc_TU_values!$D$235</f>
        <v>VDO 2022 - Final</v>
      </c>
      <c r="E411" s="24" t="s">
        <v>524</v>
      </c>
      <c r="F411" s="83" t="str">
        <f>INDEX(Inputs!$H$10:$Q$10,1,MATCH($D411,Inputs!$H$8:$Q$8,0))</f>
        <v>F-NextVDO_Input</v>
      </c>
      <c r="G411" s="59"/>
      <c r="H411" s="24" t="s">
        <v>117</v>
      </c>
      <c r="I411" s="24" t="s">
        <v>118</v>
      </c>
      <c r="J411" s="60" t="s">
        <v>100</v>
      </c>
      <c r="K411" s="67" cm="1">
        <f t="array" ref="K411">IFERROR(INDEX(Input_ForRateCalc[],MATCH($C411&amp;" - "&amp;K$336,Input_ForRateCalc[[Cost item]:[Cost item]],0),MATCH(Calc_TUV_Net_2[[#This Row],[Decision ref]:[Decision ref]],Input_ForRateCalc[#Headers],0)),"-")*TUProp_Days_2</f>
        <v>10.82027397260274</v>
      </c>
      <c r="L411" s="67" cm="1">
        <f t="array" ref="L411">IFERROR(INDEX(Input_ForRateCalc[],MATCH($C411&amp;" - "&amp;L$336,Input_ForRateCalc[[Cost item]:[Cost item]],0),MATCH(Calc_TUV_Net_2[[#This Row],[Decision ref]:[Decision ref]],Input_ForRateCalc[#Headers],0)),"-")*TUProp_Days_2</f>
        <v>10.089863013698629</v>
      </c>
      <c r="M411" s="67" cm="1">
        <f t="array" ref="M411">IFERROR(INDEX(Input_ForRateCalc[],MATCH($C411&amp;" - "&amp;M$336,Input_ForRateCalc[[Cost item]:[Cost item]],0),MATCH(Calc_TUV_Net_2[[#This Row],[Decision ref]:[Decision ref]],Input_ForRateCalc[#Headers],0)),"-")*TUProp_Days_2</f>
        <v>9.2048767123287671</v>
      </c>
      <c r="N411" s="67" cm="1">
        <f t="array" ref="N411">IFERROR(INDEX(Input_ForRateCalc[],MATCH($C411&amp;" - "&amp;N$336,Input_ForRateCalc[[Cost item]:[Cost item]],0),MATCH(Calc_TUV_Net_2[[#This Row],[Decision ref]:[Decision ref]],Input_ForRateCalc[#Headers],0)),"-")*TUProp_Days_2</f>
        <v>9.8520547945205479</v>
      </c>
      <c r="O411" s="67" cm="1">
        <f t="array" ref="O411">IFERROR(INDEX(Input_ForRateCalc[],MATCH($C411&amp;" - "&amp;O$336,Input_ForRateCalc[[Cost item]:[Cost item]],0),MATCH(Calc_TUV_Net_2[[#This Row],[Decision ref]:[Decision ref]],Input_ForRateCalc[#Headers],0)),"-")*TUProp_Days_2</f>
        <v>7.2905205479452055</v>
      </c>
    </row>
    <row r="412" spans="3:15" outlineLevel="1" x14ac:dyDescent="0.25">
      <c r="C412" s="60" t="s">
        <v>327</v>
      </c>
      <c r="D412" s="83" t="str">
        <f>Calc_TU_values!$D$235</f>
        <v>VDO 2022 - Final</v>
      </c>
      <c r="E412" s="24" t="s">
        <v>524</v>
      </c>
      <c r="F412" s="83" t="str">
        <f>INDEX(Inputs!$H$10:$Q$10,1,MATCH($D412,Inputs!$H$8:$Q$8,0))</f>
        <v>F-NextVDO_Input</v>
      </c>
      <c r="G412" s="59"/>
      <c r="H412" s="24" t="s">
        <v>117</v>
      </c>
      <c r="I412" s="24" t="s">
        <v>118</v>
      </c>
      <c r="J412" s="60" t="s">
        <v>100</v>
      </c>
      <c r="K412" s="65">
        <f>IFERROR(SUM(K410:K411),"-")</f>
        <v>29.693753424657537</v>
      </c>
      <c r="L412" s="65">
        <f>IFERROR(SUM(L410:L411),"-")</f>
        <v>25.379063013698627</v>
      </c>
      <c r="M412" s="65">
        <f>IFERROR(SUM(M410:M411),"-")</f>
        <v>23.166936986301369</v>
      </c>
      <c r="N412" s="65">
        <f>IFERROR(SUM(N410:N411),"-")</f>
        <v>33.629054794520542</v>
      </c>
      <c r="O412" s="65">
        <f>IFERROR(SUM(O410:O411),"-")</f>
        <v>20.880920547945205</v>
      </c>
    </row>
    <row r="413" spans="3:15" outlineLevel="1" x14ac:dyDescent="0.25">
      <c r="C413" s="60" t="s">
        <v>473</v>
      </c>
      <c r="D413" s="83" t="str">
        <f>INDEX(Input_DecisionActual[[Decision]:[Decision]],MATCH(Calc_TU_values!$D$235,Input_DecisionActual[[VDO period]:[VDO period]],0),1)</f>
        <v>VDO 2021 - Final</v>
      </c>
      <c r="E413" s="24" t="s">
        <v>525</v>
      </c>
      <c r="F413" s="83" t="str">
        <f>IF($D413="-","-",INDEX(Inputs!$H$10:$Q$10,1,MATCH($D413,Inputs!$H$8:$Q$8,0)))</f>
        <v>F-CurrentVDO_Input</v>
      </c>
      <c r="G413" s="59"/>
      <c r="H413" s="24" t="s">
        <v>117</v>
      </c>
      <c r="I413" s="24" t="s">
        <v>118</v>
      </c>
      <c r="J413" s="60" t="s">
        <v>100</v>
      </c>
      <c r="K413" s="67" cm="1">
        <f t="array" ref="K413">IFERROR(INDEX(Input_ForRateCalc[],MATCH($C413&amp;" - "&amp;K$336,Input_ForRateCalc[[Cost item]:[Cost item]],0),MATCH(Calc_TUV_Net_2[[#This Row],[Decision ref]:[Decision ref]],Input_ForRateCalc[#Headers],0)),"-")*TUProp_Days_2</f>
        <v>18.005479452054793</v>
      </c>
      <c r="L413" s="67" cm="1">
        <f t="array" ref="L413">IFERROR(INDEX(Input_ForRateCalc[],MATCH($C413&amp;" - "&amp;L$336,Input_ForRateCalc[[Cost item]:[Cost item]],0),MATCH(Calc_TUV_Net_2[[#This Row],[Decision ref]:[Decision ref]],Input_ForRateCalc[#Headers],0)),"-")*TUProp_Days_2</f>
        <v>15.287671232876711</v>
      </c>
      <c r="M413" s="67" cm="1">
        <f t="array" ref="M413">IFERROR(INDEX(Input_ForRateCalc[],MATCH($C413&amp;" - "&amp;M$336,Input_ForRateCalc[[Cost item]:[Cost item]],0),MATCH(Calc_TUV_Net_2[[#This Row],[Decision ref]:[Decision ref]],Input_ForRateCalc[#Headers],0)),"-")*TUProp_Days_2</f>
        <v>11.725643835616438</v>
      </c>
      <c r="N413" s="67" cm="1">
        <f t="array" ref="N413">IFERROR(INDEX(Input_ForRateCalc[],MATCH($C413&amp;" - "&amp;N$336,Input_ForRateCalc[[Cost item]:[Cost item]],0),MATCH(Calc_TUV_Net_2[[#This Row],[Decision ref]:[Decision ref]],Input_ForRateCalc[#Headers],0)),"-")*TUProp_Days_2</f>
        <v>23.780821917808218</v>
      </c>
      <c r="O413" s="67" cm="1">
        <f t="array" ref="O413">IFERROR(INDEX(Input_ForRateCalc[],MATCH($C413&amp;" - "&amp;O$336,Input_ForRateCalc[[Cost item]:[Cost item]],0),MATCH(Calc_TUV_Net_2[[#This Row],[Decision ref]:[Decision ref]],Input_ForRateCalc[#Headers],0)),"-")*TUProp_Days_2</f>
        <v>10.167999999999999</v>
      </c>
    </row>
    <row r="414" spans="3:15" outlineLevel="1" x14ac:dyDescent="0.25">
      <c r="C414" s="60" t="s">
        <v>284</v>
      </c>
      <c r="D414" s="83" t="str">
        <f>INDEX(Input_DecisionActual[[Decision]:[Decision]],MATCH(Calc_TU_values!$D$235,Input_DecisionActual[[VDO period]:[VDO period]],0),1)</f>
        <v>VDO 2021 - Final</v>
      </c>
      <c r="E414" s="24" t="s">
        <v>525</v>
      </c>
      <c r="F414" s="83" t="str">
        <f>IF($D414="-","-",INDEX(Inputs!$H$10:$Q$10,1,MATCH($D414,Inputs!$H$8:$Q$8,0)))</f>
        <v>F-CurrentVDO_Input</v>
      </c>
      <c r="G414" s="59"/>
      <c r="H414" s="24" t="s">
        <v>117</v>
      </c>
      <c r="I414" s="24" t="s">
        <v>118</v>
      </c>
      <c r="J414" s="60" t="s">
        <v>100</v>
      </c>
      <c r="K414" s="67" cm="1">
        <f t="array" ref="K414">IFERROR(INDEX(Input_ForRateCalc[],MATCH($C414&amp;" - "&amp;K$336,Input_ForRateCalc[[Cost item]:[Cost item]],0),MATCH(Calc_TUV_Net_2[[#This Row],[Decision ref]:[Decision ref]],Input_ForRateCalc[#Headers],0)),"-")*TUProp_Days_2</f>
        <v>10.123835616438356</v>
      </c>
      <c r="L414" s="67" cm="1">
        <f t="array" ref="L414">IFERROR(INDEX(Input_ForRateCalc[],MATCH($C414&amp;" - "&amp;L$336,Input_ForRateCalc[[Cost item]:[Cost item]],0),MATCH(Calc_TUV_Net_2[[#This Row],[Decision ref]:[Decision ref]],Input_ForRateCalc[#Headers],0)),"-")*TUProp_Days_2</f>
        <v>11.176986301369862</v>
      </c>
      <c r="M414" s="67" cm="1">
        <f t="array" ref="M414">IFERROR(INDEX(Input_ForRateCalc[],MATCH($C414&amp;" - "&amp;M$336,Input_ForRateCalc[[Cost item]:[Cost item]],0),MATCH(Calc_TUV_Net_2[[#This Row],[Decision ref]:[Decision ref]],Input_ForRateCalc[#Headers],0)),"-")*TUProp_Days_2</f>
        <v>11.258520547945205</v>
      </c>
      <c r="N414" s="67" cm="1">
        <f t="array" ref="N414">IFERROR(INDEX(Input_ForRateCalc[],MATCH($C414&amp;" - "&amp;N$336,Input_ForRateCalc[[Cost item]:[Cost item]],0),MATCH(Calc_TUV_Net_2[[#This Row],[Decision ref]:[Decision ref]],Input_ForRateCalc[#Headers],0)),"-")*TUProp_Days_2</f>
        <v>11.126027397260273</v>
      </c>
      <c r="O414" s="67" cm="1">
        <f t="array" ref="O414">IFERROR(INDEX(Input_ForRateCalc[],MATCH($C414&amp;" - "&amp;O$336,Input_ForRateCalc[[Cost item]:[Cost item]],0),MATCH(Calc_TUV_Net_2[[#This Row],[Decision ref]:[Decision ref]],Input_ForRateCalc[#Headers],0)),"-")*TUProp_Days_2</f>
        <v>8.2927123287671236</v>
      </c>
    </row>
    <row r="415" spans="3:15" outlineLevel="1" x14ac:dyDescent="0.25">
      <c r="C415" s="60" t="s">
        <v>327</v>
      </c>
      <c r="D415" s="83" t="str">
        <f>INDEX(Input_DecisionActual[[Decision]:[Decision]],MATCH(Calc_TU_values!$D$235,Input_DecisionActual[[VDO period]:[VDO period]],0),1)</f>
        <v>VDO 2021 - Final</v>
      </c>
      <c r="E415" s="24" t="s">
        <v>525</v>
      </c>
      <c r="F415" s="83" t="str">
        <f>IF($D415="-","-",INDEX(Inputs!$H$10:$Q$10,1,MATCH($D415,Inputs!$H$8:$Q$8,0)))</f>
        <v>F-CurrentVDO_Input</v>
      </c>
      <c r="G415" s="59"/>
      <c r="H415" s="24" t="s">
        <v>117</v>
      </c>
      <c r="I415" s="24" t="s">
        <v>118</v>
      </c>
      <c r="J415" s="60" t="s">
        <v>100</v>
      </c>
      <c r="K415" s="66">
        <f>SUM(K413:K414)</f>
        <v>28.129315068493149</v>
      </c>
      <c r="L415" s="66">
        <f>SUM(L413:L414)</f>
        <v>26.464657534246573</v>
      </c>
      <c r="M415" s="66">
        <f>SUM(M413:M414)</f>
        <v>22.984164383561641</v>
      </c>
      <c r="N415" s="66">
        <f>SUM(N413:N414)</f>
        <v>34.906849315068492</v>
      </c>
      <c r="O415" s="66">
        <f>SUM(O413:O414)</f>
        <v>18.460712328767123</v>
      </c>
    </row>
    <row r="416" spans="3:15" outlineLevel="1" x14ac:dyDescent="0.25">
      <c r="C416" s="60" t="s">
        <v>328</v>
      </c>
      <c r="D416" s="24"/>
      <c r="E416" s="24"/>
      <c r="F416" s="24"/>
      <c r="G416" s="60"/>
      <c r="H416" s="24" t="s">
        <v>117</v>
      </c>
      <c r="I416" s="24" t="s">
        <v>118</v>
      </c>
      <c r="J416" s="60" t="s">
        <v>100</v>
      </c>
      <c r="K416" s="66">
        <f>IF(K415=0,"-",K412-K415)</f>
        <v>1.5644383561643878</v>
      </c>
      <c r="L416" s="66">
        <f t="shared" ref="L416:O416" si="124">IF(L415=0,"-",L412-L415)</f>
        <v>-1.0855945205479465</v>
      </c>
      <c r="M416" s="66">
        <f t="shared" si="124"/>
        <v>0.18277260273972828</v>
      </c>
      <c r="N416" s="66">
        <f t="shared" si="124"/>
        <v>-1.2777945205479497</v>
      </c>
      <c r="O416" s="66">
        <f t="shared" si="124"/>
        <v>2.4202082191780825</v>
      </c>
    </row>
    <row r="417" spans="3:15" hidden="1" outlineLevel="1" x14ac:dyDescent="0.25">
      <c r="C417" s="60" t="s">
        <v>435</v>
      </c>
      <c r="D417" s="24"/>
      <c r="E417" s="24"/>
      <c r="F417" s="24"/>
      <c r="G417" s="60"/>
      <c r="H417" s="24" t="s">
        <v>117</v>
      </c>
      <c r="I417" s="24" t="s">
        <v>118</v>
      </c>
      <c r="J417" s="60" t="s">
        <v>100</v>
      </c>
      <c r="K417" s="67" t="str">
        <f>IFERROR(IF($D$313="Yes",K416*(1+WACC_adj_2),""),"-")</f>
        <v/>
      </c>
      <c r="L417" s="67" t="str">
        <f>IFERROR(IF($D$313="Yes",L416*(1+WACC_adj_2),""),"-")</f>
        <v/>
      </c>
      <c r="M417" s="67" t="str">
        <f>IFERROR(IF($D$313="Yes",M416*(1+WACC_adj_2),""),"-")</f>
        <v/>
      </c>
      <c r="N417" s="67" t="str">
        <f>IFERROR(IF($D$313="Yes",N416*(1+WACC_adj_2),""),"-")</f>
        <v/>
      </c>
      <c r="O417" s="67" t="str">
        <f>IFERROR(IF($D$313="Yes",O416*(1+WACC_adj_2),""),"-")</f>
        <v/>
      </c>
    </row>
    <row r="418" spans="3:15" outlineLevel="1" x14ac:dyDescent="0.25">
      <c r="C418" s="60" t="s">
        <v>330</v>
      </c>
      <c r="D418" s="83" t="str">
        <f>INDEX(Input_DecisionActual[[Decision]:[Decision]],MATCH(Calc_TU_values!$D$235,Input_DecisionActual[[VDO period]:[VDO period]],0),1)</f>
        <v>VDO 2021 - Final</v>
      </c>
      <c r="E418" s="24" t="s">
        <v>525</v>
      </c>
      <c r="F418" s="83" t="str">
        <f>IF($D418="-","-",INDEX(Inputs!$H$10:$Q$10,1,MATCH($D418,Inputs!$H$8:$Q$8,0)))</f>
        <v>F-CurrentVDO_Input</v>
      </c>
      <c r="G418" s="60"/>
      <c r="H418" s="24" t="s">
        <v>117</v>
      </c>
      <c r="I418" s="24" t="s">
        <v>118</v>
      </c>
      <c r="J418" s="60" t="s">
        <v>100</v>
      </c>
      <c r="K418" s="67" cm="1">
        <f t="array" ref="K418">IFERROR(SUM(K416:K417)*(INDEX(Inputs!$H$11:$Q$127,MATCH("Retail operating margin",Input_ForRateCalc[[Cost item]:[Cost item]],0),MATCH(Calc_TUV_Net_2[[#This Row],[Decision ref]:[Decision ref]],Inputs!$H$10:$Q$10,0))),"-")</f>
        <v>9.4492076712329023E-2</v>
      </c>
      <c r="L418" s="67" cm="1">
        <f t="array" ref="L418">IFERROR(SUM(L416:L417)*(INDEX(Inputs!$H$11:$Q$127,MATCH("Retail operating margin",Input_ForRateCalc[[Cost item]:[Cost item]],0),MATCH(Calc_TUV_Net_2[[#This Row],[Decision ref]:[Decision ref]],Inputs!$H$10:$Q$10,0))),"-")</f>
        <v>-6.556990904109597E-2</v>
      </c>
      <c r="M418" s="67" cm="1">
        <f t="array" ref="M418">IFERROR(SUM(M416:M417)*(INDEX(Inputs!$H$11:$Q$127,MATCH("Retail operating margin",Input_ForRateCalc[[Cost item]:[Cost item]],0),MATCH(Calc_TUV_Net_2[[#This Row],[Decision ref]:[Decision ref]],Inputs!$H$10:$Q$10,0))),"-")</f>
        <v>1.1039465205479588E-2</v>
      </c>
      <c r="N418" s="67" cm="1">
        <f t="array" ref="N418">IFERROR(SUM(N416:N417)*(INDEX(Inputs!$H$11:$Q$127,MATCH("Retail operating margin",Input_ForRateCalc[[Cost item]:[Cost item]],0),MATCH(Calc_TUV_Net_2[[#This Row],[Decision ref]:[Decision ref]],Inputs!$H$10:$Q$10,0))),"-")</f>
        <v>-7.7178789041096166E-2</v>
      </c>
      <c r="O418" s="67" cm="1">
        <f t="array" ref="O418">IFERROR(SUM(O416:O417)*(INDEX(Inputs!$H$11:$Q$127,MATCH("Retail operating margin",Input_ForRateCalc[[Cost item]:[Cost item]],0),MATCH(Calc_TUV_Net_2[[#This Row],[Decision ref]:[Decision ref]],Inputs!$H$10:$Q$10,0))),"-")</f>
        <v>0.14618057643835619</v>
      </c>
    </row>
    <row r="419" spans="3:15" outlineLevel="1" x14ac:dyDescent="0.25">
      <c r="C419" s="60" t="s">
        <v>436</v>
      </c>
      <c r="D419" s="24"/>
      <c r="E419" s="24"/>
      <c r="F419" s="24"/>
      <c r="G419" s="60"/>
      <c r="H419" s="24" t="s">
        <v>117</v>
      </c>
      <c r="I419" s="24" t="s">
        <v>118</v>
      </c>
      <c r="J419" s="60" t="s">
        <v>100</v>
      </c>
      <c r="K419" s="67">
        <f>IF(K415=0,"-",SUM(K416:K418)*GST)</f>
        <v>0.16589304328767168</v>
      </c>
      <c r="L419" s="67">
        <f>IF(L415=0,"-",SUM(L416:L418)*GST)</f>
        <v>-0.11511644295890425</v>
      </c>
      <c r="M419" s="67">
        <f>IF(M415=0,"-",SUM(M416:M418)*GST)</f>
        <v>1.9381206794520787E-2</v>
      </c>
      <c r="N419" s="67">
        <f>IF(N415=0,"-",SUM(N416:N418)*GST)</f>
        <v>-0.13549733095890459</v>
      </c>
      <c r="O419" s="67">
        <f>IF(O415=0,"-",SUM(O416:O418)*GST)</f>
        <v>0.25663887956164388</v>
      </c>
    </row>
    <row r="420" spans="3:15" outlineLevel="1" x14ac:dyDescent="0.25">
      <c r="C420" s="24" t="s">
        <v>496</v>
      </c>
      <c r="D420" s="24"/>
      <c r="E420" s="24"/>
      <c r="F420" s="24"/>
      <c r="G420" s="60"/>
      <c r="H420" s="24" t="s">
        <v>117</v>
      </c>
      <c r="I420" s="24" t="s">
        <v>118</v>
      </c>
      <c r="J420" s="60" t="s">
        <v>100</v>
      </c>
      <c r="K420" s="67">
        <f>IF(K415=0,"-",SUM(K416:K419))</f>
        <v>1.8248234761643884</v>
      </c>
      <c r="L420" s="67">
        <f>IF(L415=0,"-",SUM(L416:L419))</f>
        <v>-1.2662808725479466</v>
      </c>
      <c r="M420" s="67">
        <f>IF(M415=0,"-",SUM(M416:M419))</f>
        <v>0.21319327473972866</v>
      </c>
      <c r="N420" s="67">
        <f>IF(N415=0,"-",SUM(N416:N419))</f>
        <v>-1.4904706405479504</v>
      </c>
      <c r="O420" s="67">
        <f>IF(O415=0,"-",SUM(O416:O419))</f>
        <v>2.823027675178083</v>
      </c>
    </row>
    <row r="421" spans="3:15" outlineLevel="1" x14ac:dyDescent="0.25">
      <c r="C421" s="60"/>
      <c r="D421" s="60"/>
      <c r="E421" s="60"/>
      <c r="F421" s="60"/>
      <c r="H421" s="60"/>
      <c r="I421" s="24"/>
      <c r="J421" s="24"/>
      <c r="K421" s="132"/>
      <c r="L421" s="132"/>
      <c r="M421" s="132"/>
      <c r="N421" s="132"/>
      <c r="O421" s="132"/>
    </row>
    <row r="422" spans="3:15" outlineLevel="1" x14ac:dyDescent="0.25">
      <c r="C422" s="58" t="s">
        <v>503</v>
      </c>
      <c r="D422" s="60"/>
      <c r="E422" s="60"/>
      <c r="F422" s="60"/>
      <c r="G422" s="69"/>
      <c r="H422" s="60"/>
      <c r="I422" s="24"/>
      <c r="J422" s="24"/>
      <c r="K422" s="132"/>
      <c r="L422" s="132"/>
      <c r="M422" s="132"/>
      <c r="N422" s="132"/>
      <c r="O422" s="132"/>
    </row>
    <row r="423" spans="3:15" outlineLevel="1" x14ac:dyDescent="0.25">
      <c r="C423" s="60" t="s">
        <v>489</v>
      </c>
      <c r="D423" s="83" t="str">
        <f>Calc_TU_values!$D$235</f>
        <v>VDO 2022 - Final</v>
      </c>
      <c r="E423" s="24" t="s">
        <v>524</v>
      </c>
      <c r="F423" s="83" t="str">
        <f>INDEX(Inputs!$H$10:$Q$10,1,MATCH($D423,Inputs!$H$8:$Q$8,0))</f>
        <v>F-NextVDO_Input</v>
      </c>
      <c r="G423" s="60"/>
      <c r="H423" s="24" t="s">
        <v>139</v>
      </c>
      <c r="I423" s="24" t="s">
        <v>174</v>
      </c>
      <c r="J423" s="60" t="s">
        <v>100</v>
      </c>
      <c r="K423" s="67" cm="1">
        <f t="array" ref="K423">IFERROR(INDEX(Input_ForRateCalc[],MATCH($C423&amp;" - "&amp;K$336,Input_ForRateCalc[[Cost item]:[Cost item]],0),MATCH(Calc_TUV_Net_2[[#This Row],[Decision ref]:[Decision ref]],Input_ForRateCalc[#Headers],0)),"-")</f>
        <v>20.853200000000001</v>
      </c>
      <c r="L423" s="67" cm="1">
        <f t="array" ref="L423">IFERROR(INDEX(Input_ForRateCalc[],MATCH($C423&amp;" - "&amp;L$336,Input_ForRateCalc[[Cost item]:[Cost item]],0),MATCH(Calc_TUV_Net_2[[#This Row],[Decision ref]:[Decision ref]],Input_ForRateCalc[#Headers],0)),"-")</f>
        <v>15.94</v>
      </c>
      <c r="M423" s="67" cm="1">
        <f t="array" ref="M423">IFERROR(INDEX(Input_ForRateCalc[],MATCH($C423&amp;" - "&amp;M$336,Input_ForRateCalc[[Cost item]:[Cost item]],0),MATCH(Calc_TUV_Net_2[[#This Row],[Decision ref]:[Decision ref]],Input_ForRateCalc[#Headers],0)),"-")</f>
        <v>13.492000000000001</v>
      </c>
      <c r="N423" s="67" cm="1">
        <f t="array" ref="N423">IFERROR(INDEX(Input_ForRateCalc[],MATCH($C423&amp;" - "&amp;N$336,Input_ForRateCalc[[Cost item]:[Cost item]],0),MATCH(Calc_TUV_Net_2[[#This Row],[Decision ref]:[Decision ref]],Input_ForRateCalc[#Headers],0)),"-")</f>
        <v>15.87</v>
      </c>
      <c r="O423" s="67" cm="1">
        <f t="array" ref="O423">IFERROR(INDEX(Input_ForRateCalc[],MATCH($C423&amp;" - "&amp;O$336,Input_ForRateCalc[[Cost item]:[Cost item]],0),MATCH(Calc_TUV_Net_2[[#This Row],[Decision ref]:[Decision ref]],Input_ForRateCalc[#Headers],0)),"-")</f>
        <v>15.79</v>
      </c>
    </row>
    <row r="424" spans="3:15" outlineLevel="1" x14ac:dyDescent="0.25">
      <c r="C424" s="60" t="s">
        <v>490</v>
      </c>
      <c r="D424" s="83" t="str">
        <f>Calc_TU_values!$D$235</f>
        <v>VDO 2022 - Final</v>
      </c>
      <c r="E424" s="24" t="s">
        <v>524</v>
      </c>
      <c r="F424" s="83" t="str">
        <f>INDEX(Inputs!$H$10:$Q$10,1,MATCH($D424,Inputs!$H$8:$Q$8,0))</f>
        <v>F-NextVDO_Input</v>
      </c>
      <c r="G424" s="69"/>
      <c r="H424" s="24" t="s">
        <v>139</v>
      </c>
      <c r="I424" s="24" t="s">
        <v>174</v>
      </c>
      <c r="J424" s="60" t="s">
        <v>100</v>
      </c>
      <c r="K424" s="67" cm="1">
        <f t="array" ref="K424">IFERROR(INDEX(Input_ForRateCalc[],MATCH($C424&amp;" - "&amp;K$336,Input_ForRateCalc[[Cost item]:[Cost item]],0),MATCH(Calc_TUV_Net_2[[#This Row],[Decision ref]:[Decision ref]],Input_ForRateCalc[#Headers],0)),"-")</f>
        <v>4.3418999999999999</v>
      </c>
      <c r="L424" s="67" cm="1">
        <f t="array" ref="L424">IFERROR(INDEX(Input_ForRateCalc[],MATCH($C424&amp;" - "&amp;L$336,Input_ForRateCalc[[Cost item]:[Cost item]],0),MATCH(Calc_TUV_Net_2[[#This Row],[Decision ref]:[Decision ref]],Input_ForRateCalc[#Headers],0)),"-")</f>
        <v>3.98</v>
      </c>
      <c r="M424" s="67" cm="1">
        <f t="array" ref="M424">IFERROR(INDEX(Input_ForRateCalc[],MATCH($C424&amp;" - "&amp;M$336,Input_ForRateCalc[[Cost item]:[Cost item]],0),MATCH(Calc_TUV_Net_2[[#This Row],[Decision ref]:[Decision ref]],Input_ForRateCalc[#Headers],0)),"-")</f>
        <v>3.89</v>
      </c>
      <c r="N424" s="67" cm="1">
        <f t="array" ref="N424">IFERROR(INDEX(Input_ForRateCalc[],MATCH($C424&amp;" - "&amp;N$336,Input_ForRateCalc[[Cost item]:[Cost item]],0),MATCH(Calc_TUV_Net_2[[#This Row],[Decision ref]:[Decision ref]],Input_ForRateCalc[#Headers],0)),"-")</f>
        <v>3.96</v>
      </c>
      <c r="O424" s="67" cm="1">
        <f t="array" ref="O424">IFERROR(INDEX(Input_ForRateCalc[],MATCH($C424&amp;" - "&amp;O$336,Input_ForRateCalc[[Cost item]:[Cost item]],0),MATCH(Calc_TUV_Net_2[[#This Row],[Decision ref]:[Decision ref]],Input_ForRateCalc[#Headers],0)),"-")</f>
        <v>3.95</v>
      </c>
    </row>
    <row r="425" spans="3:15" outlineLevel="1" x14ac:dyDescent="0.25">
      <c r="C425" s="60" t="s">
        <v>327</v>
      </c>
      <c r="D425" s="83" t="str">
        <f>Calc_TU_values!$D$235</f>
        <v>VDO 2022 - Final</v>
      </c>
      <c r="E425" s="24" t="s">
        <v>524</v>
      </c>
      <c r="F425" s="83" t="str">
        <f>INDEX(Inputs!$H$10:$Q$10,1,MATCH($D425,Inputs!$H$8:$Q$8,0))</f>
        <v>F-NextVDO_Input</v>
      </c>
      <c r="G425" s="59"/>
      <c r="H425" s="24" t="s">
        <v>139</v>
      </c>
      <c r="I425" s="24" t="s">
        <v>174</v>
      </c>
      <c r="J425" s="60" t="s">
        <v>100</v>
      </c>
      <c r="K425" s="68">
        <f>SUMIFS(TUNet_Usage_Actual_2[Value],TUNet_Usage_Actual_2[Customer type],Calc_TUV_Net_2[[#This Row],[Customer type]],TUNet_Usage_Actual_2[Description],"Usage per customer")*SUM(
IFERROR(K423/100*SUMIFS(Input_TUNet_Props[F-NextVDO_Input],Input_TUNet_Props[Customer type],Calc_TUV_Net_2[[#This Row],[Customer type]],Input_TUNet_Props[Usage type],"Peak"),0),
IFERROR(K424/100*SUMIFS(Input_TUNet_Props[F-NextVDO_Input],Input_TUNet_Props[Customer type],Calc_TUV_Net_2[[#This Row],[Customer type]],Input_TUNet_Props[Usage type],"Off peak"),0))</f>
        <v>92.719769763547021</v>
      </c>
      <c r="L425" s="68">
        <f>SUMIFS(TUNet_Usage_Actual_2[Value],TUNet_Usage_Actual_2[Customer type],Calc_TUV_Net_2[[#This Row],[Customer type]],TUNet_Usage_Actual_2[Description],"Usage per customer")*SUM(
IFERROR(L423/100*SUMIFS(Input_TUNet_Props[F-NextVDO_Input],Input_TUNet_Props[Customer type],Calc_TUV_Net_2[[#This Row],[Customer type]],Input_TUNet_Props[Usage type],"Peak"),0),
IFERROR(L424/100*SUMIFS(Input_TUNet_Props[F-NextVDO_Input],Input_TUNet_Props[Customer type],Calc_TUV_Net_2[[#This Row],[Customer type]],Input_TUNet_Props[Usage type],"Off peak"),0))</f>
        <v>75.068830711661576</v>
      </c>
      <c r="M425" s="68">
        <f>SUMIFS(TUNet_Usage_Actual_2[Value],TUNet_Usage_Actual_2[Customer type],Calc_TUV_Net_2[[#This Row],[Customer type]],TUNet_Usage_Actual_2[Description],"Usage per customer")*SUM(
IFERROR(M423/100*SUMIFS(Input_TUNet_Props[F-NextVDO_Input],Input_TUNet_Props[Customer type],Calc_TUV_Net_2[[#This Row],[Customer type]],Input_TUNet_Props[Usage type],"Peak"),0),
IFERROR(M424/100*SUMIFS(Input_TUNet_Props[F-NextVDO_Input],Input_TUNet_Props[Customer type],Calc_TUV_Net_2[[#This Row],[Customer type]],Input_TUNet_Props[Usage type],"Off peak"),0))</f>
        <v>66.847322070845365</v>
      </c>
      <c r="N425" s="68">
        <f>SUMIFS(TUNet_Usage_Actual_2[Value],TUNet_Usage_Actual_2[Customer type],Calc_TUV_Net_2[[#This Row],[Customer type]],TUNet_Usage_Actual_2[Description],"Usage per customer")*SUM(
IFERROR(N423/100*SUMIFS(Input_TUNet_Props[F-NextVDO_Input],Input_TUNet_Props[Customer type],Calc_TUV_Net_2[[#This Row],[Customer type]],Input_TUNet_Props[Usage type],"Peak"),0),
IFERROR(N424/100*SUMIFS(Input_TUNet_Props[F-NextVDO_Input],Input_TUNet_Props[Customer type],Calc_TUV_Net_2[[#This Row],[Customer type]],Input_TUNet_Props[Usage type],"Off peak"),0))</f>
        <v>74.723166342562365</v>
      </c>
      <c r="O425" s="68">
        <f>SUMIFS(TUNet_Usage_Actual_2[Value],TUNet_Usage_Actual_2[Customer type],Calc_TUV_Net_2[[#This Row],[Customer type]],TUNet_Usage_Actual_2[Description],"Usage per customer")*SUM(
IFERROR(O423/100*SUMIFS(Input_TUNet_Props[F-NextVDO_Input],Input_TUNet_Props[Customer type],Calc_TUV_Net_2[[#This Row],[Customer type]],Input_TUNet_Props[Usage type],"Peak"),0),
IFERROR(O424/100*SUMIFS(Input_TUNet_Props[F-NextVDO_Input],Input_TUNet_Props[Customer type],Calc_TUV_Net_2[[#This Row],[Customer type]],Input_TUNet_Props[Usage type],"Off peak"),0))</f>
        <v>74.409700846201162</v>
      </c>
    </row>
    <row r="426" spans="3:15" outlineLevel="1" x14ac:dyDescent="0.25">
      <c r="C426" s="60" t="s">
        <v>476</v>
      </c>
      <c r="D426" s="83" t="str">
        <f>INDEX(Input_DecisionActual[[Decision]:[Decision]],MATCH(Calc_TU_values!$D$235,Input_DecisionActual[[VDO period]:[VDO period]],0),1)</f>
        <v>VDO 2021 - Final</v>
      </c>
      <c r="E426" s="24" t="s">
        <v>525</v>
      </c>
      <c r="F426" s="83" t="str">
        <f>IF($D426="-","-",INDEX(Inputs!$H$10:$Q$10,1,MATCH($D426,Inputs!$H$8:$Q$8,0)))</f>
        <v>F-CurrentVDO_Input</v>
      </c>
      <c r="G426" s="59"/>
      <c r="H426" s="24" t="s">
        <v>139</v>
      </c>
      <c r="I426" s="24" t="s">
        <v>118</v>
      </c>
      <c r="J426" s="60" t="s">
        <v>100</v>
      </c>
      <c r="K426" s="67" cm="1">
        <f t="array" ref="K426">IFERROR(INDEX(Input_ForRateCalc[],MATCH($C426&amp;" - "&amp;K$336,Input_ForRateCalc[[Cost item]:[Cost item]],0),MATCH(Calc_TUV_Net_2[[#This Row],[Decision ref]:[Decision ref]],Input_ForRateCalc[#Headers],0)),"-")</f>
        <v>10.535</v>
      </c>
      <c r="L426" s="67" t="str" cm="1">
        <f t="array" ref="L426">IFERROR(INDEX(Input_ForRateCalc[],MATCH($C426&amp;" - "&amp;L$336,Input_ForRateCalc[[Cost item]:[Cost item]],0),MATCH(Calc_TUV_Net_2[[#This Row],[Decision ref]:[Decision ref]],Input_ForRateCalc[#Headers],0)),"-")</f>
        <v>-</v>
      </c>
      <c r="M426" s="67" t="str" cm="1">
        <f t="array" ref="M426">IFERROR(INDEX(Input_ForRateCalc[],MATCH($C426&amp;" - "&amp;M$336,Input_ForRateCalc[[Cost item]:[Cost item]],0),MATCH(Calc_TUV_Net_2[[#This Row],[Decision ref]:[Decision ref]],Input_ForRateCalc[#Headers],0)),"-")</f>
        <v>-</v>
      </c>
      <c r="N426" s="67" t="str" cm="1">
        <f t="array" ref="N426">IFERROR(INDEX(Input_ForRateCalc[],MATCH($C426&amp;" - "&amp;N$336,Input_ForRateCalc[[Cost item]:[Cost item]],0),MATCH(Calc_TUV_Net_2[[#This Row],[Decision ref]:[Decision ref]],Input_ForRateCalc[#Headers],0)),"-")</f>
        <v>-</v>
      </c>
      <c r="O426" s="67" t="str" cm="1">
        <f t="array" ref="O426">IFERROR(INDEX(Input_ForRateCalc[],MATCH($C426&amp;" - "&amp;O$336,Input_ForRateCalc[[Cost item]:[Cost item]],0),MATCH(Calc_TUV_Net_2[[#This Row],[Decision ref]:[Decision ref]],Input_ForRateCalc[#Headers],0)),"-")</f>
        <v>-</v>
      </c>
    </row>
    <row r="427" spans="3:15" outlineLevel="1" x14ac:dyDescent="0.25">
      <c r="C427" s="60" t="s">
        <v>477</v>
      </c>
      <c r="D427" s="83" t="str">
        <f>INDEX(Input_DecisionActual[[Decision]:[Decision]],MATCH(Calc_TU_values!$D$235,Input_DecisionActual[[VDO period]:[VDO period]],0),1)</f>
        <v>VDO 2021 - Final</v>
      </c>
      <c r="E427" s="24" t="s">
        <v>525</v>
      </c>
      <c r="F427" s="83" t="str">
        <f>IF($D427="-","-",INDEX(Inputs!$H$10:$Q$10,1,MATCH($D427,Inputs!$H$8:$Q$8,0)))</f>
        <v>F-CurrentVDO_Input</v>
      </c>
      <c r="G427" s="59"/>
      <c r="H427" s="24" t="s">
        <v>139</v>
      </c>
      <c r="I427" s="24" t="s">
        <v>174</v>
      </c>
      <c r="J427" s="60" t="s">
        <v>100</v>
      </c>
      <c r="K427" s="67" cm="1">
        <f t="array" ref="K427">IFERROR(INDEX(Input_ForRateCalc[],MATCH($C427&amp;" - "&amp;K$336,Input_ForRateCalc[[Cost item]:[Cost item]],0),MATCH(Calc_TUV_Net_2[[#This Row],[Decision ref]:[Decision ref]],Input_ForRateCalc[#Headers],0)),"-")</f>
        <v>12.073700000000001</v>
      </c>
      <c r="L427" s="67" t="str" cm="1">
        <f t="array" ref="L427">IFERROR(INDEX(Input_ForRateCalc[],MATCH($C427&amp;" - "&amp;L$336,Input_ForRateCalc[[Cost item]:[Cost item]],0),MATCH(Calc_TUV_Net_2[[#This Row],[Decision ref]:[Decision ref]],Input_ForRateCalc[#Headers],0)),"-")</f>
        <v>-</v>
      </c>
      <c r="M427" s="67" t="str" cm="1">
        <f t="array" ref="M427">IFERROR(INDEX(Input_ForRateCalc[],MATCH($C427&amp;" - "&amp;M$336,Input_ForRateCalc[[Cost item]:[Cost item]],0),MATCH(Calc_TUV_Net_2[[#This Row],[Decision ref]:[Decision ref]],Input_ForRateCalc[#Headers],0)),"-")</f>
        <v>-</v>
      </c>
      <c r="N427" s="67" t="str" cm="1">
        <f t="array" ref="N427">IFERROR(INDEX(Input_ForRateCalc[],MATCH($C427&amp;" - "&amp;N$336,Input_ForRateCalc[[Cost item]:[Cost item]],0),MATCH(Calc_TUV_Net_2[[#This Row],[Decision ref]:[Decision ref]],Input_ForRateCalc[#Headers],0)),"-")</f>
        <v>-</v>
      </c>
      <c r="O427" s="67" t="str" cm="1">
        <f t="array" ref="O427">IFERROR(INDEX(Input_ForRateCalc[],MATCH($C427&amp;" - "&amp;O$336,Input_ForRateCalc[[Cost item]:[Cost item]],0),MATCH(Calc_TUV_Net_2[[#This Row],[Decision ref]:[Decision ref]],Input_ForRateCalc[#Headers],0)),"-")</f>
        <v>-</v>
      </c>
    </row>
    <row r="428" spans="3:15" outlineLevel="1" x14ac:dyDescent="0.25">
      <c r="C428" s="60" t="s">
        <v>478</v>
      </c>
      <c r="D428" s="83" t="str">
        <f>INDEX(Input_DecisionActual[[Decision]:[Decision]],MATCH(Calc_TU_values!$D$235,Input_DecisionActual[[VDO period]:[VDO period]],0),1)</f>
        <v>VDO 2021 - Final</v>
      </c>
      <c r="E428" s="24" t="s">
        <v>525</v>
      </c>
      <c r="F428" s="83" t="str">
        <f>IF($D428="-","-",INDEX(Inputs!$H$10:$Q$10,1,MATCH($D428,Inputs!$H$8:$Q$8,0)))</f>
        <v>F-CurrentVDO_Input</v>
      </c>
      <c r="G428" s="59"/>
      <c r="H428" s="24" t="s">
        <v>139</v>
      </c>
      <c r="I428" s="24" t="s">
        <v>174</v>
      </c>
      <c r="J428" s="60" t="s">
        <v>100</v>
      </c>
      <c r="K428" s="67" t="str" cm="1">
        <f t="array" ref="K428">IFERROR(INDEX(Input_ForRateCalc[],MATCH($C428&amp;" - "&amp;K$336,Input_ForRateCalc[[Cost item]:[Cost item]],0),MATCH(Calc_TUV_Net_2[[#This Row],[Decision ref]:[Decision ref]],Input_ForRateCalc[#Headers],0)),"-")</f>
        <v>-</v>
      </c>
      <c r="L428" s="67" cm="1">
        <f t="array" ref="L428">IFERROR(INDEX(Input_ForRateCalc[],MATCH($C428&amp;" - "&amp;L$336,Input_ForRateCalc[[Cost item]:[Cost item]],0),MATCH(Calc_TUV_Net_2[[#This Row],[Decision ref]:[Decision ref]],Input_ForRateCalc[#Headers],0)),"-")</f>
        <v>6.47</v>
      </c>
      <c r="M428" s="67" cm="1">
        <f t="array" ref="M428">IFERROR(INDEX(Input_ForRateCalc[],MATCH($C428&amp;" - "&amp;M$336,Input_ForRateCalc[[Cost item]:[Cost item]],0),MATCH(Calc_TUV_Net_2[[#This Row],[Decision ref]:[Decision ref]],Input_ForRateCalc[#Headers],0)),"-")</f>
        <v>7.4139999999999997</v>
      </c>
      <c r="N428" s="67" cm="1">
        <f t="array" ref="N428">IFERROR(INDEX(Input_ForRateCalc[],MATCH($C428&amp;" - "&amp;N$336,Input_ForRateCalc[[Cost item]:[Cost item]],0),MATCH(Calc_TUV_Net_2[[#This Row],[Decision ref]:[Decision ref]],Input_ForRateCalc[#Headers],0)),"-")</f>
        <v>6.74</v>
      </c>
      <c r="O428" s="67" cm="1">
        <f t="array" ref="O428">IFERROR(INDEX(Input_ForRateCalc[],MATCH($C428&amp;" - "&amp;O$336,Input_ForRateCalc[[Cost item]:[Cost item]],0),MATCH(Calc_TUV_Net_2[[#This Row],[Decision ref]:[Decision ref]],Input_ForRateCalc[#Headers],0)),"-")</f>
        <v>7.67</v>
      </c>
    </row>
    <row r="429" spans="3:15" outlineLevel="1" x14ac:dyDescent="0.25">
      <c r="C429" s="60" t="s">
        <v>327</v>
      </c>
      <c r="D429" s="83" t="str">
        <f>INDEX(Input_DecisionActual[[Decision]:[Decision]],MATCH(Calc_TU_values!$D$235,Input_DecisionActual[[VDO period]:[VDO period]],0),1)</f>
        <v>VDO 2021 - Final</v>
      </c>
      <c r="E429" s="24" t="s">
        <v>525</v>
      </c>
      <c r="F429" s="83" t="str">
        <f>IF($D429="-","-",INDEX(Inputs!$H$10:$Q$10,1,MATCH($D429,Inputs!$H$8:$Q$8,0)))</f>
        <v>F-CurrentVDO_Input</v>
      </c>
      <c r="G429" s="59"/>
      <c r="H429" s="24" t="s">
        <v>139</v>
      </c>
      <c r="I429" s="24" t="s">
        <v>174</v>
      </c>
      <c r="J429" s="60" t="s">
        <v>100</v>
      </c>
      <c r="K429" s="68">
        <f>SUM(
IFERROR(K426/100*SUMIFS(INDEX(TUNet_Usage_PerRate_2[],0,MATCH(K$336,TUNet_Usage_PerRate_2[#Headers],0)),TUNet_Usage_PerRate_2[Customer type],Calc_TUV_Net_2[[#This Row],[Customer type]],TUNet_Usage_PerRate_2[Description],"Usage per customer - Block 1"),0),
IFERROR(K427/100*SUMIFS(INDEX(TUNet_Usage_PerRate_2[],0,MATCH(K$336,TUNet_Usage_PerRate_2[#Headers],0)),TUNet_Usage_PerRate_2[Customer type],Calc_TUV_Net_2[[#This Row],[Customer type]],TUNet_Usage_PerRate_2[Description],"Usage per customer - Balance"),0),
IFERROR(K428/100*SUMIFS(INDEX(TUNet_Usage_PerRate_2[],0,MATCH(K$336,TUNet_Usage_PerRate_2[#Headers],0)),TUNet_Usage_PerRate_2[Customer type],Calc_TUV_Net_2[[#This Row],[Customer type]],TUNet_Usage_PerRate_2[Description],"Usage per customer - Single rate"),0))</f>
        <v>99.769154204389494</v>
      </c>
      <c r="L429" s="68">
        <f>SUM(
IFERROR(L426/100*SUMIFS(INDEX(TUNet_Usage_PerRate_2[],0,MATCH(L$336,TUNet_Usage_PerRate_2[#Headers],0)),TUNet_Usage_PerRate_2[Customer type],Calc_TUV_Net_2[[#This Row],[Customer type]],TUNet_Usage_PerRate_2[Description],"Usage per customer - Block 1"),0),
IFERROR(L427/100*SUMIFS(INDEX(TUNet_Usage_PerRate_2[],0,MATCH(L$336,TUNet_Usage_PerRate_2[#Headers],0)),TUNet_Usage_PerRate_2[Customer type],Calc_TUV_Net_2[[#This Row],[Customer type]],TUNet_Usage_PerRate_2[Description],"Usage per customer - Balance"),0),
IFERROR(L428/100*SUMIFS(INDEX(TUNet_Usage_PerRate_2[],0,MATCH(L$336,TUNet_Usage_PerRate_2[#Headers],0)),TUNet_Usage_PerRate_2[Customer type],Calc_TUV_Net_2[[#This Row],[Customer type]],TUNet_Usage_PerRate_2[Description],"Usage per customer - Single rate"),0))</f>
        <v>61.272560769093502</v>
      </c>
      <c r="M429" s="68">
        <f>SUM(
IFERROR(M426/100*SUMIFS(INDEX(TUNet_Usage_PerRate_2[],0,MATCH(M$336,TUNet_Usage_PerRate_2[#Headers],0)),TUNet_Usage_PerRate_2[Customer type],Calc_TUV_Net_2[[#This Row],[Customer type]],TUNet_Usage_PerRate_2[Description],"Usage per customer - Block 1"),0),
IFERROR(M427/100*SUMIFS(INDEX(TUNet_Usage_PerRate_2[],0,MATCH(M$336,TUNet_Usage_PerRate_2[#Headers],0)),TUNet_Usage_PerRate_2[Customer type],Calc_TUV_Net_2[[#This Row],[Customer type]],TUNet_Usage_PerRate_2[Description],"Usage per customer - Balance"),0),
IFERROR(M428/100*SUMIFS(INDEX(TUNet_Usage_PerRate_2[],0,MATCH(M$336,TUNet_Usage_PerRate_2[#Headers],0)),TUNet_Usage_PerRate_2[Customer type],Calc_TUV_Net_2[[#This Row],[Customer type]],TUNet_Usage_PerRate_2[Description],"Usage per customer - Single rate"),0))</f>
        <v>70.212483082234812</v>
      </c>
      <c r="N429" s="68">
        <f>SUM(
IFERROR(N426/100*SUMIFS(INDEX(TUNet_Usage_PerRate_2[],0,MATCH(N$336,TUNet_Usage_PerRate_2[#Headers],0)),TUNet_Usage_PerRate_2[Customer type],Calc_TUV_Net_2[[#This Row],[Customer type]],TUNet_Usage_PerRate_2[Description],"Usage per customer - Block 1"),0),
IFERROR(N427/100*SUMIFS(INDEX(TUNet_Usage_PerRate_2[],0,MATCH(N$336,TUNet_Usage_PerRate_2[#Headers],0)),TUNet_Usage_PerRate_2[Customer type],Calc_TUV_Net_2[[#This Row],[Customer type]],TUNet_Usage_PerRate_2[Description],"Usage per customer - Balance"),0),
IFERROR(N428/100*SUMIFS(INDEX(TUNet_Usage_PerRate_2[],0,MATCH(N$336,TUNet_Usage_PerRate_2[#Headers],0)),TUNet_Usage_PerRate_2[Customer type],Calc_TUV_Net_2[[#This Row],[Customer type]],TUNet_Usage_PerRate_2[Description],"Usage per customer - Single rate"),0))</f>
        <v>63.829530074758921</v>
      </c>
      <c r="O429" s="68">
        <f>SUM(
IFERROR(O426/100*SUMIFS(INDEX(TUNet_Usage_PerRate_2[],0,MATCH(O$336,TUNet_Usage_PerRate_2[#Headers],0)),TUNet_Usage_PerRate_2[Customer type],Calc_TUV_Net_2[[#This Row],[Customer type]],TUNet_Usage_PerRate_2[Description],"Usage per customer - Block 1"),0),
IFERROR(O427/100*SUMIFS(INDEX(TUNet_Usage_PerRate_2[],0,MATCH(O$336,TUNet_Usage_PerRate_2[#Headers],0)),TUNet_Usage_PerRate_2[Customer type],Calc_TUV_Net_2[[#This Row],[Customer type]],TUNet_Usage_PerRate_2[Description],"Usage per customer - Balance"),0),
IFERROR(O428/100*SUMIFS(INDEX(TUNet_Usage_PerRate_2[],0,MATCH(O$336,TUNet_Usage_PerRate_2[#Headers],0)),TUNet_Usage_PerRate_2[Customer type],Calc_TUV_Net_2[[#This Row],[Customer type]],TUNet_Usage_PerRate_2[Description],"Usage per customer - Single rate"),0))</f>
        <v>72.636868794273141</v>
      </c>
    </row>
    <row r="430" spans="3:15" outlineLevel="1" x14ac:dyDescent="0.25">
      <c r="C430" s="60" t="s">
        <v>328</v>
      </c>
      <c r="D430" s="60"/>
      <c r="E430" s="60"/>
      <c r="F430" s="60"/>
      <c r="G430" s="60"/>
      <c r="H430" s="24" t="s">
        <v>139</v>
      </c>
      <c r="I430" s="24" t="s">
        <v>118</v>
      </c>
      <c r="J430" s="60" t="s">
        <v>100</v>
      </c>
      <c r="K430" s="66">
        <f>IF(K429=0,"-",K425-K429)</f>
        <v>-7.0493844408424735</v>
      </c>
      <c r="L430" s="66">
        <f t="shared" ref="L430" si="125">IF(L429=0,"-",L425-L429)</f>
        <v>13.796269942568074</v>
      </c>
      <c r="M430" s="66">
        <f t="shared" ref="M430" si="126">IF(M429=0,"-",M425-M429)</f>
        <v>-3.3651610113894463</v>
      </c>
      <c r="N430" s="66">
        <f t="shared" ref="N430" si="127">IF(N429=0,"-",N425-N429)</f>
        <v>10.893636267803444</v>
      </c>
      <c r="O430" s="66">
        <f t="shared" ref="O430" si="128">IF(O429=0,"-",O425-O429)</f>
        <v>1.7728320519280203</v>
      </c>
    </row>
    <row r="431" spans="3:15" outlineLevel="1" x14ac:dyDescent="0.25">
      <c r="C431" s="60" t="s">
        <v>435</v>
      </c>
      <c r="D431" s="60"/>
      <c r="E431" s="60"/>
      <c r="F431" s="60"/>
      <c r="G431" s="60"/>
      <c r="H431" s="24" t="s">
        <v>139</v>
      </c>
      <c r="I431" s="24" t="s">
        <v>118</v>
      </c>
      <c r="J431" s="60" t="s">
        <v>100</v>
      </c>
      <c r="K431" s="67" t="str">
        <f>IF($D$313="Yes",K430*(1+WACC_adj_2),"")</f>
        <v/>
      </c>
      <c r="L431" s="67" t="str">
        <f>IF($D$313="Yes",L430*(1+WACC_adj_2),"")</f>
        <v/>
      </c>
      <c r="M431" s="67" t="str">
        <f>IF($D$313="Yes",M430*(1+WACC_adj_2),"")</f>
        <v/>
      </c>
      <c r="N431" s="67" t="str">
        <f>IF($D$313="Yes",N430*(1+WACC_adj_2),"")</f>
        <v/>
      </c>
      <c r="O431" s="67" t="str">
        <f>IF($D$313="Yes",O430*(1+WACC_adj_2),"")</f>
        <v/>
      </c>
    </row>
    <row r="432" spans="3:15" outlineLevel="1" x14ac:dyDescent="0.25">
      <c r="C432" s="60" t="s">
        <v>330</v>
      </c>
      <c r="D432" s="83" t="str">
        <f>INDEX(Input_DecisionActual[[Decision]:[Decision]],MATCH(Calc_TU_values!$D$235,Input_DecisionActual[[VDO period]:[VDO period]],0),1)</f>
        <v>VDO 2021 - Final</v>
      </c>
      <c r="E432" s="24" t="s">
        <v>525</v>
      </c>
      <c r="F432" s="83" t="str">
        <f>IF($D432="-","-",INDEX(Inputs!$H$10:$Q$10,1,MATCH($D432,Inputs!$H$8:$Q$8,0)))</f>
        <v>F-CurrentVDO_Input</v>
      </c>
      <c r="G432" s="60"/>
      <c r="H432" s="24" t="s">
        <v>139</v>
      </c>
      <c r="I432" s="24" t="s">
        <v>118</v>
      </c>
      <c r="J432" s="60" t="s">
        <v>100</v>
      </c>
      <c r="K432" s="67" cm="1">
        <f t="array" ref="K432">IFERROR(SUM(K430:K431)*(INDEX(Inputs!$H$11:$Q$127,MATCH("Retail operating margin",Input_ForRateCalc[[Cost item]:[Cost item]],0),MATCH(Calc_TUV_Net_2[[#This Row],[Decision ref]:[Decision ref]],Inputs!$H$10:$Q$10,0))),"-")</f>
        <v>-0.42578282022688541</v>
      </c>
      <c r="L432" s="67" cm="1">
        <f t="array" ref="L432">IFERROR(SUM(L430:L431)*(INDEX(Inputs!$H$11:$Q$127,MATCH("Retail operating margin",Input_ForRateCalc[[Cost item]:[Cost item]],0),MATCH(Calc_TUV_Net_2[[#This Row],[Decision ref]:[Decision ref]],Inputs!$H$10:$Q$10,0))),"-")</f>
        <v>0.83329470453111165</v>
      </c>
      <c r="M432" s="67" cm="1">
        <f t="array" ref="M432">IFERROR(SUM(M430:M431)*(INDEX(Inputs!$H$11:$Q$127,MATCH("Retail operating margin",Input_ForRateCalc[[Cost item]:[Cost item]],0),MATCH(Calc_TUV_Net_2[[#This Row],[Decision ref]:[Decision ref]],Inputs!$H$10:$Q$10,0))),"-")</f>
        <v>-0.20325572508792256</v>
      </c>
      <c r="N432" s="67" cm="1">
        <f t="array" ref="N432">IFERROR(SUM(N430:N431)*(INDEX(Inputs!$H$11:$Q$127,MATCH("Retail operating margin",Input_ForRateCalc[[Cost item]:[Cost item]],0),MATCH(Calc_TUV_Net_2[[#This Row],[Decision ref]:[Decision ref]],Inputs!$H$10:$Q$10,0))),"-")</f>
        <v>0.65797563057532804</v>
      </c>
      <c r="O432" s="67" cm="1">
        <f t="array" ref="O432">IFERROR(SUM(O430:O431)*(INDEX(Inputs!$H$11:$Q$127,MATCH("Retail operating margin",Input_ForRateCalc[[Cost item]:[Cost item]],0),MATCH(Calc_TUV_Net_2[[#This Row],[Decision ref]:[Decision ref]],Inputs!$H$10:$Q$10,0))),"-")</f>
        <v>0.10707905593645244</v>
      </c>
    </row>
    <row r="433" spans="3:15" outlineLevel="1" x14ac:dyDescent="0.25">
      <c r="C433" s="60" t="s">
        <v>436</v>
      </c>
      <c r="D433" s="60"/>
      <c r="E433" s="60"/>
      <c r="F433" s="60"/>
      <c r="G433" s="60"/>
      <c r="H433" s="24" t="s">
        <v>139</v>
      </c>
      <c r="I433" s="24" t="s">
        <v>118</v>
      </c>
      <c r="J433" s="60" t="s">
        <v>100</v>
      </c>
      <c r="K433" s="67">
        <f>IF(K429=0,"-",SUM(K430:K432)*GST)</f>
        <v>-0.74751672610693598</v>
      </c>
      <c r="L433" s="67">
        <f>IF(L429=0,"-",SUM(L430:L432)*GST)</f>
        <v>1.4629564647099187</v>
      </c>
      <c r="M433" s="67">
        <f>IF(M429=0,"-",SUM(M430:M432)*GST)</f>
        <v>-0.35684167364773689</v>
      </c>
      <c r="N433" s="67">
        <f>IF(N429=0,"-",SUM(N430:N432)*GST)</f>
        <v>1.1551611898378773</v>
      </c>
      <c r="O433" s="67">
        <f>IF(O429=0,"-",SUM(O430:O432)*GST)</f>
        <v>0.18799111078644729</v>
      </c>
    </row>
    <row r="434" spans="3:15" outlineLevel="1" x14ac:dyDescent="0.25">
      <c r="C434" s="24" t="s">
        <v>497</v>
      </c>
      <c r="D434" s="60"/>
      <c r="E434" s="60"/>
      <c r="F434" s="60"/>
      <c r="H434" s="24" t="s">
        <v>139</v>
      </c>
      <c r="I434" s="24" t="s">
        <v>118</v>
      </c>
      <c r="J434" s="60" t="s">
        <v>100</v>
      </c>
      <c r="K434" s="67">
        <f>IF(K429=0,"-",SUM(K430:K433))</f>
        <v>-8.2226839871762945</v>
      </c>
      <c r="L434" s="67">
        <f t="shared" ref="L434:O434" si="129">IF(L429=0,"-",SUM(L430:L433))</f>
        <v>16.092521111809106</v>
      </c>
      <c r="M434" s="67">
        <f t="shared" si="129"/>
        <v>-3.9252584101251058</v>
      </c>
      <c r="N434" s="67">
        <f t="shared" si="129"/>
        <v>12.706773088216648</v>
      </c>
      <c r="O434" s="67">
        <f t="shared" si="129"/>
        <v>2.0679022186509202</v>
      </c>
    </row>
    <row r="435" spans="3:15" outlineLevel="1" x14ac:dyDescent="0.25">
      <c r="C435" s="60"/>
      <c r="D435" s="60"/>
      <c r="E435" s="60"/>
      <c r="F435" s="60"/>
      <c r="G435" s="60"/>
      <c r="H435" s="24"/>
      <c r="I435" s="24"/>
      <c r="J435" s="60"/>
      <c r="K435" s="67"/>
      <c r="L435" s="67"/>
      <c r="M435" s="67"/>
      <c r="N435" s="67"/>
      <c r="O435" s="67"/>
    </row>
    <row r="436" spans="3:15" ht="15.75" outlineLevel="1" x14ac:dyDescent="0.25">
      <c r="C436" s="1" t="s">
        <v>487</v>
      </c>
      <c r="D436" s="60"/>
      <c r="E436" s="60"/>
      <c r="F436" s="60"/>
      <c r="G436" s="69" t="s">
        <v>570</v>
      </c>
      <c r="H436" s="60"/>
      <c r="I436" s="24"/>
      <c r="J436" s="24"/>
      <c r="K436" s="66"/>
      <c r="L436" s="24"/>
      <c r="M436" s="24"/>
      <c r="N436" s="24"/>
      <c r="O436" s="24"/>
    </row>
    <row r="437" spans="3:15" outlineLevel="1" x14ac:dyDescent="0.25">
      <c r="C437" s="58" t="s">
        <v>504</v>
      </c>
      <c r="D437" s="58"/>
      <c r="E437" s="58"/>
      <c r="F437" s="58"/>
      <c r="G437" s="69"/>
      <c r="H437" s="69"/>
      <c r="I437" s="24"/>
      <c r="J437" s="24"/>
      <c r="K437" s="66"/>
      <c r="L437" s="24"/>
      <c r="M437" s="24"/>
      <c r="N437" s="24"/>
      <c r="O437" s="24"/>
    </row>
    <row r="438" spans="3:15" outlineLevel="1" x14ac:dyDescent="0.25">
      <c r="C438" s="60" t="s">
        <v>491</v>
      </c>
      <c r="D438" s="83" t="str">
        <f>Calc_TU_values!$D$235</f>
        <v>VDO 2022 - Final</v>
      </c>
      <c r="E438" s="24" t="s">
        <v>524</v>
      </c>
      <c r="F438" s="83" t="str">
        <f>INDEX(Inputs!$H$10:$Q$10,1,MATCH($D438,Inputs!$H$8:$Q$8,0))</f>
        <v>F-NextVDO_Input</v>
      </c>
      <c r="G438" s="59"/>
      <c r="H438" s="24" t="s">
        <v>117</v>
      </c>
      <c r="I438" s="24" t="s">
        <v>118</v>
      </c>
      <c r="J438" s="60" t="s">
        <v>101</v>
      </c>
      <c r="K438" s="67" cm="1">
        <f t="array" ref="K438">IFERROR(INDEX(Input_ForRateCalc[],MATCH($C438&amp;" - "&amp;K$336,Input_ForRateCalc[[Cost item]:[Cost item]],0),MATCH(Calc_TUV_Net_2[[#This Row],[Decision ref]:[Decision ref]],Input_ForRateCalc[#Headers],0)),"-")*TUProp_Days_2</f>
        <v>18.873479452054795</v>
      </c>
      <c r="L438" s="67" cm="1">
        <f t="array" ref="L438">IFERROR(INDEX(Input_ForRateCalc[],MATCH($C438&amp;" - "&amp;L$336,Input_ForRateCalc[[Cost item]:[Cost item]],0),MATCH(Calc_TUV_Net_2[[#This Row],[Decision ref]:[Decision ref]],Input_ForRateCalc[#Headers],0)),"-")*TUProp_Days_2</f>
        <v>27.180799999999998</v>
      </c>
      <c r="M438" s="67" cm="1">
        <f t="array" ref="M438">IFERROR(INDEX(Input_ForRateCalc[],MATCH($C438&amp;" - "&amp;M$336,Input_ForRateCalc[[Cost item]:[Cost item]],0),MATCH(Calc_TUV_Net_2[[#This Row],[Decision ref]:[Decision ref]],Input_ForRateCalc[#Headers],0)),"-")*TUProp_Days_2</f>
        <v>41.127912328767124</v>
      </c>
      <c r="N438" s="67" cm="1">
        <f t="array" ref="N438">IFERROR(INDEX(Input_ForRateCalc[],MATCH($C438&amp;" - "&amp;N$336,Input_ForRateCalc[[Cost item]:[Cost item]],0),MATCH(Calc_TUV_Net_2[[#This Row],[Decision ref]:[Decision ref]],Input_ForRateCalc[#Headers],0)),"-")*TUProp_Days_2</f>
        <v>30.572200000000002</v>
      </c>
      <c r="O438" s="67" cm="1">
        <f t="array" ref="O438">IFERROR(INDEX(Input_ForRateCalc[],MATCH($C438&amp;" - "&amp;O$336,Input_ForRateCalc[[Cost item]:[Cost item]],0),MATCH(Calc_TUV_Net_2[[#This Row],[Decision ref]:[Decision ref]],Input_ForRateCalc[#Headers],0)),"-")*TUProp_Days_2</f>
        <v>20.385599999999997</v>
      </c>
    </row>
    <row r="439" spans="3:15" outlineLevel="1" x14ac:dyDescent="0.25">
      <c r="C439" s="60" t="s">
        <v>284</v>
      </c>
      <c r="D439" s="83" t="str">
        <f>Calc_TU_values!$D$235</f>
        <v>VDO 2022 - Final</v>
      </c>
      <c r="E439" s="24" t="s">
        <v>524</v>
      </c>
      <c r="F439" s="83" t="str">
        <f>INDEX(Inputs!$H$10:$Q$10,1,MATCH($D439,Inputs!$H$8:$Q$8,0))</f>
        <v>F-NextVDO_Input</v>
      </c>
      <c r="G439" s="59"/>
      <c r="H439" s="24" t="s">
        <v>117</v>
      </c>
      <c r="I439" s="24" t="s">
        <v>118</v>
      </c>
      <c r="J439" s="60" t="s">
        <v>101</v>
      </c>
      <c r="K439" s="67" cm="1">
        <f t="array" ref="K439">IFERROR(INDEX(Input_ForRateCalc[],MATCH($C439&amp;" - "&amp;K$336,Input_ForRateCalc[[Cost item]:[Cost item]],0),MATCH(Calc_TUV_Net_2[[#This Row],[Decision ref]:[Decision ref]],Input_ForRateCalc[#Headers],0)),"-")*TUProp_Days_2</f>
        <v>10.82027397260274</v>
      </c>
      <c r="L439" s="67" cm="1">
        <f t="array" ref="L439">IFERROR(INDEX(Input_ForRateCalc[],MATCH($C439&amp;" - "&amp;L$336,Input_ForRateCalc[[Cost item]:[Cost item]],0),MATCH(Calc_TUV_Net_2[[#This Row],[Decision ref]:[Decision ref]],Input_ForRateCalc[#Headers],0)),"-")*TUProp_Days_2</f>
        <v>10.089863013698629</v>
      </c>
      <c r="M439" s="67" cm="1">
        <f t="array" ref="M439">IFERROR(INDEX(Input_ForRateCalc[],MATCH($C439&amp;" - "&amp;M$336,Input_ForRateCalc[[Cost item]:[Cost item]],0),MATCH(Calc_TUV_Net_2[[#This Row],[Decision ref]:[Decision ref]],Input_ForRateCalc[#Headers],0)),"-")*TUProp_Days_2</f>
        <v>9.2048767123287671</v>
      </c>
      <c r="N439" s="67" cm="1">
        <f t="array" ref="N439">IFERROR(INDEX(Input_ForRateCalc[],MATCH($C439&amp;" - "&amp;N$336,Input_ForRateCalc[[Cost item]:[Cost item]],0),MATCH(Calc_TUV_Net_2[[#This Row],[Decision ref]:[Decision ref]],Input_ForRateCalc[#Headers],0)),"-")*TUProp_Days_2</f>
        <v>9.8520547945205479</v>
      </c>
      <c r="O439" s="67" cm="1">
        <f t="array" ref="O439">IFERROR(INDEX(Input_ForRateCalc[],MATCH($C439&amp;" - "&amp;O$336,Input_ForRateCalc[[Cost item]:[Cost item]],0),MATCH(Calc_TUV_Net_2[[#This Row],[Decision ref]:[Decision ref]],Input_ForRateCalc[#Headers],0)),"-")*TUProp_Days_2</f>
        <v>7.2905205479452055</v>
      </c>
    </row>
    <row r="440" spans="3:15" outlineLevel="1" x14ac:dyDescent="0.25">
      <c r="C440" s="60" t="s">
        <v>327</v>
      </c>
      <c r="D440" s="83" t="str">
        <f>Calc_TU_values!$D$235</f>
        <v>VDO 2022 - Final</v>
      </c>
      <c r="E440" s="24" t="s">
        <v>524</v>
      </c>
      <c r="F440" s="83" t="str">
        <f>INDEX(Inputs!$H$10:$Q$10,1,MATCH($D440,Inputs!$H$8:$Q$8,0))</f>
        <v>F-NextVDO_Input</v>
      </c>
      <c r="G440" s="59"/>
      <c r="H440" s="24" t="s">
        <v>117</v>
      </c>
      <c r="I440" s="24" t="s">
        <v>118</v>
      </c>
      <c r="J440" s="60" t="s">
        <v>101</v>
      </c>
      <c r="K440" s="65">
        <f>IFERROR(SUM(K438:K439),"-")</f>
        <v>29.693753424657537</v>
      </c>
      <c r="L440" s="65">
        <f>IFERROR(SUM(L438:L439),"-")</f>
        <v>37.270663013698623</v>
      </c>
      <c r="M440" s="65">
        <f>IFERROR(SUM(M438:M439),"-")</f>
        <v>50.332789041095893</v>
      </c>
      <c r="N440" s="65">
        <f>IFERROR(SUM(N438:N439),"-")</f>
        <v>40.42425479452055</v>
      </c>
      <c r="O440" s="65">
        <f>IFERROR(SUM(O438:O439),"-")</f>
        <v>27.676120547945203</v>
      </c>
    </row>
    <row r="441" spans="3:15" outlineLevel="1" x14ac:dyDescent="0.25">
      <c r="C441" s="60" t="s">
        <v>480</v>
      </c>
      <c r="D441" s="83" t="str">
        <f>INDEX(Input_DecisionActual[[Decision]:[Decision]],MATCH(Calc_TU_values!$D$235,Input_DecisionActual[[VDO period]:[VDO period]],0),1)</f>
        <v>VDO 2021 - Final</v>
      </c>
      <c r="E441" s="24" t="s">
        <v>525</v>
      </c>
      <c r="F441" s="83" t="str">
        <f>IF($D441="-","-",INDEX(Inputs!$H$10:$Q$10,1,MATCH($D441,Inputs!$H$8:$Q$8,0)))</f>
        <v>F-CurrentVDO_Input</v>
      </c>
      <c r="G441" s="59"/>
      <c r="H441" s="24" t="s">
        <v>117</v>
      </c>
      <c r="I441" s="24" t="s">
        <v>118</v>
      </c>
      <c r="J441" s="60" t="s">
        <v>101</v>
      </c>
      <c r="K441" s="67" cm="1">
        <f t="array" ref="K441">IFERROR(INDEX(Input_ForRateCalc[],MATCH($C441&amp;" - "&amp;K$336,Input_ForRateCalc[[Cost item]:[Cost item]],0),MATCH(Calc_TUV_Net_2[[#This Row],[Decision ref]:[Decision ref]],Input_ForRateCalc[#Headers],0)),"-")*TUProp_Days_2</f>
        <v>18.005479452054793</v>
      </c>
      <c r="L441" s="67" cm="1">
        <f t="array" ref="L441">IFERROR(INDEX(Input_ForRateCalc[],MATCH($C441&amp;" - "&amp;L$336,Input_ForRateCalc[[Cost item]:[Cost item]],0),MATCH(Calc_TUV_Net_2[[#This Row],[Decision ref]:[Decision ref]],Input_ForRateCalc[#Headers],0)),"-")*TUProp_Days_2</f>
        <v>27.17808219178082</v>
      </c>
      <c r="M441" s="67" cm="1">
        <f t="array" ref="M441">IFERROR(INDEX(Input_ForRateCalc[],MATCH($C441&amp;" - "&amp;M$336,Input_ForRateCalc[[Cost item]:[Cost item]],0),MATCH(Calc_TUV_Net_2[[#This Row],[Decision ref]:[Decision ref]],Input_ForRateCalc[#Headers],0)),"-")*TUProp_Days_2</f>
        <v>20.169704109589041</v>
      </c>
      <c r="N441" s="67" cm="1">
        <f t="array" ref="N441">IFERROR(INDEX(Input_ForRateCalc[],MATCH($C441&amp;" - "&amp;N$336,Input_ForRateCalc[[Cost item]:[Cost item]],0),MATCH(Calc_TUV_Net_2[[#This Row],[Decision ref]:[Decision ref]],Input_ForRateCalc[#Headers],0)),"-")*TUProp_Days_2</f>
        <v>30.575342465753423</v>
      </c>
      <c r="O441" s="67" cm="1">
        <f t="array" ref="O441">IFERROR(INDEX(Input_ForRateCalc[],MATCH($C441&amp;" - "&amp;O$336,Input_ForRateCalc[[Cost item]:[Cost item]],0),MATCH(Calc_TUV_Net_2[[#This Row],[Decision ref]:[Decision ref]],Input_ForRateCalc[#Headers],0)),"-")*TUProp_Days_2</f>
        <v>13.565599999999998</v>
      </c>
    </row>
    <row r="442" spans="3:15" outlineLevel="1" x14ac:dyDescent="0.25">
      <c r="C442" s="60" t="s">
        <v>284</v>
      </c>
      <c r="D442" s="83" t="str">
        <f>INDEX(Input_DecisionActual[[Decision]:[Decision]],MATCH(Calc_TU_values!$D$235,Input_DecisionActual[[VDO period]:[VDO period]],0),1)</f>
        <v>VDO 2021 - Final</v>
      </c>
      <c r="E442" s="24" t="s">
        <v>525</v>
      </c>
      <c r="F442" s="83" t="str">
        <f>IF($D442="-","-",INDEX(Inputs!$H$10:$Q$10,1,MATCH($D442,Inputs!$H$8:$Q$8,0)))</f>
        <v>F-CurrentVDO_Input</v>
      </c>
      <c r="G442" s="59"/>
      <c r="H442" s="24" t="s">
        <v>117</v>
      </c>
      <c r="I442" s="24" t="s">
        <v>118</v>
      </c>
      <c r="J442" s="60" t="s">
        <v>101</v>
      </c>
      <c r="K442" s="67" cm="1">
        <f t="array" ref="K442">IFERROR(INDEX(Input_ForRateCalc[],MATCH($C442&amp;" - "&amp;K$336,Input_ForRateCalc[[Cost item]:[Cost item]],0),MATCH(Calc_TUV_Net_2[[#This Row],[Decision ref]:[Decision ref]],Input_ForRateCalc[#Headers],0)),"-")*TUProp_Days_2</f>
        <v>10.123835616438356</v>
      </c>
      <c r="L442" s="67" cm="1">
        <f t="array" ref="L442">IFERROR(INDEX(Input_ForRateCalc[],MATCH($C442&amp;" - "&amp;L$336,Input_ForRateCalc[[Cost item]:[Cost item]],0),MATCH(Calc_TUV_Net_2[[#This Row],[Decision ref]:[Decision ref]],Input_ForRateCalc[#Headers],0)),"-")*TUProp_Days_2</f>
        <v>11.176986301369862</v>
      </c>
      <c r="M442" s="67" cm="1">
        <f t="array" ref="M442">IFERROR(INDEX(Input_ForRateCalc[],MATCH($C442&amp;" - "&amp;M$336,Input_ForRateCalc[[Cost item]:[Cost item]],0),MATCH(Calc_TUV_Net_2[[#This Row],[Decision ref]:[Decision ref]],Input_ForRateCalc[#Headers],0)),"-")*TUProp_Days_2</f>
        <v>11.258520547945205</v>
      </c>
      <c r="N442" s="67" cm="1">
        <f t="array" ref="N442">IFERROR(INDEX(Input_ForRateCalc[],MATCH($C442&amp;" - "&amp;N$336,Input_ForRateCalc[[Cost item]:[Cost item]],0),MATCH(Calc_TUV_Net_2[[#This Row],[Decision ref]:[Decision ref]],Input_ForRateCalc[#Headers],0)),"-")*TUProp_Days_2</f>
        <v>11.126027397260273</v>
      </c>
      <c r="O442" s="67" cm="1">
        <f t="array" ref="O442">IFERROR(INDEX(Input_ForRateCalc[],MATCH($C442&amp;" - "&amp;O$336,Input_ForRateCalc[[Cost item]:[Cost item]],0),MATCH(Calc_TUV_Net_2[[#This Row],[Decision ref]:[Decision ref]],Input_ForRateCalc[#Headers],0)),"-")*TUProp_Days_2</f>
        <v>8.2927123287671236</v>
      </c>
    </row>
    <row r="443" spans="3:15" outlineLevel="1" x14ac:dyDescent="0.25">
      <c r="C443" s="60" t="s">
        <v>327</v>
      </c>
      <c r="D443" s="83" t="str">
        <f>INDEX(Input_DecisionActual[[Decision]:[Decision]],MATCH(Calc_TU_values!$D$235,Input_DecisionActual[[VDO period]:[VDO period]],0),1)</f>
        <v>VDO 2021 - Final</v>
      </c>
      <c r="E443" s="24" t="s">
        <v>525</v>
      </c>
      <c r="F443" s="83" t="str">
        <f>IF($D443="-","-",INDEX(Inputs!$H$10:$Q$10,1,MATCH($D443,Inputs!$H$8:$Q$8,0)))</f>
        <v>F-CurrentVDO_Input</v>
      </c>
      <c r="G443" s="59"/>
      <c r="H443" s="24" t="s">
        <v>117</v>
      </c>
      <c r="I443" s="24" t="s">
        <v>118</v>
      </c>
      <c r="J443" s="60" t="s">
        <v>101</v>
      </c>
      <c r="K443" s="66">
        <f>SUM(K441:K442)</f>
        <v>28.129315068493149</v>
      </c>
      <c r="L443" s="66">
        <f>SUM(L441:L442)</f>
        <v>38.355068493150682</v>
      </c>
      <c r="M443" s="66">
        <f>SUM(M441:M442)</f>
        <v>31.428224657534244</v>
      </c>
      <c r="N443" s="66">
        <f>SUM(N441:N442)</f>
        <v>41.701369863013696</v>
      </c>
      <c r="O443" s="66">
        <f>SUM(O441:O442)</f>
        <v>21.85831232876712</v>
      </c>
    </row>
    <row r="444" spans="3:15" outlineLevel="1" x14ac:dyDescent="0.25">
      <c r="C444" s="60" t="s">
        <v>328</v>
      </c>
      <c r="D444" s="24"/>
      <c r="E444" s="24"/>
      <c r="F444" s="24"/>
      <c r="G444" s="60"/>
      <c r="H444" s="24" t="s">
        <v>117</v>
      </c>
      <c r="I444" s="24" t="s">
        <v>118</v>
      </c>
      <c r="J444" s="60" t="s">
        <v>101</v>
      </c>
      <c r="K444" s="66">
        <f>IF(K443=0,"-",K440-K443)</f>
        <v>1.5644383561643878</v>
      </c>
      <c r="L444" s="66">
        <f t="shared" ref="L444:O444" si="130">IF(L443=0,"-",L440-L443)</f>
        <v>-1.0844054794520588</v>
      </c>
      <c r="M444" s="66">
        <f t="shared" si="130"/>
        <v>18.904564383561649</v>
      </c>
      <c r="N444" s="66">
        <f t="shared" si="130"/>
        <v>-1.2771150684931456</v>
      </c>
      <c r="O444" s="66">
        <f t="shared" si="130"/>
        <v>5.8178082191780831</v>
      </c>
    </row>
    <row r="445" spans="3:15" hidden="1" outlineLevel="1" x14ac:dyDescent="0.25">
      <c r="C445" s="60" t="s">
        <v>435</v>
      </c>
      <c r="D445" s="24"/>
      <c r="E445" s="24"/>
      <c r="F445" s="24"/>
      <c r="G445" s="60"/>
      <c r="H445" s="24" t="s">
        <v>117</v>
      </c>
      <c r="I445" s="24" t="s">
        <v>118</v>
      </c>
      <c r="J445" s="60" t="s">
        <v>101</v>
      </c>
      <c r="K445" s="67" t="str">
        <f>IFERROR(IF($D$313="Yes",K444*(1+WACC_adj_2),""),"-")</f>
        <v/>
      </c>
      <c r="L445" s="67" t="str">
        <f>IFERROR(IF($D$313="Yes",L444*(1+WACC_adj_2),""),"-")</f>
        <v/>
      </c>
      <c r="M445" s="67" t="str">
        <f>IFERROR(IF($D$313="Yes",M444*(1+WACC_adj_2),""),"-")</f>
        <v/>
      </c>
      <c r="N445" s="67" t="str">
        <f>IFERROR(IF($D$313="Yes",N444*(1+WACC_adj_2),""),"-")</f>
        <v/>
      </c>
      <c r="O445" s="67" t="str">
        <f>IFERROR(IF($D$313="Yes",O444*(1+WACC_adj_2),""),"-")</f>
        <v/>
      </c>
    </row>
    <row r="446" spans="3:15" outlineLevel="1" x14ac:dyDescent="0.25">
      <c r="C446" s="60" t="s">
        <v>330</v>
      </c>
      <c r="D446" s="83" t="str">
        <f>INDEX(Input_DecisionActual[[Decision]:[Decision]],MATCH(Calc_TU_values!$D$235,Input_DecisionActual[[VDO period]:[VDO period]],0),1)</f>
        <v>VDO 2021 - Final</v>
      </c>
      <c r="E446" s="24" t="s">
        <v>525</v>
      </c>
      <c r="F446" s="83" t="str">
        <f>IF($D446="-","-",INDEX(Inputs!$H$10:$Q$10,1,MATCH($D446,Inputs!$H$8:$Q$8,0)))</f>
        <v>F-CurrentVDO_Input</v>
      </c>
      <c r="G446" s="60"/>
      <c r="H446" s="24" t="s">
        <v>117</v>
      </c>
      <c r="I446" s="24" t="s">
        <v>118</v>
      </c>
      <c r="J446" s="60" t="s">
        <v>101</v>
      </c>
      <c r="K446" s="67" cm="1">
        <f t="array" ref="K446">IFERROR(SUM(K444:K445)*(INDEX(Inputs!$H$11:$Q$127,MATCH("Retail operating margin",Input_ForRateCalc[[Cost item]:[Cost item]],0),MATCH(Calc_TUV_Net_2[[#This Row],[Decision ref]:[Decision ref]],Inputs!$H$10:$Q$10,0))),"-")</f>
        <v>9.4492076712329023E-2</v>
      </c>
      <c r="L446" s="67" cm="1">
        <f t="array" ref="L446">IFERROR(SUM(L444:L445)*(INDEX(Inputs!$H$11:$Q$127,MATCH("Retail operating margin",Input_ForRateCalc[[Cost item]:[Cost item]],0),MATCH(Calc_TUV_Net_2[[#This Row],[Decision ref]:[Decision ref]],Inputs!$H$10:$Q$10,0))),"-")</f>
        <v>-6.5498090958904354E-2</v>
      </c>
      <c r="M446" s="67" cm="1">
        <f t="array" ref="M446">IFERROR(SUM(M444:M445)*(INDEX(Inputs!$H$11:$Q$127,MATCH("Retail operating margin",Input_ForRateCalc[[Cost item]:[Cost item]],0),MATCH(Calc_TUV_Net_2[[#This Row],[Decision ref]:[Decision ref]],Inputs!$H$10:$Q$10,0))),"-")</f>
        <v>1.1418356887671237</v>
      </c>
      <c r="N446" s="67" cm="1">
        <f t="array" ref="N446">IFERROR(SUM(N444:N445)*(INDEX(Inputs!$H$11:$Q$127,MATCH("Retail operating margin",Input_ForRateCalc[[Cost item]:[Cost item]],0),MATCH(Calc_TUV_Net_2[[#This Row],[Decision ref]:[Decision ref]],Inputs!$H$10:$Q$10,0))),"-")</f>
        <v>-7.7137750136985997E-2</v>
      </c>
      <c r="O446" s="67" cm="1">
        <f t="array" ref="O446">IFERROR(SUM(O444:O445)*(INDEX(Inputs!$H$11:$Q$127,MATCH("Retail operating margin",Input_ForRateCalc[[Cost item]:[Cost item]],0),MATCH(Calc_TUV_Net_2[[#This Row],[Decision ref]:[Decision ref]],Inputs!$H$10:$Q$10,0))),"-")</f>
        <v>0.35139561643835621</v>
      </c>
    </row>
    <row r="447" spans="3:15" outlineLevel="1" x14ac:dyDescent="0.25">
      <c r="C447" s="60" t="s">
        <v>436</v>
      </c>
      <c r="D447" s="24"/>
      <c r="E447" s="24"/>
      <c r="F447" s="24"/>
      <c r="G447" s="60"/>
      <c r="H447" s="24" t="s">
        <v>117</v>
      </c>
      <c r="I447" s="24" t="s">
        <v>118</v>
      </c>
      <c r="J447" s="60" t="s">
        <v>101</v>
      </c>
      <c r="K447" s="67">
        <f>IF(K443=0,"-",SUM(K444:K446)*GST)</f>
        <v>0.16589304328767168</v>
      </c>
      <c r="L447" s="67">
        <f>IF(L443=0,"-",SUM(L444:L446)*GST)</f>
        <v>-0.11499035704109631</v>
      </c>
      <c r="M447" s="67">
        <f>IF(M443=0,"-",SUM(M444:M446)*GST)</f>
        <v>2.0046400072328772</v>
      </c>
      <c r="N447" s="67">
        <f>IF(N443=0,"-",SUM(N444:N446)*GST)</f>
        <v>-0.13542528186301317</v>
      </c>
      <c r="O447" s="67">
        <f>IF(O443=0,"-",SUM(O444:O446)*GST)</f>
        <v>0.61692038356164403</v>
      </c>
    </row>
    <row r="448" spans="3:15" outlineLevel="1" x14ac:dyDescent="0.25">
      <c r="C448" s="24" t="s">
        <v>496</v>
      </c>
      <c r="D448" s="24"/>
      <c r="E448" s="24"/>
      <c r="F448" s="24"/>
      <c r="G448" s="60"/>
      <c r="H448" s="24" t="s">
        <v>117</v>
      </c>
      <c r="I448" s="24" t="s">
        <v>118</v>
      </c>
      <c r="J448" s="60" t="s">
        <v>101</v>
      </c>
      <c r="K448" s="67">
        <f>IF(K443=0,"-",SUM(K444:K447))</f>
        <v>1.8248234761643884</v>
      </c>
      <c r="L448" s="67">
        <f>IF(L443=0,"-",SUM(L444:L447))</f>
        <v>-1.2648939274520594</v>
      </c>
      <c r="M448" s="67">
        <f>IF(M443=0,"-",SUM(M444:M447))</f>
        <v>22.051040079561648</v>
      </c>
      <c r="N448" s="67">
        <f>IF(N443=0,"-",SUM(N444:N447))</f>
        <v>-1.489678100493145</v>
      </c>
      <c r="O448" s="67">
        <f>IF(O443=0,"-",SUM(O444:O447))</f>
        <v>6.7861242191780837</v>
      </c>
    </row>
    <row r="449" spans="3:15" outlineLevel="1" x14ac:dyDescent="0.25">
      <c r="C449" s="60"/>
      <c r="D449" s="60"/>
      <c r="E449" s="60"/>
      <c r="F449" s="60"/>
      <c r="H449" s="60"/>
      <c r="I449" s="24"/>
      <c r="J449" s="24"/>
      <c r="K449" s="132"/>
      <c r="L449" s="132"/>
      <c r="M449" s="132"/>
      <c r="N449" s="132"/>
      <c r="O449" s="132"/>
    </row>
    <row r="450" spans="3:15" outlineLevel="1" x14ac:dyDescent="0.25">
      <c r="C450" s="58" t="s">
        <v>505</v>
      </c>
      <c r="D450" s="60"/>
      <c r="E450" s="60"/>
      <c r="F450" s="60"/>
      <c r="G450" s="69"/>
      <c r="H450" s="60"/>
      <c r="I450" s="24"/>
      <c r="J450" s="24"/>
      <c r="K450" s="132"/>
      <c r="L450" s="132"/>
      <c r="M450" s="132"/>
      <c r="N450" s="132"/>
      <c r="O450" s="132"/>
    </row>
    <row r="451" spans="3:15" outlineLevel="1" x14ac:dyDescent="0.25">
      <c r="C451" s="60" t="s">
        <v>492</v>
      </c>
      <c r="D451" s="83" t="str">
        <f>Calc_TU_values!$D$235</f>
        <v>VDO 2022 - Final</v>
      </c>
      <c r="E451" s="24" t="s">
        <v>524</v>
      </c>
      <c r="F451" s="83" t="str">
        <f>INDEX(Inputs!$H$10:$Q$10,1,MATCH($D451,Inputs!$H$8:$Q$8,0))</f>
        <v>F-NextVDO_Input</v>
      </c>
      <c r="G451" s="60"/>
      <c r="H451" s="24" t="s">
        <v>139</v>
      </c>
      <c r="I451" s="24" t="s">
        <v>174</v>
      </c>
      <c r="J451" s="60" t="s">
        <v>101</v>
      </c>
      <c r="K451" s="67" cm="1">
        <f t="array" ref="K451">IFERROR(INDEX(Input_ForRateCalc[],MATCH($C451&amp;" - "&amp;K$336,Input_ForRateCalc[[Cost item]:[Cost item]],0),MATCH(Calc_TUV_Net_2[[#This Row],[Decision ref]:[Decision ref]],Input_ForRateCalc[#Headers],0)),"-")</f>
        <v>17.508700000000001</v>
      </c>
      <c r="L451" s="67" cm="1">
        <f t="array" ref="L451">IFERROR(INDEX(Input_ForRateCalc[],MATCH($C451&amp;" - "&amp;L$336,Input_ForRateCalc[[Cost item]:[Cost item]],0),MATCH(Calc_TUV_Net_2[[#This Row],[Decision ref]:[Decision ref]],Input_ForRateCalc[#Headers],0)),"-")</f>
        <v>13.02</v>
      </c>
      <c r="M451" s="67" cm="1">
        <f t="array" ref="M451">IFERROR(INDEX(Input_ForRateCalc[],MATCH($C451&amp;" - "&amp;M$336,Input_ForRateCalc[[Cost item]:[Cost item]],0),MATCH(Calc_TUV_Net_2[[#This Row],[Decision ref]:[Decision ref]],Input_ForRateCalc[#Headers],0)),"-")</f>
        <v>14.331</v>
      </c>
      <c r="N451" s="67" cm="1">
        <f t="array" ref="N451">IFERROR(INDEX(Input_ForRateCalc[],MATCH($C451&amp;" - "&amp;N$336,Input_ForRateCalc[[Cost item]:[Cost item]],0),MATCH(Calc_TUV_Net_2[[#This Row],[Decision ref]:[Decision ref]],Input_ForRateCalc[#Headers],0)),"-")</f>
        <v>14.75</v>
      </c>
      <c r="O451" s="67" cm="1">
        <f t="array" ref="O451">IFERROR(INDEX(Input_ForRateCalc[],MATCH($C451&amp;" - "&amp;O$336,Input_ForRateCalc[[Cost item]:[Cost item]],0),MATCH(Calc_TUV_Net_2[[#This Row],[Decision ref]:[Decision ref]],Input_ForRateCalc[#Headers],0)),"-")</f>
        <v>13.99</v>
      </c>
    </row>
    <row r="452" spans="3:15" outlineLevel="1" x14ac:dyDescent="0.25">
      <c r="C452" s="60" t="s">
        <v>493</v>
      </c>
      <c r="D452" s="83" t="str">
        <f>Calc_TU_values!$D$235</f>
        <v>VDO 2022 - Final</v>
      </c>
      <c r="E452" s="24" t="s">
        <v>524</v>
      </c>
      <c r="F452" s="83" t="str">
        <f>INDEX(Inputs!$H$10:$Q$10,1,MATCH($D452,Inputs!$H$8:$Q$8,0))</f>
        <v>F-NextVDO_Input</v>
      </c>
      <c r="G452" s="69"/>
      <c r="H452" s="24" t="s">
        <v>139</v>
      </c>
      <c r="I452" s="24" t="s">
        <v>174</v>
      </c>
      <c r="J452" s="60" t="s">
        <v>101</v>
      </c>
      <c r="K452" s="67" cm="1">
        <f t="array" ref="K452">IFERROR(INDEX(Input_ForRateCalc[],MATCH($C452&amp;" - "&amp;K$336,Input_ForRateCalc[[Cost item]:[Cost item]],0),MATCH(Calc_TUV_Net_2[[#This Row],[Decision ref]:[Decision ref]],Input_ForRateCalc[#Headers],0)),"-")</f>
        <v>4.2656000000000001</v>
      </c>
      <c r="L452" s="67" cm="1">
        <f t="array" ref="L452">IFERROR(INDEX(Input_ForRateCalc[],MATCH($C452&amp;" - "&amp;L$336,Input_ForRateCalc[[Cost item]:[Cost item]],0),MATCH(Calc_TUV_Net_2[[#This Row],[Decision ref]:[Decision ref]],Input_ForRateCalc[#Headers],0)),"-")</f>
        <v>2.89</v>
      </c>
      <c r="M452" s="67" cm="1">
        <f t="array" ref="M452">IFERROR(INDEX(Input_ForRateCalc[],MATCH($C452&amp;" - "&amp;M$336,Input_ForRateCalc[[Cost item]:[Cost item]],0),MATCH(Calc_TUV_Net_2[[#This Row],[Decision ref]:[Decision ref]],Input_ForRateCalc[#Headers],0)),"-")</f>
        <v>3.052</v>
      </c>
      <c r="N452" s="67" cm="1">
        <f t="array" ref="N452">IFERROR(INDEX(Input_ForRateCalc[],MATCH($C452&amp;" - "&amp;N$336,Input_ForRateCalc[[Cost item]:[Cost item]],0),MATCH(Calc_TUV_Net_2[[#This Row],[Decision ref]:[Decision ref]],Input_ForRateCalc[#Headers],0)),"-")</f>
        <v>3.28</v>
      </c>
      <c r="O452" s="67" cm="1">
        <f t="array" ref="O452">IFERROR(INDEX(Input_ForRateCalc[],MATCH($C452&amp;" - "&amp;O$336,Input_ForRateCalc[[Cost item]:[Cost item]],0),MATCH(Calc_TUV_Net_2[[#This Row],[Decision ref]:[Decision ref]],Input_ForRateCalc[#Headers],0)),"-")</f>
        <v>3.11</v>
      </c>
    </row>
    <row r="453" spans="3:15" outlineLevel="1" x14ac:dyDescent="0.25">
      <c r="C453" s="60" t="s">
        <v>327</v>
      </c>
      <c r="D453" s="83" t="str">
        <f>Calc_TU_values!$D$235</f>
        <v>VDO 2022 - Final</v>
      </c>
      <c r="E453" s="24" t="s">
        <v>524</v>
      </c>
      <c r="F453" s="83" t="str">
        <f>INDEX(Inputs!$H$10:$Q$10,1,MATCH($D453,Inputs!$H$8:$Q$8,0))</f>
        <v>F-NextVDO_Input</v>
      </c>
      <c r="G453" s="59"/>
      <c r="H453" s="24" t="s">
        <v>139</v>
      </c>
      <c r="I453" s="24" t="s">
        <v>174</v>
      </c>
      <c r="J453" s="60" t="s">
        <v>101</v>
      </c>
      <c r="K453" s="68">
        <f>SUMIFS(TUNet_Usage_Actual_2[Value],TUNet_Usage_Actual_2[Customer type],Calc_TUV_Net_2[[#This Row],[Customer type]],TUNet_Usage_Actual_2[Description],"Usage per customer")*SUM(
IFERROR(K451/100*SUMIFS(Input_TUNet_Props[F-NextVDO_Input],Input_TUNet_Props[Customer type],Calc_TUV_Net_2[[#This Row],[Customer type]],Input_TUNet_Props[Usage type],"Peak"),0),
IFERROR(K452/100*SUMIFS(Input_TUNet_Props[F-NextVDO_Input],Input_TUNet_Props[Customer type],Calc_TUV_Net_2[[#This Row],[Customer type]],Input_TUNet_Props[Usage type],"Off peak"),0))</f>
        <v>144.43238776990947</v>
      </c>
      <c r="L453" s="68">
        <f>SUMIFS(TUNet_Usage_Actual_2[Value],TUNet_Usage_Actual_2[Customer type],Calc_TUV_Net_2[[#This Row],[Customer type]],TUNet_Usage_Actual_2[Description],"Usage per customer")*SUM(
IFERROR(L451/100*SUMIFS(Input_TUNet_Props[F-NextVDO_Input],Input_TUNet_Props[Customer type],Calc_TUV_Net_2[[#This Row],[Customer type]],Input_TUNet_Props[Usage type],"Peak"),0),
IFERROR(L452/100*SUMIFS(Input_TUNet_Props[F-NextVDO_Input],Input_TUNet_Props[Customer type],Calc_TUV_Net_2[[#This Row],[Customer type]],Input_TUNet_Props[Usage type],"Off peak"),0))</f>
        <v>105.47264357428007</v>
      </c>
      <c r="M453" s="68">
        <f>SUMIFS(TUNet_Usage_Actual_2[Value],TUNet_Usage_Actual_2[Customer type],Calc_TUV_Net_2[[#This Row],[Customer type]],TUNet_Usage_Actual_2[Description],"Usage per customer")*SUM(
IFERROR(M451/100*SUMIFS(Input_TUNet_Props[F-NextVDO_Input],Input_TUNet_Props[Customer type],Calc_TUV_Net_2[[#This Row],[Customer type]],Input_TUNet_Props[Usage type],"Peak"),0),
IFERROR(M452/100*SUMIFS(Input_TUNet_Props[F-NextVDO_Input],Input_TUNet_Props[Customer type],Calc_TUV_Net_2[[#This Row],[Customer type]],Input_TUNet_Props[Usage type],"Off peak"),0))</f>
        <v>115.20929271007451</v>
      </c>
      <c r="N453" s="68">
        <f>SUMIFS(TUNet_Usage_Actual_2[Value],TUNet_Usage_Actual_2[Customer type],Calc_TUV_Net_2[[#This Row],[Customer type]],TUNet_Usage_Actual_2[Description],"Usage per customer")*SUM(
IFERROR(N451/100*SUMIFS(Input_TUNet_Props[F-NextVDO_Input],Input_TUNet_Props[Customer type],Calc_TUV_Net_2[[#This Row],[Customer type]],Input_TUNet_Props[Usage type],"Peak"),0),
IFERROR(N452/100*SUMIFS(Input_TUNet_Props[F-NextVDO_Input],Input_TUNet_Props[Customer type],Calc_TUV_Net_2[[#This Row],[Customer type]],Input_TUNet_Props[Usage type],"Off peak"),0))</f>
        <v>119.52814209915898</v>
      </c>
      <c r="O453" s="68">
        <f>SUMIFS(TUNet_Usage_Actual_2[Value],TUNet_Usage_Actual_2[Customer type],Calc_TUV_Net_2[[#This Row],[Customer type]],TUNet_Usage_Actual_2[Description],"Usage per customer")*SUM(
IFERROR(O451/100*SUMIFS(Input_TUNet_Props[F-NextVDO_Input],Input_TUNet_Props[Customer type],Calc_TUV_Net_2[[#This Row],[Customer type]],Input_TUNet_Props[Usage type],"Peak"),0),
IFERROR(O452/100*SUMIFS(Input_TUNet_Props[F-NextVDO_Input],Input_TUNet_Props[Customer type],Calc_TUV_Net_2[[#This Row],[Customer type]],Input_TUNet_Props[Usage type],"Off peak"),0))</f>
        <v>113.3625780128109</v>
      </c>
    </row>
    <row r="454" spans="3:15" outlineLevel="1" x14ac:dyDescent="0.25">
      <c r="C454" s="60" t="s">
        <v>481</v>
      </c>
      <c r="D454" s="83" t="str">
        <f>INDEX(Input_DecisionActual[[Decision]:[Decision]],MATCH(Calc_TU_values!$D$235,Input_DecisionActual[[VDO period]:[VDO period]],0),1)</f>
        <v>VDO 2021 - Final</v>
      </c>
      <c r="E454" s="24" t="s">
        <v>525</v>
      </c>
      <c r="F454" s="83" t="str">
        <f>IF($D454="-","-",INDEX(Inputs!$H$10:$Q$10,1,MATCH($D454,Inputs!$H$8:$Q$8,0)))</f>
        <v>F-CurrentVDO_Input</v>
      </c>
      <c r="G454" s="59"/>
      <c r="H454" s="24" t="s">
        <v>139</v>
      </c>
      <c r="I454" s="24" t="s">
        <v>118</v>
      </c>
      <c r="J454" s="60" t="s">
        <v>101</v>
      </c>
      <c r="K454" s="67" cm="1">
        <f t="array" ref="K454">IFERROR(INDEX(Input_ForRateCalc[],MATCH($C454&amp;" - "&amp;K$336,Input_ForRateCalc[[Cost item]:[Cost item]],0),MATCH(Calc_TUV_Net_2[[#This Row],[Decision ref]:[Decision ref]],Input_ForRateCalc[#Headers],0)),"-")</f>
        <v>13.9602</v>
      </c>
      <c r="L454" s="67" t="str" cm="1">
        <f t="array" ref="L454">IFERROR(INDEX(Input_ForRateCalc[],MATCH($C454&amp;" - "&amp;L$336,Input_ForRateCalc[[Cost item]:[Cost item]],0),MATCH(Calc_TUV_Net_2[[#This Row],[Decision ref]:[Decision ref]],Input_ForRateCalc[#Headers],0)),"-")</f>
        <v>-</v>
      </c>
      <c r="M454" s="67" t="str" cm="1">
        <f t="array" ref="M454">IFERROR(INDEX(Input_ForRateCalc[],MATCH($C454&amp;" - "&amp;M$336,Input_ForRateCalc[[Cost item]:[Cost item]],0),MATCH(Calc_TUV_Net_2[[#This Row],[Decision ref]:[Decision ref]],Input_ForRateCalc[#Headers],0)),"-")</f>
        <v>-</v>
      </c>
      <c r="N454" s="67" t="str" cm="1">
        <f t="array" ref="N454">IFERROR(INDEX(Input_ForRateCalc[],MATCH($C454&amp;" - "&amp;N$336,Input_ForRateCalc[[Cost item]:[Cost item]],0),MATCH(Calc_TUV_Net_2[[#This Row],[Decision ref]:[Decision ref]],Input_ForRateCalc[#Headers],0)),"-")</f>
        <v>-</v>
      </c>
      <c r="O454" s="67" t="str" cm="1">
        <f t="array" ref="O454">IFERROR(INDEX(Input_ForRateCalc[],MATCH($C454&amp;" - "&amp;O$336,Input_ForRateCalc[[Cost item]:[Cost item]],0),MATCH(Calc_TUV_Net_2[[#This Row],[Decision ref]:[Decision ref]],Input_ForRateCalc[#Headers],0)),"-")</f>
        <v>-</v>
      </c>
    </row>
    <row r="455" spans="3:15" outlineLevel="1" x14ac:dyDescent="0.25">
      <c r="C455" s="60" t="s">
        <v>482</v>
      </c>
      <c r="D455" s="83" t="str">
        <f>INDEX(Input_DecisionActual[[Decision]:[Decision]],MATCH(Calc_TU_values!$D$235,Input_DecisionActual[[VDO period]:[VDO period]],0),1)</f>
        <v>VDO 2021 - Final</v>
      </c>
      <c r="E455" s="24" t="s">
        <v>525</v>
      </c>
      <c r="F455" s="83" t="str">
        <f>IF($D455="-","-",INDEX(Inputs!$H$10:$Q$10,1,MATCH($D455,Inputs!$H$8:$Q$8,0)))</f>
        <v>F-CurrentVDO_Input</v>
      </c>
      <c r="G455" s="59"/>
      <c r="H455" s="24" t="s">
        <v>139</v>
      </c>
      <c r="I455" s="24" t="s">
        <v>174</v>
      </c>
      <c r="J455" s="60" t="s">
        <v>101</v>
      </c>
      <c r="K455" s="67" cm="1">
        <f t="array" ref="K455">IFERROR(INDEX(Input_ForRateCalc[],MATCH($C455&amp;" - "&amp;K$336,Input_ForRateCalc[[Cost item]:[Cost item]],0),MATCH(Calc_TUV_Net_2[[#This Row],[Decision ref]:[Decision ref]],Input_ForRateCalc[#Headers],0)),"-")</f>
        <v>16.934899999999999</v>
      </c>
      <c r="L455" s="67" t="str" cm="1">
        <f t="array" ref="L455">IFERROR(INDEX(Input_ForRateCalc[],MATCH($C455&amp;" - "&amp;L$336,Input_ForRateCalc[[Cost item]:[Cost item]],0),MATCH(Calc_TUV_Net_2[[#This Row],[Decision ref]:[Decision ref]],Input_ForRateCalc[#Headers],0)),"-")</f>
        <v>-</v>
      </c>
      <c r="M455" s="67" t="str" cm="1">
        <f t="array" ref="M455">IFERROR(INDEX(Input_ForRateCalc[],MATCH($C455&amp;" - "&amp;M$336,Input_ForRateCalc[[Cost item]:[Cost item]],0),MATCH(Calc_TUV_Net_2[[#This Row],[Decision ref]:[Decision ref]],Input_ForRateCalc[#Headers],0)),"-")</f>
        <v>-</v>
      </c>
      <c r="N455" s="67" t="str" cm="1">
        <f t="array" ref="N455">IFERROR(INDEX(Input_ForRateCalc[],MATCH($C455&amp;" - "&amp;N$336,Input_ForRateCalc[[Cost item]:[Cost item]],0),MATCH(Calc_TUV_Net_2[[#This Row],[Decision ref]:[Decision ref]],Input_ForRateCalc[#Headers],0)),"-")</f>
        <v>-</v>
      </c>
      <c r="O455" s="67" t="str" cm="1">
        <f t="array" ref="O455">IFERROR(INDEX(Input_ForRateCalc[],MATCH($C455&amp;" - "&amp;O$336,Input_ForRateCalc[[Cost item]:[Cost item]],0),MATCH(Calc_TUV_Net_2[[#This Row],[Decision ref]:[Decision ref]],Input_ForRateCalc[#Headers],0)),"-")</f>
        <v>-</v>
      </c>
    </row>
    <row r="456" spans="3:15" outlineLevel="1" x14ac:dyDescent="0.25">
      <c r="C456" s="60" t="s">
        <v>483</v>
      </c>
      <c r="D456" s="83" t="str">
        <f>INDEX(Input_DecisionActual[[Decision]:[Decision]],MATCH(Calc_TU_values!$D$235,Input_DecisionActual[[VDO period]:[VDO period]],0),1)</f>
        <v>VDO 2021 - Final</v>
      </c>
      <c r="E456" s="24" t="s">
        <v>525</v>
      </c>
      <c r="F456" s="83" t="str">
        <f>IF($D456="-","-",INDEX(Inputs!$H$10:$Q$10,1,MATCH($D456,Inputs!$H$8:$Q$8,0)))</f>
        <v>F-CurrentVDO_Input</v>
      </c>
      <c r="G456" s="59"/>
      <c r="H456" s="24" t="s">
        <v>139</v>
      </c>
      <c r="I456" s="24" t="s">
        <v>174</v>
      </c>
      <c r="J456" s="60" t="s">
        <v>101</v>
      </c>
      <c r="K456" s="67" t="str" cm="1">
        <f t="array" ref="K456">IFERROR(INDEX(Input_ForRateCalc[],MATCH($C456&amp;" - "&amp;K$336,Input_ForRateCalc[[Cost item]:[Cost item]],0),MATCH(Calc_TUV_Net_2[[#This Row],[Decision ref]:[Decision ref]],Input_ForRateCalc[#Headers],0)),"-")</f>
        <v>-</v>
      </c>
      <c r="L456" s="67" cm="1">
        <f t="array" ref="L456">IFERROR(INDEX(Input_ForRateCalc[],MATCH($C456&amp;" - "&amp;L$336,Input_ForRateCalc[[Cost item]:[Cost item]],0),MATCH(Calc_TUV_Net_2[[#This Row],[Decision ref]:[Decision ref]],Input_ForRateCalc[#Headers],0)),"-")</f>
        <v>7.54</v>
      </c>
      <c r="M456" s="67" cm="1">
        <f t="array" ref="M456">IFERROR(INDEX(Input_ForRateCalc[],MATCH($C456&amp;" - "&amp;M$336,Input_ForRateCalc[[Cost item]:[Cost item]],0),MATCH(Calc_TUV_Net_2[[#This Row],[Decision ref]:[Decision ref]],Input_ForRateCalc[#Headers],0)),"-")</f>
        <v>9.3260000000000005</v>
      </c>
      <c r="N456" s="67" cm="1">
        <f t="array" ref="N456">IFERROR(INDEX(Input_ForRateCalc[],MATCH($C456&amp;" - "&amp;N$336,Input_ForRateCalc[[Cost item]:[Cost item]],0),MATCH(Calc_TUV_Net_2[[#This Row],[Decision ref]:[Decision ref]],Input_ForRateCalc[#Headers],0)),"-")</f>
        <v>8.44</v>
      </c>
      <c r="O456" s="67" cm="1">
        <f t="array" ref="O456">IFERROR(INDEX(Input_ForRateCalc[],MATCH($C456&amp;" - "&amp;O$336,Input_ForRateCalc[[Cost item]:[Cost item]],0),MATCH(Calc_TUV_Net_2[[#This Row],[Decision ref]:[Decision ref]],Input_ForRateCalc[#Headers],0)),"-")</f>
        <v>9.27</v>
      </c>
    </row>
    <row r="457" spans="3:15" outlineLevel="1" x14ac:dyDescent="0.25">
      <c r="C457" s="60" t="s">
        <v>327</v>
      </c>
      <c r="D457" s="83" t="str">
        <f>INDEX(Input_DecisionActual[[Decision]:[Decision]],MATCH(Calc_TU_values!$D$235,Input_DecisionActual[[VDO period]:[VDO period]],0),1)</f>
        <v>VDO 2021 - Final</v>
      </c>
      <c r="E457" s="24" t="s">
        <v>525</v>
      </c>
      <c r="F457" s="83" t="str">
        <f>IF($D457="-","-",INDEX(Inputs!$H$10:$Q$10,1,MATCH($D457,Inputs!$H$8:$Q$8,0)))</f>
        <v>F-CurrentVDO_Input</v>
      </c>
      <c r="G457" s="59"/>
      <c r="H457" s="24" t="s">
        <v>139</v>
      </c>
      <c r="I457" s="24" t="s">
        <v>174</v>
      </c>
      <c r="J457" s="60" t="s">
        <v>101</v>
      </c>
      <c r="K457" s="68">
        <f>SUM(
IFERROR(K454/100*SUMIFS(INDEX(TUNet_Usage_PerRate_2[],0,MATCH(K$336,TUNet_Usage_PerRate_2[#Headers],0)),TUNet_Usage_PerRate_2[Customer type],Calc_TUV_Net_2[[#This Row],[Customer type]],TUNet_Usage_PerRate_2[Description],"Usage per customer - Block 1"),0),
IFERROR(K455/100*SUMIFS(INDEX(TUNet_Usage_PerRate_2[],0,MATCH(K$336,TUNet_Usage_PerRate_2[#Headers],0)),TUNet_Usage_PerRate_2[Customer type],Calc_TUV_Net_2[[#This Row],[Customer type]],TUNet_Usage_PerRate_2[Description],"Usage per customer - Balance"),0),
IFERROR(K456/100*SUMIFS(INDEX(TUNet_Usage_PerRate_2[],0,MATCH(K$336,TUNet_Usage_PerRate_2[#Headers],0)),TUNet_Usage_PerRate_2[Customer type],Calc_TUV_Net_2[[#This Row],[Customer type]],TUNet_Usage_PerRate_2[Description],"Usage per customer - Single rate"),0))</f>
        <v>197.08827399672458</v>
      </c>
      <c r="L457" s="68">
        <f>SUM(
IFERROR(L454/100*SUMIFS(INDEX(TUNet_Usage_PerRate_2[],0,MATCH(L$336,TUNet_Usage_PerRate_2[#Headers],0)),TUNet_Usage_PerRate_2[Customer type],Calc_TUV_Net_2[[#This Row],[Customer type]],TUNet_Usage_PerRate_2[Description],"Usage per customer - Block 1"),0),
IFERROR(L455/100*SUMIFS(INDEX(TUNet_Usage_PerRate_2[],0,MATCH(L$336,TUNet_Usage_PerRate_2[#Headers],0)),TUNet_Usage_PerRate_2[Customer type],Calc_TUV_Net_2[[#This Row],[Customer type]],TUNet_Usage_PerRate_2[Description],"Usage per customer - Balance"),0),
IFERROR(L456/100*SUMIFS(INDEX(TUNet_Usage_PerRate_2[],0,MATCH(L$336,TUNet_Usage_PerRate_2[#Headers],0)),TUNet_Usage_PerRate_2[Customer type],Calc_TUV_Net_2[[#This Row],[Customer type]],TUNet_Usage_PerRate_2[Description],"Usage per customer - Single rate"),0))</f>
        <v>101.25975432599562</v>
      </c>
      <c r="M457" s="68">
        <f>SUM(
IFERROR(M454/100*SUMIFS(INDEX(TUNet_Usage_PerRate_2[],0,MATCH(M$336,TUNet_Usage_PerRate_2[#Headers],0)),TUNet_Usage_PerRate_2[Customer type],Calc_TUV_Net_2[[#This Row],[Customer type]],TUNet_Usage_PerRate_2[Description],"Usage per customer - Block 1"),0),
IFERROR(M455/100*SUMIFS(INDEX(TUNet_Usage_PerRate_2[],0,MATCH(M$336,TUNet_Usage_PerRate_2[#Headers],0)),TUNet_Usage_PerRate_2[Customer type],Calc_TUV_Net_2[[#This Row],[Customer type]],TUNet_Usage_PerRate_2[Description],"Usage per customer - Balance"),0),
IFERROR(M456/100*SUMIFS(INDEX(TUNet_Usage_PerRate_2[],0,MATCH(M$336,TUNet_Usage_PerRate_2[#Headers],0)),TUNet_Usage_PerRate_2[Customer type],Calc_TUV_Net_2[[#This Row],[Customer type]],TUNet_Usage_PerRate_2[Description],"Usage per customer - Single rate"),0))</f>
        <v>125.24515501912934</v>
      </c>
      <c r="N457" s="68">
        <f>SUM(
IFERROR(N454/100*SUMIFS(INDEX(TUNet_Usage_PerRate_2[],0,MATCH(N$336,TUNet_Usage_PerRate_2[#Headers],0)),TUNet_Usage_PerRate_2[Customer type],Calc_TUV_Net_2[[#This Row],[Customer type]],TUNet_Usage_PerRate_2[Description],"Usage per customer - Block 1"),0),
IFERROR(N455/100*SUMIFS(INDEX(TUNet_Usage_PerRate_2[],0,MATCH(N$336,TUNet_Usage_PerRate_2[#Headers],0)),TUNet_Usage_PerRate_2[Customer type],Calc_TUV_Net_2[[#This Row],[Customer type]],TUNet_Usage_PerRate_2[Description],"Usage per customer - Balance"),0),
IFERROR(N456/100*SUMIFS(INDEX(TUNet_Usage_PerRate_2[],0,MATCH(N$336,TUNet_Usage_PerRate_2[#Headers],0)),TUNet_Usage_PerRate_2[Customer type],Calc_TUV_Net_2[[#This Row],[Customer type]],TUNet_Usage_PerRate_2[Description],"Usage per customer - Single rate"),0))</f>
        <v>113.34646240204282</v>
      </c>
      <c r="O457" s="68">
        <f>SUM(
IFERROR(O454/100*SUMIFS(INDEX(TUNet_Usage_PerRate_2[],0,MATCH(O$336,TUNet_Usage_PerRate_2[#Headers],0)),TUNet_Usage_PerRate_2[Customer type],Calc_TUV_Net_2[[#This Row],[Customer type]],TUNet_Usage_PerRate_2[Description],"Usage per customer - Block 1"),0),
IFERROR(O455/100*SUMIFS(INDEX(TUNet_Usage_PerRate_2[],0,MATCH(O$336,TUNet_Usage_PerRate_2[#Headers],0)),TUNet_Usage_PerRate_2[Customer type],Calc_TUV_Net_2[[#This Row],[Customer type]],TUNet_Usage_PerRate_2[Description],"Usage per customer - Balance"),0),
IFERROR(O456/100*SUMIFS(INDEX(TUNet_Usage_PerRate_2[],0,MATCH(O$336,TUNet_Usage_PerRate_2[#Headers],0)),TUNet_Usage_PerRate_2[Customer type],Calc_TUV_Net_2[[#This Row],[Customer type]],TUNet_Usage_PerRate_2[Description],"Usage per customer - Single rate"),0))</f>
        <v>124.49309318328638</v>
      </c>
    </row>
    <row r="458" spans="3:15" outlineLevel="1" x14ac:dyDescent="0.25">
      <c r="C458" s="60" t="s">
        <v>328</v>
      </c>
      <c r="D458" s="60"/>
      <c r="E458" s="60"/>
      <c r="F458" s="60"/>
      <c r="G458" s="60"/>
      <c r="H458" s="24" t="s">
        <v>139</v>
      </c>
      <c r="I458" s="24" t="s">
        <v>118</v>
      </c>
      <c r="J458" s="60" t="s">
        <v>101</v>
      </c>
      <c r="K458" s="66">
        <f>IF(K457=0,"-",K453-K457)</f>
        <v>-52.655886226815113</v>
      </c>
      <c r="L458" s="66">
        <f t="shared" ref="L458:O458" si="131">IF(L457=0,"-",L453-L457)</f>
        <v>4.2128892482844549</v>
      </c>
      <c r="M458" s="66">
        <f t="shared" si="131"/>
        <v>-10.035862309054835</v>
      </c>
      <c r="N458" s="66">
        <f t="shared" si="131"/>
        <v>6.1816796971161665</v>
      </c>
      <c r="O458" s="66">
        <f t="shared" si="131"/>
        <v>-11.130515170475476</v>
      </c>
    </row>
    <row r="459" spans="3:15" hidden="1" outlineLevel="1" x14ac:dyDescent="0.25">
      <c r="C459" s="60" t="s">
        <v>435</v>
      </c>
      <c r="D459" s="60"/>
      <c r="E459" s="60"/>
      <c r="F459" s="60"/>
      <c r="G459" s="60"/>
      <c r="H459" s="24" t="s">
        <v>139</v>
      </c>
      <c r="I459" s="24" t="s">
        <v>118</v>
      </c>
      <c r="J459" s="60" t="s">
        <v>101</v>
      </c>
      <c r="K459" s="67" t="str">
        <f>IF($D$313="Yes",K458*(1+WACC_adj_2),"")</f>
        <v/>
      </c>
      <c r="L459" s="67" t="str">
        <f>IF($D$313="Yes",L458*(1+WACC_adj_2),"")</f>
        <v/>
      </c>
      <c r="M459" s="67" t="str">
        <f>IF($D$313="Yes",M458*(1+WACC_adj_2),"")</f>
        <v/>
      </c>
      <c r="N459" s="67" t="str">
        <f>IF($D$313="Yes",N458*(1+WACC_adj_2),"")</f>
        <v/>
      </c>
      <c r="O459" s="67" t="str">
        <f>IF($D$313="Yes",O458*(1+WACC_adj_2),"")</f>
        <v/>
      </c>
    </row>
    <row r="460" spans="3:15" outlineLevel="1" x14ac:dyDescent="0.25">
      <c r="C460" s="60" t="s">
        <v>330</v>
      </c>
      <c r="D460" s="83" t="str">
        <f>INDEX(Input_DecisionActual[[Decision]:[Decision]],MATCH(Calc_TU_values!$D$235,Input_DecisionActual[[VDO period]:[VDO period]],0),1)</f>
        <v>VDO 2021 - Final</v>
      </c>
      <c r="E460" s="24" t="s">
        <v>525</v>
      </c>
      <c r="F460" s="83" t="str">
        <f>IF($D460="-","-",INDEX(Inputs!$H$10:$Q$10,1,MATCH($D460,Inputs!$H$8:$Q$8,0)))</f>
        <v>F-CurrentVDO_Input</v>
      </c>
      <c r="G460" s="60"/>
      <c r="H460" s="24" t="s">
        <v>139</v>
      </c>
      <c r="I460" s="24" t="s">
        <v>118</v>
      </c>
      <c r="J460" s="60" t="s">
        <v>101</v>
      </c>
      <c r="K460" s="67" cm="1">
        <f t="array" ref="K460">IFERROR(SUM(K458:K459)*(INDEX(Inputs!$H$11:$Q$127,MATCH("Retail operating margin",Input_ForRateCalc[[Cost item]:[Cost item]],0),MATCH(Calc_TUV_Net_2[[#This Row],[Decision ref]:[Decision ref]],Inputs!$H$10:$Q$10,0))),"-")</f>
        <v>-3.1804155280996329</v>
      </c>
      <c r="L460" s="67" cm="1">
        <f t="array" ref="L460">IFERROR(SUM(L458:L459)*(INDEX(Inputs!$H$11:$Q$127,MATCH("Retail operating margin",Input_ForRateCalc[[Cost item]:[Cost item]],0),MATCH(Calc_TUV_Net_2[[#This Row],[Decision ref]:[Decision ref]],Inputs!$H$10:$Q$10,0))),"-")</f>
        <v>0.25445851059638108</v>
      </c>
      <c r="M460" s="67" cm="1">
        <f t="array" ref="M460">IFERROR(SUM(M458:M459)*(INDEX(Inputs!$H$11:$Q$127,MATCH("Retail operating margin",Input_ForRateCalc[[Cost item]:[Cost item]],0),MATCH(Calc_TUV_Net_2[[#This Row],[Decision ref]:[Decision ref]],Inputs!$H$10:$Q$10,0))),"-")</f>
        <v>-0.60616608346691203</v>
      </c>
      <c r="N460" s="67" cm="1">
        <f t="array" ref="N460">IFERROR(SUM(N458:N459)*(INDEX(Inputs!$H$11:$Q$127,MATCH("Retail operating margin",Input_ForRateCalc[[Cost item]:[Cost item]],0),MATCH(Calc_TUV_Net_2[[#This Row],[Decision ref]:[Decision ref]],Inputs!$H$10:$Q$10,0))),"-")</f>
        <v>0.37337345370581648</v>
      </c>
      <c r="O460" s="67" cm="1">
        <f t="array" ref="O460">IFERROR(SUM(O458:O459)*(INDEX(Inputs!$H$11:$Q$127,MATCH("Retail operating margin",Input_ForRateCalc[[Cost item]:[Cost item]],0),MATCH(Calc_TUV_Net_2[[#This Row],[Decision ref]:[Decision ref]],Inputs!$H$10:$Q$10,0))),"-")</f>
        <v>-0.67228311629671877</v>
      </c>
    </row>
    <row r="461" spans="3:15" outlineLevel="1" x14ac:dyDescent="0.25">
      <c r="C461" s="60" t="s">
        <v>436</v>
      </c>
      <c r="D461" s="60"/>
      <c r="E461" s="60"/>
      <c r="F461" s="60"/>
      <c r="G461" s="60"/>
      <c r="H461" s="24" t="s">
        <v>139</v>
      </c>
      <c r="I461" s="24" t="s">
        <v>118</v>
      </c>
      <c r="J461" s="60" t="s">
        <v>101</v>
      </c>
      <c r="K461" s="67">
        <f>IF(K457=0,"-",SUM(K458:K460)*GST)</f>
        <v>-5.583630175491475</v>
      </c>
      <c r="L461" s="67">
        <f>IF(L457=0,"-",SUM(L458:L460)*GST)</f>
        <v>0.44673477588808358</v>
      </c>
      <c r="M461" s="67">
        <f>IF(M457=0,"-",SUM(M458:M460)*GST)</f>
        <v>-1.0642028392521747</v>
      </c>
      <c r="N461" s="67">
        <f>IF(N457=0,"-",SUM(N458:N460)*GST)</f>
        <v>0.65550531508219834</v>
      </c>
      <c r="O461" s="67">
        <f>IF(O457=0,"-",SUM(O458:O460)*GST)</f>
        <v>-1.1802798286772196</v>
      </c>
    </row>
    <row r="462" spans="3:15" outlineLevel="1" x14ac:dyDescent="0.25">
      <c r="C462" s="24" t="s">
        <v>497</v>
      </c>
      <c r="D462" s="60"/>
      <c r="E462" s="60"/>
      <c r="F462" s="60"/>
      <c r="H462" s="24" t="s">
        <v>139</v>
      </c>
      <c r="I462" s="24" t="s">
        <v>118</v>
      </c>
      <c r="J462" s="60" t="s">
        <v>101</v>
      </c>
      <c r="K462" s="67">
        <f>IF(K457=0,"-",SUM(K458:K461))</f>
        <v>-61.419931930406221</v>
      </c>
      <c r="L462" s="67">
        <f t="shared" ref="L462" si="132">IF(L457=0,"-",SUM(L458:L461))</f>
        <v>4.9140825347689194</v>
      </c>
      <c r="M462" s="67">
        <f t="shared" ref="M462" si="133">IF(M457=0,"-",SUM(M458:M461))</f>
        <v>-11.706231231773922</v>
      </c>
      <c r="N462" s="67">
        <f t="shared" ref="N462" si="134">IF(N457=0,"-",SUM(N458:N461))</f>
        <v>7.2105584659041817</v>
      </c>
      <c r="O462" s="67">
        <f t="shared" ref="O462" si="135">IF(O457=0,"-",SUM(O458:O461))</f>
        <v>-12.983078115449414</v>
      </c>
    </row>
    <row r="463" spans="3:15" outlineLevel="1" x14ac:dyDescent="0.25">
      <c r="C463" s="58"/>
      <c r="D463" s="58"/>
      <c r="E463" s="58"/>
      <c r="F463" s="58"/>
      <c r="G463" s="69"/>
      <c r="H463" s="69"/>
      <c r="I463" s="60"/>
      <c r="J463" s="60"/>
      <c r="K463" s="67"/>
      <c r="L463" s="60"/>
      <c r="M463" s="60"/>
      <c r="N463" s="60"/>
      <c r="O463" s="60"/>
    </row>
    <row r="464" spans="3:15" outlineLevel="1" x14ac:dyDescent="0.25"/>
    <row r="465" outlineLevel="1" x14ac:dyDescent="0.25"/>
    <row r="466" outlineLevel="1" x14ac:dyDescent="0.25"/>
    <row r="467" outlineLevel="1" x14ac:dyDescent="0.25"/>
    <row r="468" outlineLevel="1" x14ac:dyDescent="0.25"/>
    <row r="469" outlineLevel="1" x14ac:dyDescent="0.25"/>
    <row r="470" outlineLevel="1" x14ac:dyDescent="0.25"/>
    <row r="471" outlineLevel="1" x14ac:dyDescent="0.25"/>
    <row r="472" outlineLevel="1" x14ac:dyDescent="0.25"/>
  </sheetData>
  <sheetProtection algorithmName="SHA-512" hashValue="Lv9fru/a26HM6UNoghWSgXhCLKvMPLZ4ieo2AVclnv7rHucyuqG2XBo2QV68Dw8UBGhFopQ2rh5zzlUAfAclEA==" saltValue="AH2j0qLOe0RIsfqWW259Vw==" spinCount="100000" sheet="1" objects="1" scenarios="1"/>
  <mergeCells count="1">
    <mergeCell ref="A2:A3"/>
  </mergeCells>
  <phoneticPr fontId="30" type="noConversion"/>
  <dataValidations count="1">
    <dataValidation type="list" allowBlank="1" showInputMessage="1" showErrorMessage="1" sqref="G463:I463 G379:I379 G17:G23 G263:G269 H17:I17 G31:G37 H31:I31 H263:I263 G45:G51 H45:I45 G277:G283 D313 G394:G400 G406:I407 H409:I409 H277:I277 D80 G249:G255 G340:G345 G422 G380:G385 G392 G230:I230 G452:G457 H249:I249 G408:G415 G437:I437 G438:G443 D11 G378 G436 G338 G450 G424:G429 G339:I339 G354:G360 G352 G146:I146 G161:G167 G173:I174 H176:I176 G107:G112 G189 G147:G152 G159 G219:G224 G145 G204:I204 G205:G210 G119 G134 G175:G182 G105 G217 G191:G196 G106:I106 G121:G127 G367 G203 D243" xr:uid="{1AE6ACDE-CA28-4EF7-9893-0F6188807EA2}">
      <formula1>"Yes,No"</formula1>
    </dataValidation>
  </dataValidations>
  <pageMargins left="0.7" right="0.7" top="0.75" bottom="0.75" header="0.3" footer="0.3"/>
  <pageSetup paperSize="9" orientation="portrait" r:id="rId1"/>
  <ignoredErrors>
    <ignoredError sqref="K348:K350 K373:K376 K362:O365 L361:O361" calculatedColumn="1"/>
  </ignoredErrors>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3">
        <x14:dataValidation type="list" allowBlank="1" showInputMessage="1" showErrorMessage="1" xr:uid="{E815EA05-8F41-4BAC-860A-D30B0531C615}">
          <x14:formula1>
            <xm:f>'Lookup refs'!$E$8:$E$20</xm:f>
          </x14:formula1>
          <xm:sqref>I16:I57 I104:I230 F58 F231 I295:I306 I62:I73 I248:I289 I337:I463 I240:I243 I10:I12</xm:sqref>
        </x14:dataValidation>
        <x14:dataValidation type="list" allowBlank="1" showInputMessage="1" showErrorMessage="1" xr:uid="{057ACAD4-5C6C-42F9-B5A1-859B19EB380F}">
          <x14:formula1>
            <xm:f>'Lookup refs'!$G$8:$G$10</xm:f>
          </x14:formula1>
          <xm:sqref>J278:J289 J250:J262 J264:J276 J18:J30 J32:J44 J340:J377 J46:J57 G58 G231 J380:J405 J410:J435 J438:J462 J295 J301 J298 J304 J177:J202 J10:J12 J205:J229 J107:J144 J147:J172 J75:J76 J240:J243</xm:sqref>
        </x14:dataValidation>
        <x14:dataValidation type="list" allowBlank="1" showInputMessage="1" showErrorMessage="1" xr:uid="{5CD920AE-075C-4307-97A9-458228D01FB3}">
          <x14:formula1>
            <xm:f>'Lookup refs'!$C$8:$C$10</xm:f>
          </x14:formula1>
          <xm:sqref>H278:H289 H250:H262 H264:H276 H18:H30 H32:H44 H380:H405 H46:H57 E58 E231 H205:H229 H410:H435 H438:H462 H340:H377 H147:H172 H177:H202 H107:H144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86CEB-3301-4A59-8593-A05FFA1D9B81}">
  <sheetPr>
    <tabColor rgb="FF236192"/>
    <outlinePr summaryBelow="0"/>
  </sheetPr>
  <dimension ref="A1:V267"/>
  <sheetViews>
    <sheetView showGridLines="0" topLeftCell="B1" zoomScale="70" zoomScaleNormal="70" workbookViewId="0">
      <pane ySplit="3" topLeftCell="A4" activePane="bottomLeft" state="frozen"/>
      <selection pane="bottomLeft" activeCell="P162" sqref="P162"/>
    </sheetView>
  </sheetViews>
  <sheetFormatPr defaultColWidth="9.140625" defaultRowHeight="15" outlineLevelRow="1" outlineLevelCol="1" x14ac:dyDescent="0.25"/>
  <cols>
    <col min="1" max="1" width="100.7109375" hidden="1" customWidth="1" outlineLevel="1" collapsed="1"/>
    <col min="2" max="2" width="10.7109375" style="6" customWidth="1" collapsed="1"/>
    <col min="3" max="3" width="50.7109375" customWidth="1"/>
    <col min="4" max="12" width="20.7109375" customWidth="1"/>
  </cols>
  <sheetData>
    <row r="1" spans="1:12" ht="15" customHeight="1" x14ac:dyDescent="0.25">
      <c r="A1" s="1" t="s">
        <v>27</v>
      </c>
      <c r="B1" s="22"/>
      <c r="C1" s="23"/>
      <c r="D1" s="125" t="s">
        <v>273</v>
      </c>
      <c r="E1" s="97"/>
      <c r="F1" s="23"/>
      <c r="G1" s="23"/>
      <c r="H1" s="23"/>
      <c r="I1" s="23"/>
      <c r="J1" s="23"/>
      <c r="K1" s="23"/>
      <c r="L1" s="23"/>
    </row>
    <row r="2" spans="1:12" s="4" customFormat="1" ht="50.1" customHeight="1" x14ac:dyDescent="0.25">
      <c r="A2" s="293" t="s">
        <v>28</v>
      </c>
      <c r="B2" s="26"/>
      <c r="C2" s="26" t="str">
        <f>Disclaimer!$B$1</f>
        <v>VDO calculation model</v>
      </c>
      <c r="D2" s="202" t="str">
        <f>$D$5</f>
        <v>VDO 2021 - Variation final</v>
      </c>
      <c r="E2" s="202" t="str">
        <f>$D$135</f>
        <v>VDO 2022 - Final</v>
      </c>
      <c r="F2" s="26"/>
      <c r="G2" s="26"/>
      <c r="H2" s="26"/>
      <c r="I2" s="26"/>
      <c r="J2" s="26"/>
      <c r="K2" s="26"/>
      <c r="L2" s="26"/>
    </row>
    <row r="3" spans="1:12" s="4" customFormat="1" ht="30" customHeight="1" x14ac:dyDescent="0.25">
      <c r="A3" s="294"/>
      <c r="B3" s="28">
        <f ca="1">_xlfn.SHEET()</f>
        <v>14</v>
      </c>
      <c r="C3" s="27" t="s">
        <v>529</v>
      </c>
      <c r="D3" s="96">
        <f>SUM($H$44:$L$48,$H$100:$L$132)</f>
        <v>0</v>
      </c>
      <c r="E3" s="96">
        <f>SUM($H$174:$L$178,$H$230:$L$262)</f>
        <v>0</v>
      </c>
      <c r="F3" s="27"/>
      <c r="G3" s="27"/>
      <c r="H3" s="27"/>
      <c r="I3" s="27"/>
      <c r="J3" s="27"/>
      <c r="K3" s="27"/>
      <c r="L3" s="27"/>
    </row>
    <row r="4" spans="1:12" x14ac:dyDescent="0.25">
      <c r="B4"/>
    </row>
    <row r="5" spans="1:12" ht="15.75" hidden="1" x14ac:dyDescent="0.25">
      <c r="B5"/>
      <c r="C5" s="55" t="s">
        <v>109</v>
      </c>
      <c r="D5" s="42" t="str">
        <f>Calc_Rates!$D$5</f>
        <v>VDO 2021 - Variation final</v>
      </c>
    </row>
    <row r="6" spans="1:12" hidden="1" x14ac:dyDescent="0.25">
      <c r="B6"/>
    </row>
    <row r="7" spans="1:12" ht="16.5" hidden="1" thickBot="1" x14ac:dyDescent="0.3">
      <c r="B7" s="9">
        <f ca="1">MAX(B$3:B6)+0.1</f>
        <v>14.1</v>
      </c>
      <c r="C7" s="29" t="s">
        <v>528</v>
      </c>
      <c r="D7" s="29"/>
      <c r="E7" s="29"/>
      <c r="F7" s="29"/>
      <c r="G7" s="29"/>
      <c r="H7" s="29"/>
      <c r="I7" s="29"/>
      <c r="J7" s="29"/>
      <c r="K7" s="29"/>
      <c r="L7" s="29"/>
    </row>
    <row r="8" spans="1:12" ht="15.75" hidden="1" x14ac:dyDescent="0.25">
      <c r="C8" s="30"/>
    </row>
    <row r="9" spans="1:12" ht="15.75" hidden="1" x14ac:dyDescent="0.25">
      <c r="C9" s="30" t="s">
        <v>588</v>
      </c>
    </row>
    <row r="10" spans="1:12" ht="15.75" hidden="1" x14ac:dyDescent="0.25">
      <c r="C10" s="141" t="s">
        <v>54</v>
      </c>
      <c r="D10" s="141" t="s">
        <v>110</v>
      </c>
      <c r="E10" s="141" t="s">
        <v>111</v>
      </c>
      <c r="F10" s="141" t="s">
        <v>99</v>
      </c>
      <c r="G10" s="141" t="s">
        <v>53</v>
      </c>
      <c r="H10" s="142" t="s">
        <v>277</v>
      </c>
      <c r="I10" s="142" t="s">
        <v>278</v>
      </c>
      <c r="J10" s="142" t="s">
        <v>279</v>
      </c>
      <c r="K10" s="142" t="s">
        <v>280</v>
      </c>
      <c r="L10" s="142" t="s">
        <v>281</v>
      </c>
    </row>
    <row r="11" spans="1:12" hidden="1" x14ac:dyDescent="0.25">
      <c r="C11" s="24" t="str">
        <f>IF(COUNTIFS(Calc_TUV_Net_1[Pass through (Yes/No)],"Yes",Calc_TUV_Net_1[Cost item],"Anytime - "&amp;Calc_TUV_NetGroup_1[[#This Row],[Customer type]])=1,"Anytime - supply","-")</f>
        <v>Anytime - supply</v>
      </c>
      <c r="D11" s="24" t="s">
        <v>117</v>
      </c>
      <c r="E11" s="149" t="s">
        <v>118</v>
      </c>
      <c r="F11" s="24" t="s">
        <v>100</v>
      </c>
      <c r="G11" s="24" t="s">
        <v>130</v>
      </c>
      <c r="H11" s="154">
        <f>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1" s="154" cm="1">
        <f t="array" ref="I11">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1" s="154" cm="1">
        <f t="array" ref="J11">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1" s="154" cm="1">
        <f t="array" ref="K11">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1" s="154" cm="1">
        <f t="array" ref="L11">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2" spans="1:12" hidden="1" x14ac:dyDescent="0.25">
      <c r="C12" s="24" t="str">
        <f>IF(COUNTIFS(Calc_TUV_Net_1[Pass through (Yes/No)],"Yes",Calc_TUV_Net_1[Cost item],"Anytime - "&amp;Calc_TUV_NetGroup_1[[#This Row],[Customer type]])=1,"Anytime - usage","-")</f>
        <v>Anytime - usage</v>
      </c>
      <c r="D12" s="24" t="s">
        <v>139</v>
      </c>
      <c r="E12" s="149" t="s">
        <v>118</v>
      </c>
      <c r="F12" s="24" t="s">
        <v>100</v>
      </c>
      <c r="G12" s="24" t="s">
        <v>130</v>
      </c>
      <c r="H12" s="154" cm="1">
        <f t="array" ref="H12">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2" s="154" cm="1">
        <f t="array" ref="I12">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2" s="154" cm="1">
        <f t="array" ref="J12">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2" s="154" cm="1">
        <f t="array" ref="K12">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2" s="154" cm="1">
        <f t="array" ref="L12">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3" spans="1:12" hidden="1" x14ac:dyDescent="0.25">
      <c r="C13" s="24" t="str">
        <f>IF(COUNTIFS(Calc_TUV_Net_1[Pass through (Yes/No)],"Yes",Calc_TUV_Net_1[Cost item],"Anytime - "&amp;Calc_TUV_NetGroup_1[[#This Row],[Customer type]])=1,"Anytime - supply","-")</f>
        <v>Anytime - supply</v>
      </c>
      <c r="D13" s="24" t="s">
        <v>117</v>
      </c>
      <c r="E13" s="149" t="s">
        <v>118</v>
      </c>
      <c r="F13" s="24" t="s">
        <v>101</v>
      </c>
      <c r="G13" s="24" t="s">
        <v>130</v>
      </c>
      <c r="H13" s="154" cm="1">
        <f t="array" ref="H13">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3" s="154" cm="1">
        <f t="array" ref="I13">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3" s="154" cm="1">
        <f t="array" ref="J13">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3" s="154" cm="1">
        <f t="array" ref="K13">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3" s="154" cm="1">
        <f t="array" ref="L13">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4" spans="1:12" hidden="1" x14ac:dyDescent="0.25">
      <c r="C14" s="24" t="str">
        <f>IF(COUNTIFS(Calc_TUV_Net_1[Pass through (Yes/No)],"Yes",Calc_TUV_Net_1[Cost item],"Anytime - "&amp;Calc_TUV_NetGroup_1[[#This Row],[Customer type]])=1,"Anytime - usage","-")</f>
        <v>Anytime - usage</v>
      </c>
      <c r="D14" s="24" t="s">
        <v>139</v>
      </c>
      <c r="E14" s="149" t="s">
        <v>118</v>
      </c>
      <c r="F14" s="24" t="s">
        <v>101</v>
      </c>
      <c r="G14" s="24" t="s">
        <v>130</v>
      </c>
      <c r="H14" s="154" cm="1">
        <f t="array" ref="H14">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4" s="154" cm="1">
        <f t="array" ref="I14">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4" s="154" cm="1">
        <f t="array" ref="J14">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4" s="154" cm="1">
        <f t="array" ref="K14">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4" s="154" cm="1">
        <f t="array" ref="L14">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5" spans="1:12" hidden="1" x14ac:dyDescent="0.25">
      <c r="C15" s="24" t="str">
        <f>IF(COUNTIFS(Calc_TUV_Net_1[Pass through (Yes/No)],"Yes",Calc_TUV_Net_1[Cost item],"Controlled load cost - "&amp;Calc_TUV_NetGroup_1[[#This Row],[Customer type]])=1,"Controlled load - usage","-")</f>
        <v>Controlled load - usage</v>
      </c>
      <c r="D15" s="24" t="s">
        <v>139</v>
      </c>
      <c r="E15" s="149" t="s">
        <v>118</v>
      </c>
      <c r="F15" s="24" t="s">
        <v>100</v>
      </c>
      <c r="G15" s="24" t="s">
        <v>130</v>
      </c>
      <c r="H15" s="154" cm="1">
        <f t="array" ref="H15">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5" s="154" cm="1">
        <f t="array" ref="I15">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5" s="154" cm="1">
        <f t="array" ref="J15">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5" s="154" cm="1">
        <f t="array" ref="K15">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5" s="154" cm="1">
        <f t="array" ref="L15">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6" spans="1:12" hidden="1" x14ac:dyDescent="0.25">
      <c r="C16" s="24" t="str">
        <f>IF(COUNTIFS(Calc_TUV_Net_1[Pass through (Yes/No)],"Yes",Calc_TUV_Net_1[Cost item],"TOU - "&amp;Calc_TUV_NetGroup_1[[#This Row],[Customer type]])=1,"TOU - supply","-")</f>
        <v>TOU - supply</v>
      </c>
      <c r="D16" s="24" t="s">
        <v>117</v>
      </c>
      <c r="E16" s="149" t="s">
        <v>118</v>
      </c>
      <c r="F16" s="24" t="s">
        <v>100</v>
      </c>
      <c r="G16" s="24" t="s">
        <v>130</v>
      </c>
      <c r="H16" s="154" cm="1">
        <f t="array" ref="H16">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6" s="154" cm="1">
        <f t="array" ref="I16">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6" s="154" cm="1">
        <f t="array" ref="J16">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6" s="154" cm="1">
        <f t="array" ref="K16">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6" s="154" cm="1">
        <f t="array" ref="L16">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7" spans="3:12" hidden="1" x14ac:dyDescent="0.25">
      <c r="C17" s="24" t="str">
        <f>IF(COUNTIFS(Calc_TUV_Net_1[Pass through (Yes/No)],"Yes",Calc_TUV_Net_1[Cost item],"TOU - "&amp;Calc_TUV_NetGroup_1[[#This Row],[Customer type]])=1,"TOU - usage","-")</f>
        <v>TOU - usage</v>
      </c>
      <c r="D17" s="24" t="s">
        <v>139</v>
      </c>
      <c r="E17" s="149" t="s">
        <v>118</v>
      </c>
      <c r="F17" s="24" t="s">
        <v>100</v>
      </c>
      <c r="G17" s="24" t="s">
        <v>130</v>
      </c>
      <c r="H17" s="154" cm="1">
        <f t="array" ref="H17">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7" s="154" cm="1">
        <f t="array" ref="I17">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7" s="154" cm="1">
        <f t="array" ref="J17">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7" s="154" cm="1">
        <f t="array" ref="K17">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7" s="154" cm="1">
        <f t="array" ref="L17">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8" spans="3:12" hidden="1" x14ac:dyDescent="0.25">
      <c r="C18" s="24" t="str">
        <f>IF(COUNTIFS(Calc_TUV_Net_1[Pass through (Yes/No)],"Yes",Calc_TUV_Net_1[Cost item],"TOU - "&amp;Calc_TUV_NetGroup_1[[#This Row],[Customer type]])=1,"TOU - supply","-")</f>
        <v>TOU - supply</v>
      </c>
      <c r="D18" s="24" t="s">
        <v>117</v>
      </c>
      <c r="E18" s="149" t="s">
        <v>118</v>
      </c>
      <c r="F18" s="24" t="s">
        <v>101</v>
      </c>
      <c r="G18" s="24" t="s">
        <v>130</v>
      </c>
      <c r="H18" s="154" cm="1">
        <f t="array" ref="H18">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8" s="154" cm="1">
        <f t="array" ref="I18">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8" s="154" cm="1">
        <f t="array" ref="J18">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8" s="154" cm="1">
        <f t="array" ref="K18">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8" s="154" cm="1">
        <f t="array" ref="L18">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9" spans="3:12" hidden="1" x14ac:dyDescent="0.25">
      <c r="C19" s="24" t="str">
        <f>IF(COUNTIFS(Calc_TUV_Net_1[Pass through (Yes/No)],"Yes",Calc_TUV_Net_1[Cost item],"TOU - "&amp;Calc_TUV_NetGroup_1[[#This Row],[Customer type]])=1,"TOU - usage","-")</f>
        <v>TOU - usage</v>
      </c>
      <c r="D19" s="24" t="s">
        <v>139</v>
      </c>
      <c r="E19" s="149" t="s">
        <v>118</v>
      </c>
      <c r="F19" s="24" t="s">
        <v>101</v>
      </c>
      <c r="G19" s="24" t="s">
        <v>130</v>
      </c>
      <c r="H19" s="154" cm="1">
        <f t="array" ref="H19">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9" s="154" cm="1">
        <f t="array" ref="I19">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9" s="154" cm="1">
        <f t="array" ref="J19">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9" s="154" cm="1">
        <f t="array" ref="K19">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9" s="154" cm="1">
        <f t="array" ref="L19">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20" spans="3:12" ht="15.75" hidden="1" x14ac:dyDescent="0.25">
      <c r="C20" s="30"/>
    </row>
    <row r="21" spans="3:12" ht="15.75" hidden="1" x14ac:dyDescent="0.25">
      <c r="C21" s="55" t="s">
        <v>513</v>
      </c>
      <c r="D21" s="83" t="str">
        <f>INDEX(Inputs!$H$10:$Q$10,1,MATCH($D$5,Inputs!$H$8:$Q$8,0))</f>
        <v>VF-CurrentVDO_Input</v>
      </c>
      <c r="E21" s="189" t="str">
        <f>INDEX(Input_TUNet_Dates[[F-CurrentVDO_Input]:[F-NextVDO_Input]],MATCH(Calc_TU_rates!C21,Input_TUNet_Dates[Item],0),MATCH(Calc_TU_rates!D21,Input_TUNet_Dates[[#Headers],[F-CurrentVDO_Input]:[F-NextVDO_Input]],0))</f>
        <v>-</v>
      </c>
    </row>
    <row r="22" spans="3:12" ht="15.75" hidden="1" x14ac:dyDescent="0.25">
      <c r="C22" s="55" t="s">
        <v>514</v>
      </c>
      <c r="D22" s="83" t="str">
        <f>INDEX(Inputs!$H$10:$Q$10,1,MATCH($D$5,Inputs!$H$8:$Q$8,0))</f>
        <v>VF-CurrentVDO_Input</v>
      </c>
      <c r="E22" s="189" t="str">
        <f>INDEX(Input_TUNet_Dates[[F-CurrentVDO_Input]:[F-NextVDO_Input]],MATCH(Calc_TU_rates!C22,Input_TUNet_Dates[Item],0),MATCH(Calc_TU_rates!D22,Input_TUNet_Dates[[#Headers],[F-CurrentVDO_Input]:[F-NextVDO_Input]],0))</f>
        <v>-</v>
      </c>
    </row>
    <row r="23" spans="3:12" ht="15.75" hidden="1" x14ac:dyDescent="0.25">
      <c r="C23" s="30"/>
    </row>
    <row r="24" spans="3:12" ht="15.75" hidden="1" x14ac:dyDescent="0.25">
      <c r="C24" s="55" t="s">
        <v>574</v>
      </c>
      <c r="E24" s="229" t="str">
        <f>IFERROR(_xlfn.DAYS(E22,E21)+1,"-")</f>
        <v>-</v>
      </c>
    </row>
    <row r="25" spans="3:12" ht="15.75" hidden="1" x14ac:dyDescent="0.25">
      <c r="C25" s="30"/>
    </row>
    <row r="26" spans="3:12" ht="15.75" hidden="1" x14ac:dyDescent="0.25">
      <c r="C26" s="30" t="s">
        <v>589</v>
      </c>
    </row>
    <row r="27" spans="3:12" ht="15.75" hidden="1" x14ac:dyDescent="0.25">
      <c r="C27" s="44" t="s">
        <v>479</v>
      </c>
      <c r="D27" s="141" t="s">
        <v>110</v>
      </c>
      <c r="E27" s="141" t="s">
        <v>111</v>
      </c>
      <c r="F27" s="141" t="s">
        <v>99</v>
      </c>
      <c r="G27" s="141" t="s">
        <v>53</v>
      </c>
      <c r="H27" s="142" t="s">
        <v>277</v>
      </c>
      <c r="I27" s="142" t="s">
        <v>278</v>
      </c>
      <c r="J27" s="142" t="s">
        <v>279</v>
      </c>
      <c r="K27" s="142" t="s">
        <v>280</v>
      </c>
      <c r="L27" s="142" t="s">
        <v>281</v>
      </c>
    </row>
    <row r="28" spans="3:12" hidden="1" collapsed="1" x14ac:dyDescent="0.25">
      <c r="C28" s="24" t="s">
        <v>515</v>
      </c>
      <c r="D28" s="24" t="s">
        <v>117</v>
      </c>
      <c r="E28" s="149" t="s">
        <v>118</v>
      </c>
      <c r="F28" s="24" t="s">
        <v>100</v>
      </c>
      <c r="G28" s="24" t="s">
        <v>130</v>
      </c>
      <c r="H28" s="155" t="str">
        <f>IFERROR(
(SUMIFS(Calc_TUV_NetGroup_1[Ausnet],
Calc_TUV_NetGroup_1[Cost item],Calc_TUR_Net_1[[#This Row],[Rate type]]&amp;" - supply",
Calc_TUV_NetGroup_1[Customer type],Calc_TUR_Net_1[[#This Row],[Customer type]],
Calc_TUV_NetGroup_1[Cost element],Calc_TUR_Net_1[[#This Row],[Cost element]])+
SUMIFS(Calc_TUV_NetGroup_1[Ausnet],
Calc_TUV_NetGroup_1[Cost item],Calc_TUR_Net_1[[#This Row],[Rate type]]&amp;" - usage",
Calc_TUV_NetGroup_1[Customer type],Calc_TUR_Net_1[[#This Row],[Customer type]],
Calc_TUV_NetGroup_1[Cost element],Calc_TUR_Net_1[[#This Row],[Cost element]]))
/$E$24,"-")</f>
        <v>-</v>
      </c>
      <c r="I28" s="155" t="str" cm="1">
        <f t="array" ref="I28">IFERROR(
(SUMIFS(Calc_TUV_NetGroup_1[Citipower],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SUMIFS(Calc_TUV_NetGroup_1[Citipower],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J28" s="155" t="str" cm="1">
        <f t="array" ref="J28">IFERROR(
(SUMIFS(Calc_TUV_NetGroup_1[Jemena],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SUMIFS(Calc_TUV_NetGroup_1[Jemena],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K28" s="155" t="str" cm="1">
        <f t="array" ref="K28">IFERROR(
(SUMIFS(Calc_TUV_NetGroup_1[Powercor],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SUMIFS(Calc_TUV_NetGroup_1[Powercor],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L28" s="155" t="str" cm="1">
        <f t="array" ref="L28">IFERROR(
(SUMIFS(Calc_TUV_NetGroup_1[United Energy],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SUMIFS(Calc_TUV_NetGroup_1[United Energy],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row>
    <row r="29" spans="3:12" hidden="1" x14ac:dyDescent="0.25">
      <c r="C29" s="24" t="s">
        <v>515</v>
      </c>
      <c r="D29" s="24" t="s">
        <v>117</v>
      </c>
      <c r="E29" s="149" t="s">
        <v>118</v>
      </c>
      <c r="F29" s="24" t="s">
        <v>101</v>
      </c>
      <c r="G29" s="24" t="s">
        <v>130</v>
      </c>
      <c r="H29" s="155" t="str" cm="1">
        <f t="array" ref="H29">IFERROR(
(SUMIFS(Calc_TUV_NetGroup_1[Ausnet],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SUMIFS(Calc_TUV_NetGroup_1[Ausnet],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I29" s="155" t="str" cm="1">
        <f t="array" ref="I29">IFERROR(
(SUMIFS(Calc_TUV_NetGroup_1[Citipower],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SUMIFS(Calc_TUV_NetGroup_1[Citipower],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J29" s="155" t="str" cm="1">
        <f t="array" ref="J29">IFERROR(
(SUMIFS(Calc_TUV_NetGroup_1[Jemena],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SUMIFS(Calc_TUV_NetGroup_1[Jemena],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K29" s="155" t="str" cm="1">
        <f t="array" ref="K29">IFERROR(
(SUMIFS(Calc_TUV_NetGroup_1[Powercor],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SUMIFS(Calc_TUV_NetGroup_1[Powercor],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L29" s="155" t="str" cm="1">
        <f t="array" ref="L29">IFERROR(
(SUMIFS(Calc_TUV_NetGroup_1[United Energy],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SUMIFS(Calc_TUV_NetGroup_1[United Energy],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row>
    <row r="30" spans="3:12" hidden="1" x14ac:dyDescent="0.25">
      <c r="C30" s="24" t="s">
        <v>516</v>
      </c>
      <c r="D30" s="24" t="s">
        <v>117</v>
      </c>
      <c r="E30" s="149" t="s">
        <v>118</v>
      </c>
      <c r="F30" s="24" t="s">
        <v>100</v>
      </c>
      <c r="G30" s="24" t="s">
        <v>130</v>
      </c>
      <c r="H30" s="155" t="str" cm="1">
        <f t="array" ref="H30">IFERROR(
(SUMIFS(Calc_TUV_NetGroup_1[Ausnet],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SUMIFS(Calc_TUV_NetGroup_1[Ausnet],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I30" s="155" t="str" cm="1">
        <f t="array" ref="I30">IFERROR(
(SUMIFS(Calc_TUV_NetGroup_1[Citipower],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SUMIFS(Calc_TUV_NetGroup_1[Citipower],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J30" s="155" t="str" cm="1">
        <f t="array" ref="J30">IFERROR(
(SUMIFS(Calc_TUV_NetGroup_1[Jemena],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SUMIFS(Calc_TUV_NetGroup_1[Jemena],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K30" s="155" t="str" cm="1">
        <f t="array" ref="K30">IFERROR(
(SUMIFS(Calc_TUV_NetGroup_1[Powercor],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SUMIFS(Calc_TUV_NetGroup_1[Powercor],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L30" s="155" t="str" cm="1">
        <f t="array" ref="L30">IFERROR(
(SUMIFS(Calc_TUV_NetGroup_1[United Energy],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SUMIFS(Calc_TUV_NetGroup_1[United Energy],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row>
    <row r="31" spans="3:12" hidden="1" x14ac:dyDescent="0.25">
      <c r="C31" s="24" t="s">
        <v>516</v>
      </c>
      <c r="D31" s="24" t="s">
        <v>117</v>
      </c>
      <c r="E31" s="149" t="s">
        <v>118</v>
      </c>
      <c r="F31" s="24" t="s">
        <v>101</v>
      </c>
      <c r="G31" s="24" t="s">
        <v>130</v>
      </c>
      <c r="H31" s="155" t="str" cm="1">
        <f t="array" ref="H31">IFERROR(
(SUMIFS(Calc_TUV_NetGroup_1[Ausnet],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SUMIFS(Calc_TUV_NetGroup_1[Ausnet],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I31" s="155" t="str" cm="1">
        <f t="array" ref="I31">IFERROR(
(SUMIFS(Calc_TUV_NetGroup_1[Citipower],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SUMIFS(Calc_TUV_NetGroup_1[Citipower],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J31" s="155" t="str" cm="1">
        <f t="array" ref="J31">IFERROR(
(SUMIFS(Calc_TUV_NetGroup_1[Jemena],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SUMIFS(Calc_TUV_NetGroup_1[Jemena],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K31" s="155" t="str" cm="1">
        <f t="array" ref="K31">IFERROR(
(SUMIFS(Calc_TUV_NetGroup_1[Powercor],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SUMIFS(Calc_TUV_NetGroup_1[Powercor],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L31" s="155" t="str" cm="1">
        <f t="array" ref="L31">IFERROR(
(SUMIFS(Calc_TUV_NetGroup_1[United Energy],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SUMIFS(Calc_TUV_NetGroup_1[United Energy],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row>
    <row r="32" spans="3:12" hidden="1" x14ac:dyDescent="0.25">
      <c r="C32" s="148"/>
      <c r="D32" s="148"/>
      <c r="E32" s="150"/>
      <c r="F32" s="148"/>
      <c r="G32" s="148"/>
      <c r="H32" s="148"/>
      <c r="I32" s="148"/>
      <c r="J32" s="148"/>
      <c r="K32" s="148"/>
      <c r="L32" s="148"/>
    </row>
    <row r="33" spans="3:12" ht="15.75" hidden="1" x14ac:dyDescent="0.25">
      <c r="C33" s="55" t="s">
        <v>655</v>
      </c>
      <c r="E33" s="239" t="str">
        <f>IFERROR((_xlfn.DAYS(E22,E21)+1)/DiY,"-")</f>
        <v>-</v>
      </c>
    </row>
    <row r="34" spans="3:12" ht="15.75" hidden="1" x14ac:dyDescent="0.25">
      <c r="C34" s="55" t="s">
        <v>654</v>
      </c>
      <c r="E34" s="240" t="str">
        <f>IFERROR(
INDEX(Input_Usage[[F-CurrentVDO_Input]:[F-NextVDO_Input]],MATCH("Residential - medium - Controlled load",Input_Usage[Ref],0),MATCH($D$5,Inputs!$I$133:$M$133,0))*E33,"-")</f>
        <v>-</v>
      </c>
      <c r="G34" s="237"/>
    </row>
    <row r="35" spans="3:12" ht="15.75" hidden="1" x14ac:dyDescent="0.25">
      <c r="C35" s="55" t="s">
        <v>727</v>
      </c>
      <c r="D35" s="83" t="str">
        <f>INDEX(Inputs!$H$10:$Q$10,1,MATCH($D$5,Inputs!$H$8:$Q$8,0))</f>
        <v>VF-CurrentVDO_Input</v>
      </c>
      <c r="E35" s="239" t="str" cm="1">
        <f t="array" ref="E35">IFERROR(INDEX(Input_TUNet_Actual[],MATCH(1,(Input_TUNet_Actual[Item]="Total usage - Controlled Load")*(Input_TUNet_Actual[Customer type]="Residential")*(Input_TUNet_Actual[Month]="January 2021 to June 2021"),0),MATCH($D$35,Input_TUNet_Actual[#Headers],0))
/INDEX(Input_TUNet_Actual[],MATCH(1,(Input_TUNet_Actual[Item]="Total usage - Controlled Load")*(Input_TUNet_Actual[Customer type]="Residential")*(Input_TUNet_Actual[Month]="July 2020 to June 2021"),0),MATCH($D$35,Input_TUNet_Actual[#Headers],0)),"-")</f>
        <v>-</v>
      </c>
      <c r="G35" s="237"/>
    </row>
    <row r="36" spans="3:12" ht="15.75" hidden="1" x14ac:dyDescent="0.25">
      <c r="C36" s="55" t="s">
        <v>728</v>
      </c>
      <c r="E36" s="240" t="str">
        <f>IFERROR(
INDEX(Input_Usage[[F-CurrentVDO_Input]:[F-NextVDO_Input]],MATCH("Residential - medium - Controlled load",Input_Usage[Ref],0),MATCH(Calc_TU_rates!$D$135,Inputs!$I$133:$M$133,0))*E35,"-")</f>
        <v>-</v>
      </c>
      <c r="G36" s="237"/>
    </row>
    <row r="37" spans="3:12" hidden="1" x14ac:dyDescent="0.25"/>
    <row r="38" spans="3:12" ht="15.75" hidden="1" x14ac:dyDescent="0.25">
      <c r="C38" s="30" t="s">
        <v>653</v>
      </c>
    </row>
    <row r="39" spans="3:12" ht="15.75" hidden="1" x14ac:dyDescent="0.25">
      <c r="C39" s="44" t="s">
        <v>479</v>
      </c>
      <c r="D39" s="141" t="s">
        <v>110</v>
      </c>
      <c r="E39" s="141" t="s">
        <v>111</v>
      </c>
      <c r="F39" s="141" t="s">
        <v>99</v>
      </c>
      <c r="G39" s="141" t="s">
        <v>53</v>
      </c>
      <c r="H39" s="142" t="s">
        <v>277</v>
      </c>
      <c r="I39" s="142" t="s">
        <v>278</v>
      </c>
      <c r="J39" s="142" t="s">
        <v>279</v>
      </c>
      <c r="K39" s="142" t="s">
        <v>280</v>
      </c>
      <c r="L39" s="142" t="s">
        <v>281</v>
      </c>
    </row>
    <row r="40" spans="3:12" hidden="1" x14ac:dyDescent="0.25">
      <c r="C40" s="24" t="s">
        <v>296</v>
      </c>
      <c r="D40" s="24" t="s">
        <v>139</v>
      </c>
      <c r="E40" s="149" t="s">
        <v>118</v>
      </c>
      <c r="F40" s="24" t="s">
        <v>100</v>
      </c>
      <c r="G40" s="24" t="s">
        <v>130</v>
      </c>
      <c r="H40" s="155" t="str" cm="1">
        <f t="array" ref="H40">IFERROR(
(SUMIFS(Calc_TUV_NetGroup_1[Ausnet],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SUMIFS(Calc_TUV_NetGroup_1[Ausnet],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f>
        <v>-</v>
      </c>
      <c r="I40" s="155" t="str" cm="1">
        <f t="array" ref="I40">IFERROR(
(SUMIFS(Calc_TUV_NetGroup_1[Citipower],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SUMIFS(Calc_TUV_NetGroup_1[Citipower],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f>
        <v>-</v>
      </c>
      <c r="J40" s="155" t="str" cm="1">
        <f t="array" ref="J40">IFERROR(
(SUMIFS(Calc_TUV_NetGroup_1[Jemena],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SUMIFS(Calc_TUV_NetGroup_1[Jemena],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f>
        <v>-</v>
      </c>
      <c r="K40" s="155" t="str" cm="1">
        <f t="array" ref="K40">IFERROR(
(SUMIFS(Calc_TUV_NetGroup_1[Powercor],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SUMIFS(Calc_TUV_NetGroup_1[Powercor],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f>
        <v>-</v>
      </c>
      <c r="L40" s="155" t="str" cm="1">
        <f t="array" ref="L40">IFERROR(
(SUMIFS(Calc_TUV_NetGroup_1[United Energy],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SUMIFS(Calc_TUV_NetGroup_1[United Energy],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f>
        <v>-</v>
      </c>
    </row>
    <row r="41" spans="3:12" hidden="1" x14ac:dyDescent="0.25">
      <c r="C41" s="148"/>
      <c r="D41" s="148"/>
      <c r="E41" s="150"/>
      <c r="F41" s="148"/>
      <c r="G41" s="148"/>
      <c r="H41" s="148"/>
      <c r="I41" s="148"/>
      <c r="J41" s="148"/>
      <c r="K41" s="148"/>
      <c r="L41" s="148"/>
    </row>
    <row r="42" spans="3:12" ht="15.75" hidden="1" x14ac:dyDescent="0.25">
      <c r="C42" s="30" t="s">
        <v>25</v>
      </c>
    </row>
    <row r="43" spans="3:12" ht="15.75" hidden="1" x14ac:dyDescent="0.25">
      <c r="C43" s="140" t="s">
        <v>479</v>
      </c>
      <c r="D43" s="140" t="s">
        <v>110</v>
      </c>
      <c r="E43" s="140" t="s">
        <v>111</v>
      </c>
      <c r="F43" s="140" t="s">
        <v>99</v>
      </c>
      <c r="G43" s="160" t="s">
        <v>53</v>
      </c>
      <c r="H43" s="158" t="s">
        <v>277</v>
      </c>
      <c r="I43" s="158" t="s">
        <v>278</v>
      </c>
      <c r="J43" s="158" t="s">
        <v>279</v>
      </c>
      <c r="K43" s="158" t="s">
        <v>280</v>
      </c>
      <c r="L43" s="158" t="s">
        <v>281</v>
      </c>
    </row>
    <row r="44" spans="3:12" ht="15.75" hidden="1" x14ac:dyDescent="0.25">
      <c r="C44" s="24" t="s">
        <v>515</v>
      </c>
      <c r="D44" s="24" t="s">
        <v>117</v>
      </c>
      <c r="E44" s="24" t="s">
        <v>118</v>
      </c>
      <c r="F44" s="24" t="s">
        <v>100</v>
      </c>
      <c r="G44" s="24" t="s">
        <v>130</v>
      </c>
      <c r="H44" s="94" t="str">
        <f>IFERROR(
IF(
(SUMIFS(Calc_TUV_NetGroup_1[Ausnet],Calc_TUV_NetGroup_1[[Customer type]:[Customer type]],$F44,Calc_TUV_NetGroup_1[[Cost item]:[Cost item]],$C44&amp;" - supply")+
SUMIFS(Calc_TUV_NetGroup_1[Ausnet],Calc_TUV_NetGroup_1[[Customer type]:[Customer type]],$F44,Calc_TUV_NetGroup_1[[Cost item]:[Cost item]],$C44&amp;" - usage"))/
IF($C44&lt;&gt;"Controlled load",$E$24,$E$34)=H28,
0,1),"-")</f>
        <v>-</v>
      </c>
      <c r="I44" s="94" t="str">
        <f>IFERROR(
IF(
(SUMIFS(Calc_TUV_NetGroup_1[Citipower],Calc_TUV_NetGroup_1[[Customer type]:[Customer type]],$F44,Calc_TUV_NetGroup_1[[Cost item]:[Cost item]],$C44&amp;" - supply")+
SUMIFS(Calc_TUV_NetGroup_1[Citipower],Calc_TUV_NetGroup_1[[Customer type]:[Customer type]],$F44,Calc_TUV_NetGroup_1[[Cost item]:[Cost item]],$C44&amp;" - usage"))/
IF($C44&lt;&gt;"Controlled load",$E$24,$E$34)=I28,
0,1),"-")</f>
        <v>-</v>
      </c>
      <c r="J44" s="94" t="str">
        <f>IFERROR(
IF(
(SUMIFS(Calc_TUV_NetGroup_1[Jemena],Calc_TUV_NetGroup_1[[Customer type]:[Customer type]],$F44,Calc_TUV_NetGroup_1[[Cost item]:[Cost item]],$C44&amp;" - supply")+
SUMIFS(Calc_TUV_NetGroup_1[Jemena],Calc_TUV_NetGroup_1[[Customer type]:[Customer type]],$F44,Calc_TUV_NetGroup_1[[Cost item]:[Cost item]],$C44&amp;" - usage"))/
IF($C44&lt;&gt;"Controlled load",$E$24,$E$34)=J28,
0,1),"-")</f>
        <v>-</v>
      </c>
      <c r="K44" s="94" t="str">
        <f>IFERROR(
IF(
(SUMIFS(Calc_TUV_NetGroup_1[Powercor],Calc_TUV_NetGroup_1[[Customer type]:[Customer type]],$F44,Calc_TUV_NetGroup_1[[Cost item]:[Cost item]],$C44&amp;" - supply")+
SUMIFS(Calc_TUV_NetGroup_1[Powercor],Calc_TUV_NetGroup_1[[Customer type]:[Customer type]],$F44,Calc_TUV_NetGroup_1[[Cost item]:[Cost item]],$C44&amp;" - usage"))/
IF($C44&lt;&gt;"Controlled load",$E$24,$E$34)=K28,
0,1),"-")</f>
        <v>-</v>
      </c>
      <c r="L44" s="94" t="str">
        <f>IFERROR(
IF(
(SUMIFS(Calc_TUV_NetGroup_1[United Energy],Calc_TUV_NetGroup_1[[Customer type]:[Customer type]],$F44,Calc_TUV_NetGroup_1[[Cost item]:[Cost item]],$C44&amp;" - supply")+
SUMIFS(Calc_TUV_NetGroup_1[United Energy],Calc_TUV_NetGroup_1[[Customer type]:[Customer type]],$F44,Calc_TUV_NetGroup_1[[Cost item]:[Cost item]],$C44&amp;" - usage"))/
IF($C44&lt;&gt;"Controlled load",$E$24,$E$34)=L28,
0,1),"-")</f>
        <v>-</v>
      </c>
    </row>
    <row r="45" spans="3:12" ht="15.75" hidden="1" x14ac:dyDescent="0.25">
      <c r="C45" s="24" t="s">
        <v>515</v>
      </c>
      <c r="D45" s="24" t="s">
        <v>117</v>
      </c>
      <c r="E45" s="149" t="s">
        <v>118</v>
      </c>
      <c r="F45" s="24" t="s">
        <v>101</v>
      </c>
      <c r="G45" s="24" t="s">
        <v>130</v>
      </c>
      <c r="H45" s="94" t="str">
        <f>IFERROR(
IF(
(SUMIFS(Calc_TUV_NetGroup_1[Ausnet],Calc_TUV_NetGroup_1[[Customer type]:[Customer type]],$F45,Calc_TUV_NetGroup_1[[Cost item]:[Cost item]],$C45&amp;" - supply")+
SUMIFS(Calc_TUV_NetGroup_1[Ausnet],Calc_TUV_NetGroup_1[[Customer type]:[Customer type]],$F45,Calc_TUV_NetGroup_1[[Cost item]:[Cost item]],$C45&amp;" - usage"))/
IF($C45&lt;&gt;"Controlled load",$E$24,$E$34)=H29,
0,1),"-")</f>
        <v>-</v>
      </c>
      <c r="I45" s="94" t="str">
        <f>IFERROR(
IF(
(SUMIFS(Calc_TUV_NetGroup_1[Citipower],Calc_TUV_NetGroup_1[[Customer type]:[Customer type]],$F45,Calc_TUV_NetGroup_1[[Cost item]:[Cost item]],$C45&amp;" - supply")+
SUMIFS(Calc_TUV_NetGroup_1[Citipower],Calc_TUV_NetGroup_1[[Customer type]:[Customer type]],$F45,Calc_TUV_NetGroup_1[[Cost item]:[Cost item]],$C45&amp;" - usage"))/
IF($C45&lt;&gt;"Controlled load",$E$24,$E$34)=I29,
0,1),"-")</f>
        <v>-</v>
      </c>
      <c r="J45" s="94" t="str">
        <f>IFERROR(
IF(
(SUMIFS(Calc_TUV_NetGroup_1[Jemena],Calc_TUV_NetGroup_1[[Customer type]:[Customer type]],$F45,Calc_TUV_NetGroup_1[[Cost item]:[Cost item]],$C45&amp;" - supply")+
SUMIFS(Calc_TUV_NetGroup_1[Jemena],Calc_TUV_NetGroup_1[[Customer type]:[Customer type]],$F45,Calc_TUV_NetGroup_1[[Cost item]:[Cost item]],$C45&amp;" - usage"))/
IF($C45&lt;&gt;"Controlled load",$E$24,$E$34)=J29,
0,1),"-")</f>
        <v>-</v>
      </c>
      <c r="K45" s="94" t="str">
        <f>IFERROR(
IF(
(SUMIFS(Calc_TUV_NetGroup_1[Powercor],Calc_TUV_NetGroup_1[[Customer type]:[Customer type]],$F45,Calc_TUV_NetGroup_1[[Cost item]:[Cost item]],$C45&amp;" - supply")+
SUMIFS(Calc_TUV_NetGroup_1[Powercor],Calc_TUV_NetGroup_1[[Customer type]:[Customer type]],$F45,Calc_TUV_NetGroup_1[[Cost item]:[Cost item]],$C45&amp;" - usage"))/
IF($C45&lt;&gt;"Controlled load",$E$24,$E$34)=K29,
0,1),"-")</f>
        <v>-</v>
      </c>
      <c r="L45" s="94" t="str">
        <f>IFERROR(
IF(
(SUMIFS(Calc_TUV_NetGroup_1[United Energy],Calc_TUV_NetGroup_1[[Customer type]:[Customer type]],$F45,Calc_TUV_NetGroup_1[[Cost item]:[Cost item]],$C45&amp;" - supply")+
SUMIFS(Calc_TUV_NetGroup_1[United Energy],Calc_TUV_NetGroup_1[[Customer type]:[Customer type]],$F45,Calc_TUV_NetGroup_1[[Cost item]:[Cost item]],$C45&amp;" - usage"))/
IF($C45&lt;&gt;"Controlled load",$E$24,$E$34)=L29,
0,1),"-")</f>
        <v>-</v>
      </c>
    </row>
    <row r="46" spans="3:12" ht="15.75" hidden="1" x14ac:dyDescent="0.25">
      <c r="C46" s="24" t="s">
        <v>516</v>
      </c>
      <c r="D46" s="24" t="s">
        <v>117</v>
      </c>
      <c r="E46" s="149" t="s">
        <v>118</v>
      </c>
      <c r="F46" s="24" t="s">
        <v>100</v>
      </c>
      <c r="G46" s="24" t="s">
        <v>130</v>
      </c>
      <c r="H46" s="94" t="str">
        <f>IFERROR(
IF(
(SUMIFS(Calc_TUV_NetGroup_1[Ausnet],Calc_TUV_NetGroup_1[[Customer type]:[Customer type]],$F46,Calc_TUV_NetGroup_1[[Cost item]:[Cost item]],$C46&amp;" - supply")+
SUMIFS(Calc_TUV_NetGroup_1[Ausnet],Calc_TUV_NetGroup_1[[Customer type]:[Customer type]],$F46,Calc_TUV_NetGroup_1[[Cost item]:[Cost item]],$C46&amp;" - usage"))/
IF($C46&lt;&gt;"Controlled load",$E$24,$E$34)=H30,
0,1),"-")</f>
        <v>-</v>
      </c>
      <c r="I46" s="94" t="str">
        <f>IFERROR(
IF(
(SUMIFS(Calc_TUV_NetGroup_1[Citipower],Calc_TUV_NetGroup_1[[Customer type]:[Customer type]],$F46,Calc_TUV_NetGroup_1[[Cost item]:[Cost item]],$C46&amp;" - supply")+
SUMIFS(Calc_TUV_NetGroup_1[Citipower],Calc_TUV_NetGroup_1[[Customer type]:[Customer type]],$F46,Calc_TUV_NetGroup_1[[Cost item]:[Cost item]],$C46&amp;" - usage"))/
IF($C46&lt;&gt;"Controlled load",$E$24,$E$34)=I30,
0,1),"-")</f>
        <v>-</v>
      </c>
      <c r="J46" s="94" t="str">
        <f>IFERROR(
IF(
(SUMIFS(Calc_TUV_NetGroup_1[Jemena],Calc_TUV_NetGroup_1[[Customer type]:[Customer type]],$F46,Calc_TUV_NetGroup_1[[Cost item]:[Cost item]],$C46&amp;" - supply")+
SUMIFS(Calc_TUV_NetGroup_1[Jemena],Calc_TUV_NetGroup_1[[Customer type]:[Customer type]],$F46,Calc_TUV_NetGroup_1[[Cost item]:[Cost item]],$C46&amp;" - usage"))/
IF($C46&lt;&gt;"Controlled load",$E$24,$E$34)=J30,
0,1),"-")</f>
        <v>-</v>
      </c>
      <c r="K46" s="94" t="str">
        <f>IFERROR(
IF(
(SUMIFS(Calc_TUV_NetGroup_1[Powercor],Calc_TUV_NetGroup_1[[Customer type]:[Customer type]],$F46,Calc_TUV_NetGroup_1[[Cost item]:[Cost item]],$C46&amp;" - supply")+
SUMIFS(Calc_TUV_NetGroup_1[Powercor],Calc_TUV_NetGroup_1[[Customer type]:[Customer type]],$F46,Calc_TUV_NetGroup_1[[Cost item]:[Cost item]],$C46&amp;" - usage"))/
IF($C46&lt;&gt;"Controlled load",$E$24,$E$34)=K30,
0,1),"-")</f>
        <v>-</v>
      </c>
      <c r="L46" s="94" t="str">
        <f>IFERROR(
IF(
(SUMIFS(Calc_TUV_NetGroup_1[United Energy],Calc_TUV_NetGroup_1[[Customer type]:[Customer type]],$F46,Calc_TUV_NetGroup_1[[Cost item]:[Cost item]],$C46&amp;" - supply")+
SUMIFS(Calc_TUV_NetGroup_1[United Energy],Calc_TUV_NetGroup_1[[Customer type]:[Customer type]],$F46,Calc_TUV_NetGroup_1[[Cost item]:[Cost item]],$C46&amp;" - usage"))/
IF($C46&lt;&gt;"Controlled load",$E$24,$E$34)=L30,
0,1),"-")</f>
        <v>-</v>
      </c>
    </row>
    <row r="47" spans="3:12" ht="15.75" hidden="1" x14ac:dyDescent="0.25">
      <c r="C47" s="24" t="s">
        <v>516</v>
      </c>
      <c r="D47" s="24" t="s">
        <v>117</v>
      </c>
      <c r="E47" s="149" t="s">
        <v>118</v>
      </c>
      <c r="F47" s="24" t="s">
        <v>101</v>
      </c>
      <c r="G47" s="24" t="s">
        <v>130</v>
      </c>
      <c r="H47" s="94" t="str">
        <f>IFERROR(
IF(
(SUMIFS(Calc_TUV_NetGroup_1[Ausnet],Calc_TUV_NetGroup_1[[Customer type]:[Customer type]],$F47,Calc_TUV_NetGroup_1[[Cost item]:[Cost item]],$C47&amp;" - supply")+
SUMIFS(Calc_TUV_NetGroup_1[Ausnet],Calc_TUV_NetGroup_1[[Customer type]:[Customer type]],$F47,Calc_TUV_NetGroup_1[[Cost item]:[Cost item]],$C47&amp;" - usage"))/
IF($C47&lt;&gt;"Controlled load",$E$24,$E$34)=H31,
0,1),"-")</f>
        <v>-</v>
      </c>
      <c r="I47" s="94" t="str">
        <f>IFERROR(
IF(
(SUMIFS(Calc_TUV_NetGroup_1[Citipower],Calc_TUV_NetGroup_1[[Customer type]:[Customer type]],$F47,Calc_TUV_NetGroup_1[[Cost item]:[Cost item]],$C47&amp;" - supply")+
SUMIFS(Calc_TUV_NetGroup_1[Citipower],Calc_TUV_NetGroup_1[[Customer type]:[Customer type]],$F47,Calc_TUV_NetGroup_1[[Cost item]:[Cost item]],$C47&amp;" - usage"))/
IF($C47&lt;&gt;"Controlled load",$E$24,$E$34)=I31,
0,1),"-")</f>
        <v>-</v>
      </c>
      <c r="J47" s="94" t="str">
        <f>IFERROR(
IF(
(SUMIFS(Calc_TUV_NetGroup_1[Jemena],Calc_TUV_NetGroup_1[[Customer type]:[Customer type]],$F47,Calc_TUV_NetGroup_1[[Cost item]:[Cost item]],$C47&amp;" - supply")+
SUMIFS(Calc_TUV_NetGroup_1[Jemena],Calc_TUV_NetGroup_1[[Customer type]:[Customer type]],$F47,Calc_TUV_NetGroup_1[[Cost item]:[Cost item]],$C47&amp;" - usage"))/
IF($C47&lt;&gt;"Controlled load",$E$24,$E$34)=J31,
0,1),"-")</f>
        <v>-</v>
      </c>
      <c r="K47" s="94" t="str">
        <f>IFERROR(
IF(
(SUMIFS(Calc_TUV_NetGroup_1[Powercor],Calc_TUV_NetGroup_1[[Customer type]:[Customer type]],$F47,Calc_TUV_NetGroup_1[[Cost item]:[Cost item]],$C47&amp;" - supply")+
SUMIFS(Calc_TUV_NetGroup_1[Powercor],Calc_TUV_NetGroup_1[[Customer type]:[Customer type]],$F47,Calc_TUV_NetGroup_1[[Cost item]:[Cost item]],$C47&amp;" - usage"))/
IF($C47&lt;&gt;"Controlled load",$E$24,$E$34)=K31,
0,1),"-")</f>
        <v>-</v>
      </c>
      <c r="L47" s="94" t="str">
        <f>IFERROR(
IF(
(SUMIFS(Calc_TUV_NetGroup_1[United Energy],Calc_TUV_NetGroup_1[[Customer type]:[Customer type]],$F47,Calc_TUV_NetGroup_1[[Cost item]:[Cost item]],$C47&amp;" - supply")+
SUMIFS(Calc_TUV_NetGroup_1[United Energy],Calc_TUV_NetGroup_1[[Customer type]:[Customer type]],$F47,Calc_TUV_NetGroup_1[[Cost item]:[Cost item]],$C47&amp;" - usage"))/
IF($C47&lt;&gt;"Controlled load",$E$24,$E$34)=L31,
0,1),"-")</f>
        <v>-</v>
      </c>
    </row>
    <row r="48" spans="3:12" ht="15.75" hidden="1" x14ac:dyDescent="0.25">
      <c r="C48" s="24" t="s">
        <v>296</v>
      </c>
      <c r="D48" s="24" t="s">
        <v>139</v>
      </c>
      <c r="E48" s="149" t="s">
        <v>118</v>
      </c>
      <c r="F48" s="24" t="s">
        <v>100</v>
      </c>
      <c r="G48" s="24" t="s">
        <v>130</v>
      </c>
      <c r="H48" s="94" t="str">
        <f>IFERROR(
IF(
(SUMIFS(Calc_TUV_NetGroup_1[Ausnet],Calc_TUV_NetGroup_1[[Customer type]:[Customer type]],$F48,Calc_TUV_NetGroup_1[[Cost item]:[Cost item]],$C48&amp;" - supply")+
SUMIFS(Calc_TUV_NetGroup_1[Ausnet],Calc_TUV_NetGroup_1[[Customer type]:[Customer type]],$F48,Calc_TUV_NetGroup_1[[Cost item]:[Cost item]],$C48&amp;" - usage"))/
IF($C48&lt;&gt;"Controlled load",$E$24,$E$34)=H40,
0,1),"-")</f>
        <v>-</v>
      </c>
      <c r="I48" s="94" t="str">
        <f>IFERROR(
IF(
(SUMIFS(Calc_TUV_NetGroup_1[Citipower],Calc_TUV_NetGroup_1[[Customer type]:[Customer type]],$F48,Calc_TUV_NetGroup_1[[Cost item]:[Cost item]],$C48&amp;" - supply")+
SUMIFS(Calc_TUV_NetGroup_1[Citipower],Calc_TUV_NetGroup_1[[Customer type]:[Customer type]],$F48,Calc_TUV_NetGroup_1[[Cost item]:[Cost item]],$C48&amp;" - usage"))/
IF($C48&lt;&gt;"Controlled load",$E$24,$E$34)=I40,
0,1),"-")</f>
        <v>-</v>
      </c>
      <c r="J48" s="94" t="str">
        <f>IFERROR(
IF(
(SUMIFS(Calc_TUV_NetGroup_1[Jemena],Calc_TUV_NetGroup_1[[Customer type]:[Customer type]],$F48,Calc_TUV_NetGroup_1[[Cost item]:[Cost item]],$C48&amp;" - supply")+
SUMIFS(Calc_TUV_NetGroup_1[Jemena],Calc_TUV_NetGroup_1[[Customer type]:[Customer type]],$F48,Calc_TUV_NetGroup_1[[Cost item]:[Cost item]],$C48&amp;" - usage"))/
IF($C48&lt;&gt;"Controlled load",$E$24,$E$34)=J40,
0,1),"-")</f>
        <v>-</v>
      </c>
      <c r="K48" s="94" t="str">
        <f>IFERROR(
IF(
(SUMIFS(Calc_TUV_NetGroup_1[Powercor],Calc_TUV_NetGroup_1[[Customer type]:[Customer type]],$F48,Calc_TUV_NetGroup_1[[Cost item]:[Cost item]],$C48&amp;" - supply")+
SUMIFS(Calc_TUV_NetGroup_1[Powercor],Calc_TUV_NetGroup_1[[Customer type]:[Customer type]],$F48,Calc_TUV_NetGroup_1[[Cost item]:[Cost item]],$C48&amp;" - usage"))/
IF($C48&lt;&gt;"Controlled load",$E$24,$E$34)=K40,
0,1),"-")</f>
        <v>-</v>
      </c>
      <c r="L48" s="94" t="str">
        <f>IFERROR(
IF(
(SUMIFS(Calc_TUV_NetGroup_1[United Energy],Calc_TUV_NetGroup_1[[Customer type]:[Customer type]],$F48,Calc_TUV_NetGroup_1[[Cost item]:[Cost item]],$C48&amp;" - supply")+
SUMIFS(Calc_TUV_NetGroup_1[United Energy],Calc_TUV_NetGroup_1[[Customer type]:[Customer type]],$F48,Calc_TUV_NetGroup_1[[Cost item]:[Cost item]],$C48&amp;" - usage"))/
IF($C48&lt;&gt;"Controlled load",$E$24,$E$34)=L40,
0,1),"-")</f>
        <v>-</v>
      </c>
    </row>
    <row r="49" spans="2:12" hidden="1" x14ac:dyDescent="0.25"/>
    <row r="50" spans="2:12" ht="16.5" hidden="1" thickBot="1" x14ac:dyDescent="0.3">
      <c r="B50" s="9">
        <f ca="1">MAX(B$3:B49)+0.1</f>
        <v>14.2</v>
      </c>
      <c r="C50" s="29" t="s">
        <v>530</v>
      </c>
      <c r="D50" s="29"/>
      <c r="E50" s="29"/>
      <c r="F50" s="29"/>
      <c r="G50" s="29"/>
      <c r="H50" s="29"/>
      <c r="I50" s="29"/>
      <c r="J50" s="29"/>
      <c r="K50" s="29"/>
      <c r="L50" s="29"/>
    </row>
    <row r="51" spans="2:12" hidden="1" x14ac:dyDescent="0.25"/>
    <row r="52" spans="2:12" ht="15.75" hidden="1" x14ac:dyDescent="0.25">
      <c r="C52" s="30" t="s">
        <v>585</v>
      </c>
    </row>
    <row r="53" spans="2:12" ht="15.75" hidden="1" x14ac:dyDescent="0.25">
      <c r="C53" s="44" t="s">
        <v>54</v>
      </c>
      <c r="D53" s="44" t="s">
        <v>110</v>
      </c>
      <c r="E53" s="44" t="s">
        <v>111</v>
      </c>
      <c r="F53" s="44" t="s">
        <v>99</v>
      </c>
      <c r="G53" s="44" t="s">
        <v>53</v>
      </c>
      <c r="H53" s="61" t="s">
        <v>277</v>
      </c>
      <c r="I53" s="61" t="s">
        <v>278</v>
      </c>
      <c r="J53" s="61" t="s">
        <v>279</v>
      </c>
      <c r="K53" s="61" t="s">
        <v>280</v>
      </c>
      <c r="L53" s="61" t="s">
        <v>281</v>
      </c>
    </row>
    <row r="54" spans="2:12" hidden="1" x14ac:dyDescent="0.25">
      <c r="C54" s="60" t="str">
        <f>IF(COUNTIFS(Calc_TUV_Env_1[Pass through (Yes/No)],"Yes",Calc_TUV_Env_1[Cost item],"Large-scale renewable energy target (LRET)")=1,"LRET True Up","-")</f>
        <v>-</v>
      </c>
      <c r="D54" s="60" t="s">
        <v>139</v>
      </c>
      <c r="E54" s="60" t="s">
        <v>291</v>
      </c>
      <c r="F54" s="60" t="s">
        <v>119</v>
      </c>
      <c r="G54" s="60" t="s">
        <v>160</v>
      </c>
      <c r="H54" s="163" cm="1">
        <f t="array" ref="H54">IFERROR(SUMIFS(INDEX(Calc_TUV_Env_1[[Ausnet]:[United Energy]],0,MATCH(Calc_TUV_EnvGroup_1[[#Headers],[Ausnet]],Calc_TUV_Env_1[[#Headers],[Ausnet]:[United Energy]],0)),
Calc_TUV_Env_1[Cost item],Calc_TUV_EnvGroup_1[[#This Row],[Cost item]],
Calc_TUV_Env_1[Customer type],Calc_TUV_EnvGroup_1[[#This Row],[Customer type]]),"-")</f>
        <v>0</v>
      </c>
      <c r="I54" s="163" cm="1">
        <f t="array" ref="I54">IFERROR(SUMIFS(INDEX(Calc_TUV_Env_1[[Ausnet]:[United Energy]],0,MATCH(Calc_TUV_EnvGroup_1[[#Headers],[Citipower]],Calc_TUV_Env_1[[#Headers],[Ausnet]:[United Energy]],0)),
Calc_TUV_Env_1[Cost item],Calc_TUV_EnvGroup_1[[#This Row],[Cost item]],
Calc_TUV_Env_1[Customer type],Calc_TUV_EnvGroup_1[[#This Row],[Customer type]]),"-")</f>
        <v>0</v>
      </c>
      <c r="J54" s="163" cm="1">
        <f t="array" ref="J54">IFERROR(SUMIFS(INDEX(Calc_TUV_Env_1[[Ausnet]:[United Energy]],0,MATCH(Calc_TUV_EnvGroup_1[[#Headers],[Jemena]],Calc_TUV_Env_1[[#Headers],[Ausnet]:[United Energy]],0)),
Calc_TUV_Env_1[Cost item],Calc_TUV_EnvGroup_1[[#This Row],[Cost item]],
Calc_TUV_Env_1[Customer type],Calc_TUV_EnvGroup_1[[#This Row],[Customer type]]),"-")</f>
        <v>0</v>
      </c>
      <c r="K54" s="163" cm="1">
        <f t="array" ref="K54">IFERROR(SUMIFS(INDEX(Calc_TUV_Env_1[[Ausnet]:[United Energy]],0,MATCH(Calc_TUV_EnvGroup_1[[#Headers],[Powercor]],Calc_TUV_Env_1[[#Headers],[Ausnet]:[United Energy]],0)),
Calc_TUV_Env_1[Cost item],Calc_TUV_EnvGroup_1[[#This Row],[Cost item]],
Calc_TUV_Env_1[Customer type],Calc_TUV_EnvGroup_1[[#This Row],[Customer type]]),"-")</f>
        <v>0</v>
      </c>
      <c r="L54" s="163" cm="1">
        <f t="array" ref="L54">IFERROR(SUMIFS(INDEX(Calc_TUV_Env_1[[Ausnet]:[United Energy]],0,MATCH(Calc_TUV_EnvGroup_1[[#Headers],[United Energy]],Calc_TUV_Env_1[[#Headers],[Ausnet]:[United Energy]],0)),
Calc_TUV_Env_1[Cost item],Calc_TUV_EnvGroup_1[[#This Row],[Cost item]],
Calc_TUV_Env_1[Customer type],Calc_TUV_EnvGroup_1[[#This Row],[Customer type]]),"-")</f>
        <v>0</v>
      </c>
    </row>
    <row r="55" spans="2:12" hidden="1" x14ac:dyDescent="0.25">
      <c r="C55" s="60" t="str">
        <f>IF(COUNTIFS(Calc_TUV_Env_1[Pass through (Yes/No)],"Yes",Calc_TUV_Env_1[Cost item],"Small-scale renewable energy scheme (SRES)")=1,"SRES True Up","-")</f>
        <v>-</v>
      </c>
      <c r="D55" s="60" t="s">
        <v>139</v>
      </c>
      <c r="E55" s="60" t="s">
        <v>291</v>
      </c>
      <c r="F55" s="60" t="s">
        <v>119</v>
      </c>
      <c r="G55" s="60" t="s">
        <v>160</v>
      </c>
      <c r="H55" s="163" cm="1">
        <f t="array" ref="H55">IFERROR(SUMIFS(INDEX(Calc_TUV_Env_1[[Ausnet]:[United Energy]],0,MATCH(Calc_TUV_EnvGroup_1[[#Headers],[Ausnet]],Calc_TUV_Env_1[[#Headers],[Ausnet]:[United Energy]],0)),
Calc_TUV_Env_1[Cost item],Calc_TUV_EnvGroup_1[[#This Row],[Cost item]],
Calc_TUV_Env_1[Customer type],Calc_TUV_EnvGroup_1[[#This Row],[Customer type]]),"-")</f>
        <v>0</v>
      </c>
      <c r="I55" s="163" cm="1">
        <f t="array" ref="I55">IFERROR(SUMIFS(INDEX(Calc_TUV_Env_1[[Ausnet]:[United Energy]],0,MATCH(Calc_TUV_EnvGroup_1[[#Headers],[Citipower]],Calc_TUV_Env_1[[#Headers],[Ausnet]:[United Energy]],0)),
Calc_TUV_Env_1[Cost item],Calc_TUV_EnvGroup_1[[#This Row],[Cost item]],
Calc_TUV_Env_1[Customer type],Calc_TUV_EnvGroup_1[[#This Row],[Customer type]]),"-")</f>
        <v>0</v>
      </c>
      <c r="J55" s="163" cm="1">
        <f t="array" ref="J55">IFERROR(SUMIFS(INDEX(Calc_TUV_Env_1[[Ausnet]:[United Energy]],0,MATCH(Calc_TUV_EnvGroup_1[[#Headers],[Jemena]],Calc_TUV_Env_1[[#Headers],[Ausnet]:[United Energy]],0)),
Calc_TUV_Env_1[Cost item],Calc_TUV_EnvGroup_1[[#This Row],[Cost item]],
Calc_TUV_Env_1[Customer type],Calc_TUV_EnvGroup_1[[#This Row],[Customer type]]),"-")</f>
        <v>0</v>
      </c>
      <c r="K55" s="163" cm="1">
        <f t="array" ref="K55">IFERROR(SUMIFS(INDEX(Calc_TUV_Env_1[[Ausnet]:[United Energy]],0,MATCH(Calc_TUV_EnvGroup_1[[#Headers],[Powercor]],Calc_TUV_Env_1[[#Headers],[Ausnet]:[United Energy]],0)),
Calc_TUV_Env_1[Cost item],Calc_TUV_EnvGroup_1[[#This Row],[Cost item]],
Calc_TUV_Env_1[Customer type],Calc_TUV_EnvGroup_1[[#This Row],[Customer type]]),"-")</f>
        <v>0</v>
      </c>
      <c r="L55" s="163" cm="1">
        <f t="array" ref="L55">IFERROR(SUMIFS(INDEX(Calc_TUV_Env_1[[Ausnet]:[United Energy]],0,MATCH(Calc_TUV_EnvGroup_1[[#Headers],[United Energy]],Calc_TUV_Env_1[[#Headers],[Ausnet]:[United Energy]],0)),
Calc_TUV_Env_1[Cost item],Calc_TUV_EnvGroup_1[[#This Row],[Cost item]],
Calc_TUV_Env_1[Customer type],Calc_TUV_EnvGroup_1[[#This Row],[Customer type]]),"-")</f>
        <v>0</v>
      </c>
    </row>
    <row r="56" spans="2:12" hidden="1" x14ac:dyDescent="0.25">
      <c r="C56" s="60" t="str">
        <f>IF(COUNTIFS(Calc_TUV_Env_1[Pass through (Yes/No)],"Yes",Calc_TUV_Env_1[Cost item],"Victorian energy upgrades (VEU)")=1,"VEU True Up","-")</f>
        <v>-</v>
      </c>
      <c r="D56" s="60" t="s">
        <v>139</v>
      </c>
      <c r="E56" s="60" t="s">
        <v>291</v>
      </c>
      <c r="F56" s="60" t="s">
        <v>119</v>
      </c>
      <c r="G56" s="60" t="s">
        <v>160</v>
      </c>
      <c r="H56" s="163" cm="1">
        <f t="array" ref="H56">IFERROR(SUMIFS(INDEX(Calc_TUV_Env_1[[Ausnet]:[United Energy]],0,MATCH(Calc_TUV_EnvGroup_1[[#Headers],[Ausnet]],Calc_TUV_Env_1[[#Headers],[Ausnet]:[United Energy]],0)),
Calc_TUV_Env_1[Cost item],Calc_TUV_EnvGroup_1[[#This Row],[Cost item]],
Calc_TUV_Env_1[Customer type],Calc_TUV_EnvGroup_1[[#This Row],[Customer type]]),"-")</f>
        <v>0</v>
      </c>
      <c r="I56" s="163" cm="1">
        <f t="array" ref="I56">IFERROR(SUMIFS(INDEX(Calc_TUV_Env_1[[Ausnet]:[United Energy]],0,MATCH(Calc_TUV_EnvGroup_1[[#Headers],[Citipower]],Calc_TUV_Env_1[[#Headers],[Ausnet]:[United Energy]],0)),
Calc_TUV_Env_1[Cost item],Calc_TUV_EnvGroup_1[[#This Row],[Cost item]],
Calc_TUV_Env_1[Customer type],Calc_TUV_EnvGroup_1[[#This Row],[Customer type]]),"-")</f>
        <v>0</v>
      </c>
      <c r="J56" s="163" cm="1">
        <f t="array" ref="J56">IFERROR(SUMIFS(INDEX(Calc_TUV_Env_1[[Ausnet]:[United Energy]],0,MATCH(Calc_TUV_EnvGroup_1[[#Headers],[Jemena]],Calc_TUV_Env_1[[#Headers],[Ausnet]:[United Energy]],0)),
Calc_TUV_Env_1[Cost item],Calc_TUV_EnvGroup_1[[#This Row],[Cost item]],
Calc_TUV_Env_1[Customer type],Calc_TUV_EnvGroup_1[[#This Row],[Customer type]]),"-")</f>
        <v>0</v>
      </c>
      <c r="K56" s="163" cm="1">
        <f t="array" ref="K56">IFERROR(SUMIFS(INDEX(Calc_TUV_Env_1[[Ausnet]:[United Energy]],0,MATCH(Calc_TUV_EnvGroup_1[[#Headers],[Powercor]],Calc_TUV_Env_1[[#Headers],[Ausnet]:[United Energy]],0)),
Calc_TUV_Env_1[Cost item],Calc_TUV_EnvGroup_1[[#This Row],[Cost item]],
Calc_TUV_Env_1[Customer type],Calc_TUV_EnvGroup_1[[#This Row],[Customer type]]),"-")</f>
        <v>0</v>
      </c>
      <c r="L56" s="163" cm="1">
        <f t="array" ref="L56">IFERROR(SUMIFS(INDEX(Calc_TUV_Env_1[[Ausnet]:[United Energy]],0,MATCH(Calc_TUV_EnvGroup_1[[#Headers],[United Energy]],Calc_TUV_Env_1[[#Headers],[Ausnet]:[United Energy]],0)),
Calc_TUV_Env_1[Cost item],Calc_TUV_EnvGroup_1[[#This Row],[Cost item]],
Calc_TUV_Env_1[Customer type],Calc_TUV_EnvGroup_1[[#This Row],[Customer type]]),"-")</f>
        <v>0</v>
      </c>
    </row>
    <row r="57" spans="2:12" hidden="1" x14ac:dyDescent="0.25"/>
    <row r="58" spans="2:12" ht="15.75" hidden="1" x14ac:dyDescent="0.25">
      <c r="C58" s="55" t="s">
        <v>658</v>
      </c>
      <c r="D58" t="s">
        <v>525</v>
      </c>
      <c r="E58" s="83" t="str">
        <f>INDEX(Input_DecisionActual[Decision],MATCH(Calc_TU_rates!E59,Input_DecisionActual[Actual],0),1)</f>
        <v>VDO 2021 - Final</v>
      </c>
      <c r="F58" s="77">
        <f>INDEX(Input_TU_Periods[[F-CurrentVDO_Input]:[F-NextVDO_Input]],1,MATCH(Calc_TU_rates!E58,Inputs!$F$237:$J$237,0))</f>
        <v>365</v>
      </c>
    </row>
    <row r="59" spans="2:12" ht="15.75" hidden="1" x14ac:dyDescent="0.25">
      <c r="C59" s="55" t="s">
        <v>658</v>
      </c>
      <c r="D59" t="s">
        <v>524</v>
      </c>
      <c r="E59" s="42" t="str">
        <f>D5</f>
        <v>VDO 2021 - Variation final</v>
      </c>
      <c r="F59" s="77">
        <f>INDEX(Input_TU_Periods[[F-CurrentVDO_Input]:[F-NextVDO_Input]],1,MATCH(Calc_TU_rates!E59,Inputs!$F$237:$J$237,0))</f>
        <v>62</v>
      </c>
    </row>
    <row r="60" spans="2:12" ht="15.75" hidden="1" x14ac:dyDescent="0.25">
      <c r="C60" s="55" t="s">
        <v>657</v>
      </c>
      <c r="F60" s="241">
        <f>F58/F59</f>
        <v>5.887096774193548</v>
      </c>
    </row>
    <row r="61" spans="2:12" hidden="1" x14ac:dyDescent="0.25"/>
    <row r="62" spans="2:12" ht="15.75" hidden="1" x14ac:dyDescent="0.25">
      <c r="C62" s="30" t="s">
        <v>584</v>
      </c>
    </row>
    <row r="63" spans="2:12" ht="15.75" hidden="1" x14ac:dyDescent="0.25">
      <c r="C63" s="44" t="s">
        <v>479</v>
      </c>
      <c r="D63" s="141" t="s">
        <v>322</v>
      </c>
      <c r="E63" s="141" t="s">
        <v>111</v>
      </c>
      <c r="F63" s="141" t="s">
        <v>99</v>
      </c>
      <c r="G63" s="141" t="s">
        <v>53</v>
      </c>
      <c r="H63" s="142" t="s">
        <v>277</v>
      </c>
      <c r="I63" s="142" t="s">
        <v>278</v>
      </c>
      <c r="J63" s="142" t="s">
        <v>279</v>
      </c>
      <c r="K63" s="142" t="s">
        <v>280</v>
      </c>
      <c r="L63" s="142" t="s">
        <v>281</v>
      </c>
    </row>
    <row r="64" spans="2:12" hidden="1" x14ac:dyDescent="0.25">
      <c r="C64" s="24" t="s">
        <v>508</v>
      </c>
      <c r="D64" s="24" t="s">
        <v>531</v>
      </c>
      <c r="E64" s="149" t="s">
        <v>291</v>
      </c>
      <c r="F64" s="24" t="s">
        <v>100</v>
      </c>
      <c r="G64" s="24" t="s">
        <v>160</v>
      </c>
      <c r="H64" s="165" t="str" cm="1">
        <f t="array" ref="H64">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v>
      </c>
      <c r="I64" s="165" cm="1">
        <f t="array" ref="I64">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64" s="165" cm="1">
        <f t="array" ref="J64">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64" s="165" cm="1">
        <f t="array" ref="K64">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64" s="165" cm="1">
        <f t="array" ref="L64">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65" spans="3:12" hidden="1" x14ac:dyDescent="0.25">
      <c r="C65" s="24" t="s">
        <v>508</v>
      </c>
      <c r="D65" s="24" t="s">
        <v>531</v>
      </c>
      <c r="E65" s="149" t="s">
        <v>291</v>
      </c>
      <c r="F65" s="24" t="s">
        <v>101</v>
      </c>
      <c r="G65" s="24" t="s">
        <v>160</v>
      </c>
      <c r="H65" s="165" t="str" cm="1">
        <f t="array" ref="H65">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v>
      </c>
      <c r="I65" s="165" cm="1">
        <f t="array" ref="I65">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65" s="165" cm="1">
        <f t="array" ref="J65">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65" s="165" cm="1">
        <f t="array" ref="K65">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65" s="165" cm="1">
        <f t="array" ref="L65">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66" spans="3:12" hidden="1" x14ac:dyDescent="0.25">
      <c r="C66" s="24" t="s">
        <v>230</v>
      </c>
      <c r="D66" s="24" t="s">
        <v>531</v>
      </c>
      <c r="E66" s="149" t="s">
        <v>291</v>
      </c>
      <c r="F66" s="24" t="s">
        <v>100</v>
      </c>
      <c r="G66" s="24" t="s">
        <v>160</v>
      </c>
      <c r="H66" s="165" cm="1">
        <f t="array" ref="H66">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66" s="165" t="str" cm="1">
        <f t="array" ref="I66">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66" s="165" t="str" cm="1">
        <f t="array" ref="J66">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66" s="165" t="str" cm="1">
        <f t="array" ref="K66">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66" s="165" t="str" cm="1">
        <f t="array" ref="L66">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67" spans="3:12" hidden="1" x14ac:dyDescent="0.25">
      <c r="C67" s="24" t="s">
        <v>230</v>
      </c>
      <c r="D67" s="24" t="s">
        <v>531</v>
      </c>
      <c r="E67" s="149" t="s">
        <v>291</v>
      </c>
      <c r="F67" s="24" t="s">
        <v>101</v>
      </c>
      <c r="G67" s="24" t="s">
        <v>160</v>
      </c>
      <c r="H67" s="165" cm="1">
        <f t="array" ref="H67">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67" s="165" t="str" cm="1">
        <f t="array" ref="I67">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67" s="165" t="str" cm="1">
        <f t="array" ref="J67">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67" s="165" t="str" cm="1">
        <f t="array" ref="K67">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67" s="165" t="str" cm="1">
        <f t="array" ref="L67">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68" spans="3:12" hidden="1" x14ac:dyDescent="0.25">
      <c r="C68" s="24" t="s">
        <v>237</v>
      </c>
      <c r="D68" s="24" t="s">
        <v>531</v>
      </c>
      <c r="E68" s="149" t="s">
        <v>291</v>
      </c>
      <c r="F68" s="24" t="s">
        <v>100</v>
      </c>
      <c r="G68" s="24" t="s">
        <v>160</v>
      </c>
      <c r="H68" s="165" cm="1">
        <f t="array" ref="H68">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68" s="165" t="str" cm="1">
        <f t="array" ref="I68">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68" s="165" t="str" cm="1">
        <f t="array" ref="J68">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68" s="165" t="str" cm="1">
        <f t="array" ref="K68">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68" s="165" t="str" cm="1">
        <f t="array" ref="L68">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69" spans="3:12" hidden="1" x14ac:dyDescent="0.25">
      <c r="C69" s="24" t="s">
        <v>237</v>
      </c>
      <c r="D69" s="24" t="s">
        <v>531</v>
      </c>
      <c r="E69" s="149" t="s">
        <v>291</v>
      </c>
      <c r="F69" s="24" t="s">
        <v>101</v>
      </c>
      <c r="G69" s="24" t="s">
        <v>160</v>
      </c>
      <c r="H69" s="165" cm="1">
        <f t="array" ref="H69">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69" s="165" t="str" cm="1">
        <f t="array" ref="I69">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69" s="165" t="str" cm="1">
        <f t="array" ref="J69">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69" s="165" t="str" cm="1">
        <f t="array" ref="K69">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69" s="165" t="str" cm="1">
        <f t="array" ref="L69">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70" spans="3:12" hidden="1" x14ac:dyDescent="0.25">
      <c r="C70" s="24" t="s">
        <v>296</v>
      </c>
      <c r="D70" s="24" t="s">
        <v>531</v>
      </c>
      <c r="E70" s="149" t="s">
        <v>291</v>
      </c>
      <c r="F70" s="24" t="s">
        <v>100</v>
      </c>
      <c r="G70" s="24" t="s">
        <v>160</v>
      </c>
      <c r="H70" s="165" cm="1">
        <f t="array" ref="H70">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70" s="165" cm="1">
        <f t="array" ref="I70">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70" s="165" cm="1">
        <f t="array" ref="J70">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70" s="165" cm="1">
        <f t="array" ref="K70">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70" s="165" cm="1">
        <f t="array" ref="L70">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71" spans="3:12" hidden="1" x14ac:dyDescent="0.25">
      <c r="C71" s="24" t="s">
        <v>239</v>
      </c>
      <c r="D71" s="24" t="s">
        <v>531</v>
      </c>
      <c r="E71" s="149" t="s">
        <v>291</v>
      </c>
      <c r="F71" s="24" t="s">
        <v>100</v>
      </c>
      <c r="G71" s="24" t="s">
        <v>160</v>
      </c>
      <c r="H71" s="165" cm="1">
        <f t="array" ref="H71">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71" s="165" cm="1">
        <f t="array" ref="I71">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71" s="165" cm="1">
        <f t="array" ref="J71">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71" s="165" cm="1">
        <f t="array" ref="K71">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71" s="165" cm="1">
        <f t="array" ref="L71">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72" spans="3:12" hidden="1" x14ac:dyDescent="0.25">
      <c r="C72" s="24" t="s">
        <v>239</v>
      </c>
      <c r="D72" s="24" t="s">
        <v>531</v>
      </c>
      <c r="E72" s="149" t="s">
        <v>291</v>
      </c>
      <c r="F72" s="24" t="s">
        <v>101</v>
      </c>
      <c r="G72" s="24" t="s">
        <v>160</v>
      </c>
      <c r="H72" s="165" cm="1">
        <f t="array" ref="H72">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72" s="165" cm="1">
        <f t="array" ref="I72">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72" s="165" cm="1">
        <f t="array" ref="J72">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72" s="165" cm="1">
        <f t="array" ref="K72">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72" s="165" cm="1">
        <f t="array" ref="L72">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73" spans="3:12" hidden="1" x14ac:dyDescent="0.25">
      <c r="C73" s="24" t="s">
        <v>538</v>
      </c>
      <c r="D73" s="24" t="s">
        <v>531</v>
      </c>
      <c r="E73" s="149" t="s">
        <v>291</v>
      </c>
      <c r="F73" s="24" t="s">
        <v>100</v>
      </c>
      <c r="G73" s="24" t="s">
        <v>160</v>
      </c>
      <c r="H73" s="165" cm="1">
        <f t="array" ref="H73">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73" s="165" cm="1">
        <f t="array" ref="I73">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73" s="165" cm="1">
        <f t="array" ref="J73">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73" s="165" cm="1">
        <f t="array" ref="K73">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73" s="165" cm="1">
        <f t="array" ref="L73">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74" spans="3:12" hidden="1" x14ac:dyDescent="0.25">
      <c r="C74" s="24" t="s">
        <v>538</v>
      </c>
      <c r="D74" s="24" t="s">
        <v>531</v>
      </c>
      <c r="E74" s="149" t="s">
        <v>291</v>
      </c>
      <c r="F74" s="24" t="s">
        <v>101</v>
      </c>
      <c r="G74" s="24" t="s">
        <v>160</v>
      </c>
      <c r="H74" s="165" cm="1">
        <f t="array" ref="H74">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74" s="165" cm="1">
        <f t="array" ref="I74">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74" s="165" cm="1">
        <f t="array" ref="J74">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74" s="165" cm="1">
        <f t="array" ref="K74">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74" s="165" cm="1">
        <f t="array" ref="L74">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75" spans="3:12" hidden="1" x14ac:dyDescent="0.25">
      <c r="C75" s="24" t="s">
        <v>508</v>
      </c>
      <c r="D75" s="24" t="s">
        <v>532</v>
      </c>
      <c r="E75" s="149" t="s">
        <v>291</v>
      </c>
      <c r="F75" s="24" t="s">
        <v>100</v>
      </c>
      <c r="G75" s="24" t="s">
        <v>160</v>
      </c>
      <c r="H75" s="165" t="str" cm="1">
        <f t="array" ref="H75">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v>
      </c>
      <c r="I75" s="165" cm="1">
        <f t="array" ref="I75">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75" s="165" cm="1">
        <f t="array" ref="J75">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75" s="165" cm="1">
        <f t="array" ref="K75">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75" s="165" cm="1">
        <f t="array" ref="L75">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76" spans="3:12" hidden="1" x14ac:dyDescent="0.25">
      <c r="C76" s="24" t="s">
        <v>508</v>
      </c>
      <c r="D76" s="24" t="s">
        <v>532</v>
      </c>
      <c r="E76" s="149" t="s">
        <v>291</v>
      </c>
      <c r="F76" s="24" t="s">
        <v>101</v>
      </c>
      <c r="G76" s="24" t="s">
        <v>160</v>
      </c>
      <c r="H76" s="165" t="str" cm="1">
        <f t="array" ref="H76">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v>
      </c>
      <c r="I76" s="165" cm="1">
        <f t="array" ref="I76">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76" s="165" cm="1">
        <f t="array" ref="J76">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76" s="165" cm="1">
        <f t="array" ref="K76">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76" s="165" cm="1">
        <f t="array" ref="L76">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77" spans="3:12" hidden="1" x14ac:dyDescent="0.25">
      <c r="C77" s="24" t="s">
        <v>230</v>
      </c>
      <c r="D77" s="24" t="s">
        <v>532</v>
      </c>
      <c r="E77" s="149" t="s">
        <v>291</v>
      </c>
      <c r="F77" s="24" t="s">
        <v>100</v>
      </c>
      <c r="G77" s="24" t="s">
        <v>160</v>
      </c>
      <c r="H77" s="165" cm="1">
        <f t="array" ref="H77">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77" s="165" t="str" cm="1">
        <f t="array" ref="I77">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77" s="165" t="str" cm="1">
        <f t="array" ref="J77">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77" s="165" t="str" cm="1">
        <f t="array" ref="K77">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77" s="165" t="str" cm="1">
        <f t="array" ref="L77">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78" spans="3:12" hidden="1" x14ac:dyDescent="0.25">
      <c r="C78" s="24" t="s">
        <v>230</v>
      </c>
      <c r="D78" s="24" t="s">
        <v>532</v>
      </c>
      <c r="E78" s="149" t="s">
        <v>291</v>
      </c>
      <c r="F78" s="24" t="s">
        <v>101</v>
      </c>
      <c r="G78" s="24" t="s">
        <v>160</v>
      </c>
      <c r="H78" s="165" cm="1">
        <f t="array" ref="H78">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78" s="165" t="str" cm="1">
        <f t="array" ref="I78">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78" s="165" t="str" cm="1">
        <f t="array" ref="J78">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78" s="165" t="str" cm="1">
        <f t="array" ref="K78">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78" s="165" t="str" cm="1">
        <f t="array" ref="L78">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79" spans="3:12" hidden="1" x14ac:dyDescent="0.25">
      <c r="C79" s="24" t="s">
        <v>237</v>
      </c>
      <c r="D79" s="24" t="s">
        <v>532</v>
      </c>
      <c r="E79" s="149" t="s">
        <v>291</v>
      </c>
      <c r="F79" s="24" t="s">
        <v>100</v>
      </c>
      <c r="G79" s="24" t="s">
        <v>160</v>
      </c>
      <c r="H79" s="165" cm="1">
        <f t="array" ref="H79">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79" s="165" t="str" cm="1">
        <f t="array" ref="I79">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79" s="165" t="str" cm="1">
        <f t="array" ref="J79">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79" s="165" t="str" cm="1">
        <f t="array" ref="K79">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79" s="165" t="str" cm="1">
        <f t="array" ref="L79">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80" spans="3:12" hidden="1" x14ac:dyDescent="0.25">
      <c r="C80" s="24" t="s">
        <v>237</v>
      </c>
      <c r="D80" s="24" t="s">
        <v>532</v>
      </c>
      <c r="E80" s="149" t="s">
        <v>291</v>
      </c>
      <c r="F80" s="24" t="s">
        <v>101</v>
      </c>
      <c r="G80" s="24" t="s">
        <v>160</v>
      </c>
      <c r="H80" s="165" cm="1">
        <f t="array" ref="H80">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80" s="165" t="str" cm="1">
        <f t="array" ref="I80">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80" s="165" t="str" cm="1">
        <f t="array" ref="J80">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80" s="165" t="str" cm="1">
        <f t="array" ref="K80">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80" s="165" t="str" cm="1">
        <f t="array" ref="L80">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81" spans="3:12" hidden="1" x14ac:dyDescent="0.25">
      <c r="C81" s="24" t="s">
        <v>296</v>
      </c>
      <c r="D81" s="24" t="s">
        <v>532</v>
      </c>
      <c r="E81" s="149" t="s">
        <v>291</v>
      </c>
      <c r="F81" s="24" t="s">
        <v>100</v>
      </c>
      <c r="G81" s="24" t="s">
        <v>160</v>
      </c>
      <c r="H81" s="165" cm="1">
        <f t="array" ref="H81">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81" s="165" cm="1">
        <f t="array" ref="I81">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81" s="165" cm="1">
        <f t="array" ref="J81">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81" s="165" cm="1">
        <f t="array" ref="K81">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81" s="165" cm="1">
        <f t="array" ref="L81">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82" spans="3:12" hidden="1" x14ac:dyDescent="0.25">
      <c r="C82" s="24" t="s">
        <v>239</v>
      </c>
      <c r="D82" s="24" t="s">
        <v>532</v>
      </c>
      <c r="E82" s="149" t="s">
        <v>291</v>
      </c>
      <c r="F82" s="24" t="s">
        <v>100</v>
      </c>
      <c r="G82" s="24" t="s">
        <v>160</v>
      </c>
      <c r="H82" s="165" cm="1">
        <f t="array" ref="H82">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82" s="165" cm="1">
        <f t="array" ref="I82">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82" s="165" cm="1">
        <f t="array" ref="J82">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82" s="165" cm="1">
        <f t="array" ref="K82">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82" s="165" cm="1">
        <f t="array" ref="L82">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83" spans="3:12" hidden="1" x14ac:dyDescent="0.25">
      <c r="C83" s="24" t="s">
        <v>239</v>
      </c>
      <c r="D83" s="24" t="s">
        <v>532</v>
      </c>
      <c r="E83" s="149" t="s">
        <v>291</v>
      </c>
      <c r="F83" s="24" t="s">
        <v>101</v>
      </c>
      <c r="G83" s="24" t="s">
        <v>160</v>
      </c>
      <c r="H83" s="165" cm="1">
        <f t="array" ref="H83">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83" s="165" cm="1">
        <f t="array" ref="I83">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83" s="165" cm="1">
        <f t="array" ref="J83">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83" s="165" cm="1">
        <f t="array" ref="K83">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83" s="165" cm="1">
        <f t="array" ref="L83">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84" spans="3:12" hidden="1" x14ac:dyDescent="0.25">
      <c r="C84" s="24" t="s">
        <v>538</v>
      </c>
      <c r="D84" s="24" t="s">
        <v>532</v>
      </c>
      <c r="E84" s="149" t="s">
        <v>291</v>
      </c>
      <c r="F84" s="24" t="s">
        <v>100</v>
      </c>
      <c r="G84" s="24" t="s">
        <v>160</v>
      </c>
      <c r="H84" s="165" cm="1">
        <f t="array" ref="H84">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84" s="165" cm="1">
        <f t="array" ref="I84">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84" s="165" cm="1">
        <f t="array" ref="J84">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84" s="165" cm="1">
        <f t="array" ref="K84">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84" s="165" cm="1">
        <f t="array" ref="L84">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85" spans="3:12" hidden="1" x14ac:dyDescent="0.25">
      <c r="C85" s="24" t="s">
        <v>538</v>
      </c>
      <c r="D85" s="24" t="s">
        <v>532</v>
      </c>
      <c r="E85" s="149" t="s">
        <v>291</v>
      </c>
      <c r="F85" s="24" t="s">
        <v>101</v>
      </c>
      <c r="G85" s="24" t="s">
        <v>160</v>
      </c>
      <c r="H85" s="165" cm="1">
        <f t="array" ref="H85">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85" s="165" cm="1">
        <f t="array" ref="I85">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85" s="165" cm="1">
        <f t="array" ref="J85">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85" s="165" cm="1">
        <f t="array" ref="K85">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85" s="165" cm="1">
        <f t="array" ref="L85">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86" spans="3:12" hidden="1" x14ac:dyDescent="0.25">
      <c r="C86" s="24" t="s">
        <v>508</v>
      </c>
      <c r="D86" s="24" t="s">
        <v>533</v>
      </c>
      <c r="E86" s="149" t="s">
        <v>291</v>
      </c>
      <c r="F86" s="24" t="s">
        <v>100</v>
      </c>
      <c r="G86" s="24" t="s">
        <v>160</v>
      </c>
      <c r="H86" s="165" t="str" cm="1">
        <f t="array" ref="H86">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v>
      </c>
      <c r="I86" s="165" cm="1">
        <f t="array" ref="I86">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86" s="165" cm="1">
        <f t="array" ref="J86">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86" s="165" cm="1">
        <f t="array" ref="K86">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86" s="165" cm="1">
        <f t="array" ref="L86">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87" spans="3:12" hidden="1" x14ac:dyDescent="0.25">
      <c r="C87" s="24" t="s">
        <v>508</v>
      </c>
      <c r="D87" s="24" t="s">
        <v>533</v>
      </c>
      <c r="E87" s="149" t="s">
        <v>291</v>
      </c>
      <c r="F87" s="24" t="s">
        <v>101</v>
      </c>
      <c r="G87" s="24" t="s">
        <v>160</v>
      </c>
      <c r="H87" s="165" t="str" cm="1">
        <f t="array" ref="H87">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v>
      </c>
      <c r="I87" s="165" cm="1">
        <f t="array" ref="I87">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87" s="165" cm="1">
        <f t="array" ref="J87">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87" s="165" cm="1">
        <f t="array" ref="K87">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87" s="165" cm="1">
        <f t="array" ref="L87">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88" spans="3:12" hidden="1" x14ac:dyDescent="0.25">
      <c r="C88" s="24" t="s">
        <v>230</v>
      </c>
      <c r="D88" s="24" t="s">
        <v>533</v>
      </c>
      <c r="E88" s="149" t="s">
        <v>291</v>
      </c>
      <c r="F88" s="24" t="s">
        <v>100</v>
      </c>
      <c r="G88" s="24" t="s">
        <v>160</v>
      </c>
      <c r="H88" s="165" cm="1">
        <f t="array" ref="H88">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88" s="165" t="str" cm="1">
        <f t="array" ref="I88">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88" s="165" t="str" cm="1">
        <f t="array" ref="J88">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88" s="165" t="str" cm="1">
        <f t="array" ref="K88">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88" s="165" t="str" cm="1">
        <f t="array" ref="L88">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89" spans="3:12" hidden="1" x14ac:dyDescent="0.25">
      <c r="C89" s="24" t="s">
        <v>230</v>
      </c>
      <c r="D89" s="24" t="s">
        <v>533</v>
      </c>
      <c r="E89" s="149" t="s">
        <v>291</v>
      </c>
      <c r="F89" s="24" t="s">
        <v>101</v>
      </c>
      <c r="G89" s="24" t="s">
        <v>160</v>
      </c>
      <c r="H89" s="165" cm="1">
        <f t="array" ref="H89">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89" s="165" t="str" cm="1">
        <f t="array" ref="I89">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89" s="165" t="str" cm="1">
        <f t="array" ref="J89">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89" s="165" t="str" cm="1">
        <f t="array" ref="K89">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89" s="165" t="str" cm="1">
        <f t="array" ref="L89">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90" spans="3:12" hidden="1" x14ac:dyDescent="0.25">
      <c r="C90" s="24" t="s">
        <v>237</v>
      </c>
      <c r="D90" s="24" t="s">
        <v>533</v>
      </c>
      <c r="E90" s="149" t="s">
        <v>291</v>
      </c>
      <c r="F90" s="24" t="s">
        <v>100</v>
      </c>
      <c r="G90" s="24" t="s">
        <v>160</v>
      </c>
      <c r="H90" s="165" cm="1">
        <f t="array" ref="H90">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90" s="165" t="str" cm="1">
        <f t="array" ref="I90">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90" s="165" t="str" cm="1">
        <f t="array" ref="J90">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90" s="165" t="str" cm="1">
        <f t="array" ref="K90">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90" s="165" t="str" cm="1">
        <f t="array" ref="L90">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91" spans="3:12" hidden="1" x14ac:dyDescent="0.25">
      <c r="C91" s="24" t="s">
        <v>237</v>
      </c>
      <c r="D91" s="24" t="s">
        <v>533</v>
      </c>
      <c r="E91" s="149" t="s">
        <v>291</v>
      </c>
      <c r="F91" s="24" t="s">
        <v>101</v>
      </c>
      <c r="G91" s="24" t="s">
        <v>160</v>
      </c>
      <c r="H91" s="165" cm="1">
        <f t="array" ref="H91">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91" s="165" t="str" cm="1">
        <f t="array" ref="I91">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91" s="165" t="str" cm="1">
        <f t="array" ref="J91">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91" s="165" t="str" cm="1">
        <f t="array" ref="K91">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91" s="165" t="str" cm="1">
        <f t="array" ref="L91">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92" spans="3:12" hidden="1" x14ac:dyDescent="0.25">
      <c r="C92" s="24" t="s">
        <v>296</v>
      </c>
      <c r="D92" s="24" t="s">
        <v>533</v>
      </c>
      <c r="E92" s="149" t="s">
        <v>291</v>
      </c>
      <c r="F92" s="24" t="s">
        <v>100</v>
      </c>
      <c r="G92" s="24" t="s">
        <v>160</v>
      </c>
      <c r="H92" s="165" cm="1">
        <f t="array" ref="H92">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92" s="165" cm="1">
        <f t="array" ref="I92">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92" s="165" cm="1">
        <f t="array" ref="J92">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92" s="165" cm="1">
        <f t="array" ref="K92">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92" s="165" cm="1">
        <f t="array" ref="L92">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93" spans="3:12" hidden="1" x14ac:dyDescent="0.25">
      <c r="C93" s="24" t="s">
        <v>239</v>
      </c>
      <c r="D93" s="24" t="s">
        <v>533</v>
      </c>
      <c r="E93" s="149" t="s">
        <v>291</v>
      </c>
      <c r="F93" s="24" t="s">
        <v>100</v>
      </c>
      <c r="G93" s="24" t="s">
        <v>160</v>
      </c>
      <c r="H93" s="165" cm="1">
        <f t="array" ref="H93">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93" s="165" cm="1">
        <f t="array" ref="I93">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93" s="165" cm="1">
        <f t="array" ref="J93">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93" s="165" cm="1">
        <f t="array" ref="K93">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93" s="165" cm="1">
        <f t="array" ref="L93">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94" spans="3:12" hidden="1" x14ac:dyDescent="0.25">
      <c r="C94" s="24" t="s">
        <v>239</v>
      </c>
      <c r="D94" s="24" t="s">
        <v>533</v>
      </c>
      <c r="E94" s="149" t="s">
        <v>291</v>
      </c>
      <c r="F94" s="24" t="s">
        <v>101</v>
      </c>
      <c r="G94" s="24" t="s">
        <v>160</v>
      </c>
      <c r="H94" s="165" cm="1">
        <f t="array" ref="H94">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94" s="165" cm="1">
        <f t="array" ref="I94">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94" s="165" cm="1">
        <f t="array" ref="J94">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94" s="165" cm="1">
        <f t="array" ref="K94">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94" s="165" cm="1">
        <f t="array" ref="L94">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95" spans="3:12" hidden="1" x14ac:dyDescent="0.25">
      <c r="C95" s="24" t="s">
        <v>538</v>
      </c>
      <c r="D95" s="24" t="s">
        <v>533</v>
      </c>
      <c r="E95" s="149" t="s">
        <v>291</v>
      </c>
      <c r="F95" s="24" t="s">
        <v>100</v>
      </c>
      <c r="G95" s="24" t="s">
        <v>160</v>
      </c>
      <c r="H95" s="165" cm="1">
        <f t="array" ref="H95">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95" s="165" cm="1">
        <f t="array" ref="I95">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95" s="165" cm="1">
        <f t="array" ref="J95">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95" s="165" cm="1">
        <f t="array" ref="K95">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95" s="165" cm="1">
        <f t="array" ref="L95">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96" spans="3:12" hidden="1" x14ac:dyDescent="0.25">
      <c r="C96" s="24" t="s">
        <v>538</v>
      </c>
      <c r="D96" s="24" t="s">
        <v>533</v>
      </c>
      <c r="E96" s="149" t="s">
        <v>291</v>
      </c>
      <c r="F96" s="24" t="s">
        <v>101</v>
      </c>
      <c r="G96" s="24" t="s">
        <v>160</v>
      </c>
      <c r="H96" s="165" cm="1">
        <f t="array" ref="H96">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96" s="165" cm="1">
        <f t="array" ref="I96">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96" s="165" cm="1">
        <f t="array" ref="J96">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96" s="165" cm="1">
        <f t="array" ref="K96">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96" s="165" cm="1">
        <f t="array" ref="L96">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97" spans="3:12" hidden="1" x14ac:dyDescent="0.25"/>
    <row r="98" spans="3:12" ht="15.75" hidden="1" x14ac:dyDescent="0.25">
      <c r="C98" s="30" t="s">
        <v>25</v>
      </c>
    </row>
    <row r="99" spans="3:12" ht="15.75" hidden="1" x14ac:dyDescent="0.25">
      <c r="C99" s="140" t="s">
        <v>479</v>
      </c>
      <c r="D99" s="140" t="s">
        <v>322</v>
      </c>
      <c r="E99" s="140" t="s">
        <v>111</v>
      </c>
      <c r="F99" s="140" t="s">
        <v>99</v>
      </c>
      <c r="G99" s="140" t="s">
        <v>53</v>
      </c>
      <c r="H99" s="158" t="s">
        <v>277</v>
      </c>
      <c r="I99" s="158" t="s">
        <v>278</v>
      </c>
      <c r="J99" s="158" t="s">
        <v>279</v>
      </c>
      <c r="K99" s="158" t="s">
        <v>280</v>
      </c>
      <c r="L99" s="158" t="s">
        <v>281</v>
      </c>
    </row>
    <row r="100" spans="3:12" ht="15.75" hidden="1" x14ac:dyDescent="0.25">
      <c r="C100" s="24" t="s">
        <v>508</v>
      </c>
      <c r="D100" s="24" t="s">
        <v>531</v>
      </c>
      <c r="E100" s="149" t="s">
        <v>291</v>
      </c>
      <c r="F100" s="24" t="s">
        <v>100</v>
      </c>
      <c r="G100" s="24" t="s">
        <v>160</v>
      </c>
      <c r="H100" s="94" t="str">
        <f>IF(H64="-","-",
IF(
ROUND(H64,8)=
ROUND(SUMIFS(Calc_TUV_EnvGroup_1[Ausnet],Calc_TUV_EnvGroup_1[[Cost item]:[Cost item]],$D100,Calc_TUV_EnvGroup_1[[Cost element]:[Cost element]],$G100)*($F$58/$F$59),8),
0,1))</f>
        <v>-</v>
      </c>
      <c r="I100" s="94">
        <f>IF(I64="-","-",
IF(
ROUND(I64,8)=
ROUND(SUMIFS(Calc_TUV_EnvGroup_1[Citipower],Calc_TUV_EnvGroup_1[[Cost item]:[Cost item]],$D100,Calc_TUV_EnvGroup_1[[Cost element]:[Cost element]],$G100)*($F$58/$F$59),8),
0,1))</f>
        <v>0</v>
      </c>
      <c r="J100" s="94">
        <f>IF(J64="-","-",
IF(
ROUND(J64,8)=
ROUND(SUMIFS(Calc_TUV_EnvGroup_1[Jemena],Calc_TUV_EnvGroup_1[[Cost item]:[Cost item]],$D100,Calc_TUV_EnvGroup_1[[Cost element]:[Cost element]],$G100)*($F$58/$F$59),8),
0,1))</f>
        <v>0</v>
      </c>
      <c r="K100" s="94">
        <f>IF(K64="-","-",
IF(
ROUND(K64,8)=
ROUND(SUMIFS(Calc_TUV_EnvGroup_1[Powercor],Calc_TUV_EnvGroup_1[[Cost item]:[Cost item]],$D100,Calc_TUV_EnvGroup_1[[Cost element]:[Cost element]],$G100)*($F$58/$F$59),8),
0,1))</f>
        <v>0</v>
      </c>
      <c r="L100" s="94">
        <f>IF(L64="-","-",
IF(
ROUND(L64,8)=
ROUND(SUMIFS(Calc_TUV_EnvGroup_1[United Energy],Calc_TUV_EnvGroup_1[[Cost item]:[Cost item]],$D100,Calc_TUV_EnvGroup_1[[Cost element]:[Cost element]],$G100)*($F$58/$F$59),8),
0,1))</f>
        <v>0</v>
      </c>
    </row>
    <row r="101" spans="3:12" ht="15.75" hidden="1" x14ac:dyDescent="0.25">
      <c r="C101" s="24" t="s">
        <v>508</v>
      </c>
      <c r="D101" s="24" t="s">
        <v>531</v>
      </c>
      <c r="E101" s="149" t="s">
        <v>291</v>
      </c>
      <c r="F101" s="24" t="s">
        <v>101</v>
      </c>
      <c r="G101" s="24" t="s">
        <v>160</v>
      </c>
      <c r="H101" s="94" t="str">
        <f>IF(H65="-","-",
IF(
ROUND(H65,8)=
ROUND(SUMIFS(Calc_TUV_EnvGroup_1[Ausnet],Calc_TUV_EnvGroup_1[[Cost item]:[Cost item]],$D101,Calc_TUV_EnvGroup_1[[Cost element]:[Cost element]],$G101)*($F$58/$F$59),8),
0,1))</f>
        <v>-</v>
      </c>
      <c r="I101" s="94">
        <f>IF(I65="-","-",
IF(
ROUND(I65,8)=
ROUND(SUMIFS(Calc_TUV_EnvGroup_1[Citipower],Calc_TUV_EnvGroup_1[[Cost item]:[Cost item]],$D101,Calc_TUV_EnvGroup_1[[Cost element]:[Cost element]],$G101)*($F$58/$F$59),8),
0,1))</f>
        <v>0</v>
      </c>
      <c r="J101" s="94">
        <f>IF(J65="-","-",
IF(
ROUND(J65,8)=
ROUND(SUMIFS(Calc_TUV_EnvGroup_1[Jemena],Calc_TUV_EnvGroup_1[[Cost item]:[Cost item]],$D101,Calc_TUV_EnvGroup_1[[Cost element]:[Cost element]],$G101)*($F$58/$F$59),8),
0,1))</f>
        <v>0</v>
      </c>
      <c r="K101" s="94">
        <f>IF(K65="-","-",
IF(
ROUND(K65,8)=
ROUND(SUMIFS(Calc_TUV_EnvGroup_1[Powercor],Calc_TUV_EnvGroup_1[[Cost item]:[Cost item]],$D101,Calc_TUV_EnvGroup_1[[Cost element]:[Cost element]],$G101)*($F$58/$F$59),8),
0,1))</f>
        <v>0</v>
      </c>
      <c r="L101" s="94">
        <f>IF(L65="-","-",
IF(
ROUND(L65,8)=
ROUND(SUMIFS(Calc_TUV_EnvGroup_1[United Energy],Calc_TUV_EnvGroup_1[[Cost item]:[Cost item]],$D101,Calc_TUV_EnvGroup_1[[Cost element]:[Cost element]],$G101)*($F$58/$F$59),8),
0,1))</f>
        <v>0</v>
      </c>
    </row>
    <row r="102" spans="3:12" ht="15.75" hidden="1" x14ac:dyDescent="0.25">
      <c r="C102" s="24" t="s">
        <v>230</v>
      </c>
      <c r="D102" s="24" t="s">
        <v>531</v>
      </c>
      <c r="E102" s="149" t="s">
        <v>291</v>
      </c>
      <c r="F102" s="24" t="s">
        <v>100</v>
      </c>
      <c r="G102" s="24" t="s">
        <v>160</v>
      </c>
      <c r="H102" s="94">
        <f>IF(H66="-","-",
IF(
ROUND(H66,8)=
ROUND(SUMIFS(Calc_TUV_EnvGroup_1[Ausnet],Calc_TUV_EnvGroup_1[[Cost item]:[Cost item]],$D102,Calc_TUV_EnvGroup_1[[Cost element]:[Cost element]],$G102)*($F$58/$F$59),8),
0,1))</f>
        <v>0</v>
      </c>
      <c r="I102" s="94" t="str">
        <f>IF(I66="-","-",
IF(
ROUND(I66,8)=
ROUND(SUMIFS(Calc_TUV_EnvGroup_1[Citipower],Calc_TUV_EnvGroup_1[[Cost item]:[Cost item]],$D102,Calc_TUV_EnvGroup_1[[Cost element]:[Cost element]],$G102)*($F$58/$F$59),8),
0,1))</f>
        <v>-</v>
      </c>
      <c r="J102" s="94" t="str">
        <f>IF(J66="-","-",
IF(
ROUND(J66,8)=
ROUND(SUMIFS(Calc_TUV_EnvGroup_1[Jemena],Calc_TUV_EnvGroup_1[[Cost item]:[Cost item]],$D102,Calc_TUV_EnvGroup_1[[Cost element]:[Cost element]],$G102)*($F$58/$F$59),8),
0,1))</f>
        <v>-</v>
      </c>
      <c r="K102" s="94" t="str">
        <f>IF(K66="-","-",
IF(
ROUND(K66,8)=
ROUND(SUMIFS(Calc_TUV_EnvGroup_1[Powercor],Calc_TUV_EnvGroup_1[[Cost item]:[Cost item]],$D102,Calc_TUV_EnvGroup_1[[Cost element]:[Cost element]],$G102)*($F$58/$F$59),8),
0,1))</f>
        <v>-</v>
      </c>
      <c r="L102" s="94" t="str">
        <f>IF(L66="-","-",
IF(
ROUND(L66,8)=
ROUND(SUMIFS(Calc_TUV_EnvGroup_1[United Energy],Calc_TUV_EnvGroup_1[[Cost item]:[Cost item]],$D102,Calc_TUV_EnvGroup_1[[Cost element]:[Cost element]],$G102)*($F$58/$F$59),8),
0,1))</f>
        <v>-</v>
      </c>
    </row>
    <row r="103" spans="3:12" ht="15.75" hidden="1" x14ac:dyDescent="0.25">
      <c r="C103" s="24" t="s">
        <v>230</v>
      </c>
      <c r="D103" s="24" t="s">
        <v>531</v>
      </c>
      <c r="E103" s="149" t="s">
        <v>291</v>
      </c>
      <c r="F103" s="24" t="s">
        <v>101</v>
      </c>
      <c r="G103" s="24" t="s">
        <v>160</v>
      </c>
      <c r="H103" s="94">
        <f>IF(H67="-","-",
IF(
ROUND(H67,8)=
ROUND(SUMIFS(Calc_TUV_EnvGroup_1[Ausnet],Calc_TUV_EnvGroup_1[[Cost item]:[Cost item]],$D103,Calc_TUV_EnvGroup_1[[Cost element]:[Cost element]],$G103)*($F$58/$F$59),8),
0,1))</f>
        <v>0</v>
      </c>
      <c r="I103" s="94" t="str">
        <f>IF(I67="-","-",
IF(
ROUND(I67,8)=
ROUND(SUMIFS(Calc_TUV_EnvGroup_1[Citipower],Calc_TUV_EnvGroup_1[[Cost item]:[Cost item]],$D103,Calc_TUV_EnvGroup_1[[Cost element]:[Cost element]],$G103)*($F$58/$F$59),8),
0,1))</f>
        <v>-</v>
      </c>
      <c r="J103" s="94" t="str">
        <f>IF(J67="-","-",
IF(
ROUND(J67,8)=
ROUND(SUMIFS(Calc_TUV_EnvGroup_1[Jemena],Calc_TUV_EnvGroup_1[[Cost item]:[Cost item]],$D103,Calc_TUV_EnvGroup_1[[Cost element]:[Cost element]],$G103)*($F$58/$F$59),8),
0,1))</f>
        <v>-</v>
      </c>
      <c r="K103" s="94" t="str">
        <f>IF(K67="-","-",
IF(
ROUND(K67,8)=
ROUND(SUMIFS(Calc_TUV_EnvGroup_1[Powercor],Calc_TUV_EnvGroup_1[[Cost item]:[Cost item]],$D103,Calc_TUV_EnvGroup_1[[Cost element]:[Cost element]],$G103)*($F$58/$F$59),8),
0,1))</f>
        <v>-</v>
      </c>
      <c r="L103" s="94" t="str">
        <f>IF(L67="-","-",
IF(
ROUND(L67,8)=
ROUND(SUMIFS(Calc_TUV_EnvGroup_1[United Energy],Calc_TUV_EnvGroup_1[[Cost item]:[Cost item]],$D103,Calc_TUV_EnvGroup_1[[Cost element]:[Cost element]],$G103)*($F$58/$F$59),8),
0,1))</f>
        <v>-</v>
      </c>
    </row>
    <row r="104" spans="3:12" ht="15.75" hidden="1" x14ac:dyDescent="0.25">
      <c r="C104" s="24" t="s">
        <v>237</v>
      </c>
      <c r="D104" s="24" t="s">
        <v>531</v>
      </c>
      <c r="E104" s="149" t="s">
        <v>291</v>
      </c>
      <c r="F104" s="24" t="s">
        <v>100</v>
      </c>
      <c r="G104" s="24" t="s">
        <v>160</v>
      </c>
      <c r="H104" s="94">
        <f>IF(H68="-","-",
IF(
ROUND(H68,8)=
ROUND(SUMIFS(Calc_TUV_EnvGroup_1[Ausnet],Calc_TUV_EnvGroup_1[[Cost item]:[Cost item]],$D104,Calc_TUV_EnvGroup_1[[Cost element]:[Cost element]],$G104)*($F$58/$F$59),8),
0,1))</f>
        <v>0</v>
      </c>
      <c r="I104" s="94" t="str">
        <f>IF(I68="-","-",
IF(
ROUND(I68,8)=
ROUND(SUMIFS(Calc_TUV_EnvGroup_1[Citipower],Calc_TUV_EnvGroup_1[[Cost item]:[Cost item]],$D104,Calc_TUV_EnvGroup_1[[Cost element]:[Cost element]],$G104)*($F$58/$F$59),8),
0,1))</f>
        <v>-</v>
      </c>
      <c r="J104" s="94" t="str">
        <f>IF(J68="-","-",
IF(
ROUND(J68,8)=
ROUND(SUMIFS(Calc_TUV_EnvGroup_1[Jemena],Calc_TUV_EnvGroup_1[[Cost item]:[Cost item]],$D104,Calc_TUV_EnvGroup_1[[Cost element]:[Cost element]],$G104)*($F$58/$F$59),8),
0,1))</f>
        <v>-</v>
      </c>
      <c r="K104" s="94" t="str">
        <f>IF(K68="-","-",
IF(
ROUND(K68,8)=
ROUND(SUMIFS(Calc_TUV_EnvGroup_1[Powercor],Calc_TUV_EnvGroup_1[[Cost item]:[Cost item]],$D104,Calc_TUV_EnvGroup_1[[Cost element]:[Cost element]],$G104)*($F$58/$F$59),8),
0,1))</f>
        <v>-</v>
      </c>
      <c r="L104" s="94" t="str">
        <f>IF(L68="-","-",
IF(
ROUND(L68,8)=
ROUND(SUMIFS(Calc_TUV_EnvGroup_1[United Energy],Calc_TUV_EnvGroup_1[[Cost item]:[Cost item]],$D104,Calc_TUV_EnvGroup_1[[Cost element]:[Cost element]],$G104)*($F$58/$F$59),8),
0,1))</f>
        <v>-</v>
      </c>
    </row>
    <row r="105" spans="3:12" ht="15.75" hidden="1" x14ac:dyDescent="0.25">
      <c r="C105" s="24" t="s">
        <v>237</v>
      </c>
      <c r="D105" s="24" t="s">
        <v>531</v>
      </c>
      <c r="E105" s="149" t="s">
        <v>291</v>
      </c>
      <c r="F105" s="24" t="s">
        <v>101</v>
      </c>
      <c r="G105" s="24" t="s">
        <v>160</v>
      </c>
      <c r="H105" s="94">
        <f>IF(H69="-","-",
IF(
ROUND(H69,8)=
ROUND(SUMIFS(Calc_TUV_EnvGroup_1[Ausnet],Calc_TUV_EnvGroup_1[[Cost item]:[Cost item]],$D105,Calc_TUV_EnvGroup_1[[Cost element]:[Cost element]],$G105)*($F$58/$F$59),8),
0,1))</f>
        <v>0</v>
      </c>
      <c r="I105" s="94" t="str">
        <f>IF(I69="-","-",
IF(
ROUND(I69,8)=
ROUND(SUMIFS(Calc_TUV_EnvGroup_1[Citipower],Calc_TUV_EnvGroup_1[[Cost item]:[Cost item]],$D105,Calc_TUV_EnvGroup_1[[Cost element]:[Cost element]],$G105)*($F$58/$F$59),8),
0,1))</f>
        <v>-</v>
      </c>
      <c r="J105" s="94" t="str">
        <f>IF(J69="-","-",
IF(
ROUND(J69,8)=
ROUND(SUMIFS(Calc_TUV_EnvGroup_1[Jemena],Calc_TUV_EnvGroup_1[[Cost item]:[Cost item]],$D105,Calc_TUV_EnvGroup_1[[Cost element]:[Cost element]],$G105)*($F$58/$F$59),8),
0,1))</f>
        <v>-</v>
      </c>
      <c r="K105" s="94" t="str">
        <f>IF(K69="-","-",
IF(
ROUND(K69,8)=
ROUND(SUMIFS(Calc_TUV_EnvGroup_1[Powercor],Calc_TUV_EnvGroup_1[[Cost item]:[Cost item]],$D105,Calc_TUV_EnvGroup_1[[Cost element]:[Cost element]],$G105)*($F$58/$F$59),8),
0,1))</f>
        <v>-</v>
      </c>
      <c r="L105" s="94" t="str">
        <f>IF(L69="-","-",
IF(
ROUND(L69,8)=
ROUND(SUMIFS(Calc_TUV_EnvGroup_1[United Energy],Calc_TUV_EnvGroup_1[[Cost item]:[Cost item]],$D105,Calc_TUV_EnvGroup_1[[Cost element]:[Cost element]],$G105)*($F$58/$F$59),8),
0,1))</f>
        <v>-</v>
      </c>
    </row>
    <row r="106" spans="3:12" ht="15.75" hidden="1" x14ac:dyDescent="0.25">
      <c r="C106" s="24" t="s">
        <v>296</v>
      </c>
      <c r="D106" s="24" t="s">
        <v>531</v>
      </c>
      <c r="E106" s="149" t="s">
        <v>291</v>
      </c>
      <c r="F106" s="24" t="s">
        <v>100</v>
      </c>
      <c r="G106" s="24" t="s">
        <v>160</v>
      </c>
      <c r="H106" s="94">
        <f>IF(H70="-","-",
IF(
ROUND(H70,8)=
ROUND(SUMIFS(Calc_TUV_EnvGroup_1[Ausnet],Calc_TUV_EnvGroup_1[[Cost item]:[Cost item]],$D106,Calc_TUV_EnvGroup_1[[Cost element]:[Cost element]],$G106)*($F$58/$F$59),8),
0,1))</f>
        <v>0</v>
      </c>
      <c r="I106" s="94">
        <f>IF(I70="-","-",
IF(
ROUND(I70,8)=
ROUND(SUMIFS(Calc_TUV_EnvGroup_1[Citipower],Calc_TUV_EnvGroup_1[[Cost item]:[Cost item]],$D106,Calc_TUV_EnvGroup_1[[Cost element]:[Cost element]],$G106)*($F$58/$F$59),8),
0,1))</f>
        <v>0</v>
      </c>
      <c r="J106" s="94">
        <f>IF(J70="-","-",
IF(
ROUND(J70,8)=
ROUND(SUMIFS(Calc_TUV_EnvGroup_1[Jemena],Calc_TUV_EnvGroup_1[[Cost item]:[Cost item]],$D106,Calc_TUV_EnvGroup_1[[Cost element]:[Cost element]],$G106)*($F$58/$F$59),8),
0,1))</f>
        <v>0</v>
      </c>
      <c r="K106" s="94">
        <f>IF(K70="-","-",
IF(
ROUND(K70,8)=
ROUND(SUMIFS(Calc_TUV_EnvGroup_1[Powercor],Calc_TUV_EnvGroup_1[[Cost item]:[Cost item]],$D106,Calc_TUV_EnvGroup_1[[Cost element]:[Cost element]],$G106)*($F$58/$F$59),8),
0,1))</f>
        <v>0</v>
      </c>
      <c r="L106" s="94">
        <f>IF(L70="-","-",
IF(
ROUND(L70,8)=
ROUND(SUMIFS(Calc_TUV_EnvGroup_1[United Energy],Calc_TUV_EnvGroup_1[[Cost item]:[Cost item]],$D106,Calc_TUV_EnvGroup_1[[Cost element]:[Cost element]],$G106)*($F$58/$F$59),8),
0,1))</f>
        <v>0</v>
      </c>
    </row>
    <row r="107" spans="3:12" ht="15.75" hidden="1" x14ac:dyDescent="0.25">
      <c r="C107" s="24" t="s">
        <v>239</v>
      </c>
      <c r="D107" s="24" t="s">
        <v>531</v>
      </c>
      <c r="E107" s="149" t="s">
        <v>291</v>
      </c>
      <c r="F107" s="24" t="s">
        <v>100</v>
      </c>
      <c r="G107" s="24" t="s">
        <v>160</v>
      </c>
      <c r="H107" s="94">
        <f>IF(H71="-","-",
IF(
ROUND(H71,8)=
ROUND(SUMIFS(Calc_TUV_EnvGroup_1[Ausnet],Calc_TUV_EnvGroup_1[[Cost item]:[Cost item]],$D107,Calc_TUV_EnvGroup_1[[Cost element]:[Cost element]],$G107)*($F$58/$F$59),8),
0,1))</f>
        <v>0</v>
      </c>
      <c r="I107" s="94">
        <f>IF(I71="-","-",
IF(
ROUND(I71,8)=
ROUND(SUMIFS(Calc_TUV_EnvGroup_1[Citipower],Calc_TUV_EnvGroup_1[[Cost item]:[Cost item]],$D107,Calc_TUV_EnvGroup_1[[Cost element]:[Cost element]],$G107)*($F$58/$F$59),8),
0,1))</f>
        <v>0</v>
      </c>
      <c r="J107" s="94">
        <f>IF(J71="-","-",
IF(
ROUND(J71,8)=
ROUND(SUMIFS(Calc_TUV_EnvGroup_1[Jemena],Calc_TUV_EnvGroup_1[[Cost item]:[Cost item]],$D107,Calc_TUV_EnvGroup_1[[Cost element]:[Cost element]],$G107)*($F$58/$F$59),8),
0,1))</f>
        <v>0</v>
      </c>
      <c r="K107" s="94">
        <f>IF(K71="-","-",
IF(
ROUND(K71,8)=
ROUND(SUMIFS(Calc_TUV_EnvGroup_1[Powercor],Calc_TUV_EnvGroup_1[[Cost item]:[Cost item]],$D107,Calc_TUV_EnvGroup_1[[Cost element]:[Cost element]],$G107)*($F$58/$F$59),8),
0,1))</f>
        <v>0</v>
      </c>
      <c r="L107" s="94">
        <f>IF(L71="-","-",
IF(
ROUND(L71,8)=
ROUND(SUMIFS(Calc_TUV_EnvGroup_1[United Energy],Calc_TUV_EnvGroup_1[[Cost item]:[Cost item]],$D107,Calc_TUV_EnvGroup_1[[Cost element]:[Cost element]],$G107)*($F$58/$F$59),8),
0,1))</f>
        <v>0</v>
      </c>
    </row>
    <row r="108" spans="3:12" ht="15.75" hidden="1" x14ac:dyDescent="0.25">
      <c r="C108" s="24" t="s">
        <v>239</v>
      </c>
      <c r="D108" s="24" t="s">
        <v>531</v>
      </c>
      <c r="E108" s="149" t="s">
        <v>291</v>
      </c>
      <c r="F108" s="24" t="s">
        <v>101</v>
      </c>
      <c r="G108" s="24" t="s">
        <v>160</v>
      </c>
      <c r="H108" s="94">
        <f>IF(H72="-","-",
IF(
ROUND(H72,8)=
ROUND(SUMIFS(Calc_TUV_EnvGroup_1[Ausnet],Calc_TUV_EnvGroup_1[[Cost item]:[Cost item]],$D108,Calc_TUV_EnvGroup_1[[Cost element]:[Cost element]],$G108)*($F$58/$F$59),8),
0,1))</f>
        <v>0</v>
      </c>
      <c r="I108" s="94">
        <f>IF(I72="-","-",
IF(
ROUND(I72,8)=
ROUND(SUMIFS(Calc_TUV_EnvGroup_1[Citipower],Calc_TUV_EnvGroup_1[[Cost item]:[Cost item]],$D108,Calc_TUV_EnvGroup_1[[Cost element]:[Cost element]],$G108)*($F$58/$F$59),8),
0,1))</f>
        <v>0</v>
      </c>
      <c r="J108" s="94">
        <f>IF(J72="-","-",
IF(
ROUND(J72,8)=
ROUND(SUMIFS(Calc_TUV_EnvGroup_1[Jemena],Calc_TUV_EnvGroup_1[[Cost item]:[Cost item]],$D108,Calc_TUV_EnvGroup_1[[Cost element]:[Cost element]],$G108)*($F$58/$F$59),8),
0,1))</f>
        <v>0</v>
      </c>
      <c r="K108" s="94">
        <f>IF(K72="-","-",
IF(
ROUND(K72,8)=
ROUND(SUMIFS(Calc_TUV_EnvGroup_1[Powercor],Calc_TUV_EnvGroup_1[[Cost item]:[Cost item]],$D108,Calc_TUV_EnvGroup_1[[Cost element]:[Cost element]],$G108)*($F$58/$F$59),8),
0,1))</f>
        <v>0</v>
      </c>
      <c r="L108" s="94">
        <f>IF(L72="-","-",
IF(
ROUND(L72,8)=
ROUND(SUMIFS(Calc_TUV_EnvGroup_1[United Energy],Calc_TUV_EnvGroup_1[[Cost item]:[Cost item]],$D108,Calc_TUV_EnvGroup_1[[Cost element]:[Cost element]],$G108)*($F$58/$F$59),8),
0,1))</f>
        <v>0</v>
      </c>
    </row>
    <row r="109" spans="3:12" ht="15.75" hidden="1" x14ac:dyDescent="0.25">
      <c r="C109" s="24" t="s">
        <v>538</v>
      </c>
      <c r="D109" s="24" t="s">
        <v>531</v>
      </c>
      <c r="E109" s="149" t="s">
        <v>291</v>
      </c>
      <c r="F109" s="24" t="s">
        <v>100</v>
      </c>
      <c r="G109" s="24" t="s">
        <v>160</v>
      </c>
      <c r="H109" s="94">
        <f>IF(H73="-","-",
IF(
ROUND(H73,8)=
ROUND(SUMIFS(Calc_TUV_EnvGroup_1[Ausnet],Calc_TUV_EnvGroup_1[[Cost item]:[Cost item]],$D109,Calc_TUV_EnvGroup_1[[Cost element]:[Cost element]],$G109)*($F$58/$F$59),8),
0,1))</f>
        <v>0</v>
      </c>
      <c r="I109" s="94">
        <f>IF(I73="-","-",
IF(
ROUND(I73,8)=
ROUND(SUMIFS(Calc_TUV_EnvGroup_1[Citipower],Calc_TUV_EnvGroup_1[[Cost item]:[Cost item]],$D109,Calc_TUV_EnvGroup_1[[Cost element]:[Cost element]],$G109)*($F$58/$F$59),8),
0,1))</f>
        <v>0</v>
      </c>
      <c r="J109" s="94">
        <f>IF(J73="-","-",
IF(
ROUND(J73,8)=
ROUND(SUMIFS(Calc_TUV_EnvGroup_1[Jemena],Calc_TUV_EnvGroup_1[[Cost item]:[Cost item]],$D109,Calc_TUV_EnvGroup_1[[Cost element]:[Cost element]],$G109)*($F$58/$F$59),8),
0,1))</f>
        <v>0</v>
      </c>
      <c r="K109" s="94">
        <f>IF(K73="-","-",
IF(
ROUND(K73,8)=
ROUND(SUMIFS(Calc_TUV_EnvGroup_1[Powercor],Calc_TUV_EnvGroup_1[[Cost item]:[Cost item]],$D109,Calc_TUV_EnvGroup_1[[Cost element]:[Cost element]],$G109)*($F$58/$F$59),8),
0,1))</f>
        <v>0</v>
      </c>
      <c r="L109" s="94">
        <f>IF(L73="-","-",
IF(
ROUND(L73,8)=
ROUND(SUMIFS(Calc_TUV_EnvGroup_1[United Energy],Calc_TUV_EnvGroup_1[[Cost item]:[Cost item]],$D109,Calc_TUV_EnvGroup_1[[Cost element]:[Cost element]],$G109)*($F$58/$F$59),8),
0,1))</f>
        <v>0</v>
      </c>
    </row>
    <row r="110" spans="3:12" ht="15.75" hidden="1" x14ac:dyDescent="0.25">
      <c r="C110" s="24" t="s">
        <v>538</v>
      </c>
      <c r="D110" s="24" t="s">
        <v>531</v>
      </c>
      <c r="E110" s="149" t="s">
        <v>291</v>
      </c>
      <c r="F110" s="24" t="s">
        <v>101</v>
      </c>
      <c r="G110" s="24" t="s">
        <v>160</v>
      </c>
      <c r="H110" s="94">
        <f>IF(H74="-","-",
IF(
ROUND(H74,8)=
ROUND(SUMIFS(Calc_TUV_EnvGroup_1[Ausnet],Calc_TUV_EnvGroup_1[[Cost item]:[Cost item]],$D110,Calc_TUV_EnvGroup_1[[Cost element]:[Cost element]],$G110)*($F$58/$F$59),8),
0,1))</f>
        <v>0</v>
      </c>
      <c r="I110" s="94">
        <f>IF(I74="-","-",
IF(
ROUND(I74,8)=
ROUND(SUMIFS(Calc_TUV_EnvGroup_1[Citipower],Calc_TUV_EnvGroup_1[[Cost item]:[Cost item]],$D110,Calc_TUV_EnvGroup_1[[Cost element]:[Cost element]],$G110)*($F$58/$F$59),8),
0,1))</f>
        <v>0</v>
      </c>
      <c r="J110" s="94">
        <f>IF(J74="-","-",
IF(
ROUND(J74,8)=
ROUND(SUMIFS(Calc_TUV_EnvGroup_1[Jemena],Calc_TUV_EnvGroup_1[[Cost item]:[Cost item]],$D110,Calc_TUV_EnvGroup_1[[Cost element]:[Cost element]],$G110)*($F$58/$F$59),8),
0,1))</f>
        <v>0</v>
      </c>
      <c r="K110" s="94">
        <f>IF(K74="-","-",
IF(
ROUND(K74,8)=
ROUND(SUMIFS(Calc_TUV_EnvGroup_1[Powercor],Calc_TUV_EnvGroup_1[[Cost item]:[Cost item]],$D110,Calc_TUV_EnvGroup_1[[Cost element]:[Cost element]],$G110)*($F$58/$F$59),8),
0,1))</f>
        <v>0</v>
      </c>
      <c r="L110" s="94">
        <f>IF(L74="-","-",
IF(
ROUND(L74,8)=
ROUND(SUMIFS(Calc_TUV_EnvGroup_1[United Energy],Calc_TUV_EnvGroup_1[[Cost item]:[Cost item]],$D110,Calc_TUV_EnvGroup_1[[Cost element]:[Cost element]],$G110)*($F$58/$F$59),8),
0,1))</f>
        <v>0</v>
      </c>
    </row>
    <row r="111" spans="3:12" ht="15.75" hidden="1" x14ac:dyDescent="0.25">
      <c r="C111" s="24" t="s">
        <v>508</v>
      </c>
      <c r="D111" s="24" t="s">
        <v>532</v>
      </c>
      <c r="E111" s="149" t="s">
        <v>291</v>
      </c>
      <c r="F111" s="24" t="s">
        <v>100</v>
      </c>
      <c r="G111" s="24" t="s">
        <v>160</v>
      </c>
      <c r="H111" s="94" t="str">
        <f>IF(H75="-","-",
IF(
ROUND(H75,8)=
ROUND(SUMIFS(Calc_TUV_EnvGroup_1[Ausnet],Calc_TUV_EnvGroup_1[[Cost item]:[Cost item]],$D111,Calc_TUV_EnvGroup_1[[Cost element]:[Cost element]],$G111)*($F$58/$F$59),8),
0,1))</f>
        <v>-</v>
      </c>
      <c r="I111" s="94">
        <f>IF(I75="-","-",
IF(
ROUND(I75,8)=
ROUND(SUMIFS(Calc_TUV_EnvGroup_1[Citipower],Calc_TUV_EnvGroup_1[[Cost item]:[Cost item]],$D111,Calc_TUV_EnvGroup_1[[Cost element]:[Cost element]],$G111)*($F$58/$F$59),8),
0,1))</f>
        <v>0</v>
      </c>
      <c r="J111" s="94">
        <f>IF(J75="-","-",
IF(
ROUND(J75,8)=
ROUND(SUMIFS(Calc_TUV_EnvGroup_1[Jemena],Calc_TUV_EnvGroup_1[[Cost item]:[Cost item]],$D111,Calc_TUV_EnvGroup_1[[Cost element]:[Cost element]],$G111)*($F$58/$F$59),8),
0,1))</f>
        <v>0</v>
      </c>
      <c r="K111" s="94">
        <f>IF(K75="-","-",
IF(
ROUND(K75,8)=
ROUND(SUMIFS(Calc_TUV_EnvGroup_1[Powercor],Calc_TUV_EnvGroup_1[[Cost item]:[Cost item]],$D111,Calc_TUV_EnvGroup_1[[Cost element]:[Cost element]],$G111)*($F$58/$F$59),8),
0,1))</f>
        <v>0</v>
      </c>
      <c r="L111" s="94">
        <f>IF(L75="-","-",
IF(
ROUND(L75,8)=
ROUND(SUMIFS(Calc_TUV_EnvGroup_1[United Energy],Calc_TUV_EnvGroup_1[[Cost item]:[Cost item]],$D111,Calc_TUV_EnvGroup_1[[Cost element]:[Cost element]],$G111)*($F$58/$F$59),8),
0,1))</f>
        <v>0</v>
      </c>
    </row>
    <row r="112" spans="3:12" ht="15.75" hidden="1" x14ac:dyDescent="0.25">
      <c r="C112" s="24" t="s">
        <v>508</v>
      </c>
      <c r="D112" s="24" t="s">
        <v>532</v>
      </c>
      <c r="E112" s="149" t="s">
        <v>291</v>
      </c>
      <c r="F112" s="24" t="s">
        <v>101</v>
      </c>
      <c r="G112" s="24" t="s">
        <v>160</v>
      </c>
      <c r="H112" s="94" t="str">
        <f>IF(H76="-","-",
IF(
ROUND(H76,8)=
ROUND(SUMIFS(Calc_TUV_EnvGroup_1[Ausnet],Calc_TUV_EnvGroup_1[[Cost item]:[Cost item]],$D112,Calc_TUV_EnvGroup_1[[Cost element]:[Cost element]],$G112)*($F$58/$F$59),8),
0,1))</f>
        <v>-</v>
      </c>
      <c r="I112" s="94">
        <f>IF(I76="-","-",
IF(
ROUND(I76,8)=
ROUND(SUMIFS(Calc_TUV_EnvGroup_1[Citipower],Calc_TUV_EnvGroup_1[[Cost item]:[Cost item]],$D112,Calc_TUV_EnvGroup_1[[Cost element]:[Cost element]],$G112)*($F$58/$F$59),8),
0,1))</f>
        <v>0</v>
      </c>
      <c r="J112" s="94">
        <f>IF(J76="-","-",
IF(
ROUND(J76,8)=
ROUND(SUMIFS(Calc_TUV_EnvGroup_1[Jemena],Calc_TUV_EnvGroup_1[[Cost item]:[Cost item]],$D112,Calc_TUV_EnvGroup_1[[Cost element]:[Cost element]],$G112)*($F$58/$F$59),8),
0,1))</f>
        <v>0</v>
      </c>
      <c r="K112" s="94">
        <f>IF(K76="-","-",
IF(
ROUND(K76,8)=
ROUND(SUMIFS(Calc_TUV_EnvGroup_1[Powercor],Calc_TUV_EnvGroup_1[[Cost item]:[Cost item]],$D112,Calc_TUV_EnvGroup_1[[Cost element]:[Cost element]],$G112)*($F$58/$F$59),8),
0,1))</f>
        <v>0</v>
      </c>
      <c r="L112" s="94">
        <f>IF(L76="-","-",
IF(
ROUND(L76,8)=
ROUND(SUMIFS(Calc_TUV_EnvGroup_1[United Energy],Calc_TUV_EnvGroup_1[[Cost item]:[Cost item]],$D112,Calc_TUV_EnvGroup_1[[Cost element]:[Cost element]],$G112)*($F$58/$F$59),8),
0,1))</f>
        <v>0</v>
      </c>
    </row>
    <row r="113" spans="3:12" ht="15.75" hidden="1" x14ac:dyDescent="0.25">
      <c r="C113" s="24" t="s">
        <v>230</v>
      </c>
      <c r="D113" s="24" t="s">
        <v>532</v>
      </c>
      <c r="E113" s="149" t="s">
        <v>291</v>
      </c>
      <c r="F113" s="24" t="s">
        <v>100</v>
      </c>
      <c r="G113" s="24" t="s">
        <v>160</v>
      </c>
      <c r="H113" s="94">
        <f>IF(H77="-","-",
IF(
ROUND(H77,8)=
ROUND(SUMIFS(Calc_TUV_EnvGroup_1[Ausnet],Calc_TUV_EnvGroup_1[[Cost item]:[Cost item]],$D113,Calc_TUV_EnvGroup_1[[Cost element]:[Cost element]],$G113)*($F$58/$F$59),8),
0,1))</f>
        <v>0</v>
      </c>
      <c r="I113" s="94" t="str">
        <f>IF(I77="-","-",
IF(
ROUND(I77,8)=
ROUND(SUMIFS(Calc_TUV_EnvGroup_1[Citipower],Calc_TUV_EnvGroup_1[[Cost item]:[Cost item]],$D113,Calc_TUV_EnvGroup_1[[Cost element]:[Cost element]],$G113)*($F$58/$F$59),8),
0,1))</f>
        <v>-</v>
      </c>
      <c r="J113" s="94" t="str">
        <f>IF(J77="-","-",
IF(
ROUND(J77,8)=
ROUND(SUMIFS(Calc_TUV_EnvGroup_1[Jemena],Calc_TUV_EnvGroup_1[[Cost item]:[Cost item]],$D113,Calc_TUV_EnvGroup_1[[Cost element]:[Cost element]],$G113)*($F$58/$F$59),8),
0,1))</f>
        <v>-</v>
      </c>
      <c r="K113" s="94" t="str">
        <f>IF(K77="-","-",
IF(
ROUND(K77,8)=
ROUND(SUMIFS(Calc_TUV_EnvGroup_1[Powercor],Calc_TUV_EnvGroup_1[[Cost item]:[Cost item]],$D113,Calc_TUV_EnvGroup_1[[Cost element]:[Cost element]],$G113)*($F$58/$F$59),8),
0,1))</f>
        <v>-</v>
      </c>
      <c r="L113" s="94" t="str">
        <f>IF(L77="-","-",
IF(
ROUND(L77,8)=
ROUND(SUMIFS(Calc_TUV_EnvGroup_1[United Energy],Calc_TUV_EnvGroup_1[[Cost item]:[Cost item]],$D113,Calc_TUV_EnvGroup_1[[Cost element]:[Cost element]],$G113)*($F$58/$F$59),8),
0,1))</f>
        <v>-</v>
      </c>
    </row>
    <row r="114" spans="3:12" ht="15.75" hidden="1" x14ac:dyDescent="0.25">
      <c r="C114" s="24" t="s">
        <v>230</v>
      </c>
      <c r="D114" s="24" t="s">
        <v>532</v>
      </c>
      <c r="E114" s="149" t="s">
        <v>291</v>
      </c>
      <c r="F114" s="24" t="s">
        <v>101</v>
      </c>
      <c r="G114" s="24" t="s">
        <v>160</v>
      </c>
      <c r="H114" s="94">
        <f>IF(H78="-","-",
IF(
ROUND(H78,8)=
ROUND(SUMIFS(Calc_TUV_EnvGroup_1[Ausnet],Calc_TUV_EnvGroup_1[[Cost item]:[Cost item]],$D114,Calc_TUV_EnvGroup_1[[Cost element]:[Cost element]],$G114)*($F$58/$F$59),8),
0,1))</f>
        <v>0</v>
      </c>
      <c r="I114" s="94" t="str">
        <f>IF(I78="-","-",
IF(
ROUND(I78,8)=
ROUND(SUMIFS(Calc_TUV_EnvGroup_1[Citipower],Calc_TUV_EnvGroup_1[[Cost item]:[Cost item]],$D114,Calc_TUV_EnvGroup_1[[Cost element]:[Cost element]],$G114)*($F$58/$F$59),8),
0,1))</f>
        <v>-</v>
      </c>
      <c r="J114" s="94" t="str">
        <f>IF(J78="-","-",
IF(
ROUND(J78,8)=
ROUND(SUMIFS(Calc_TUV_EnvGroup_1[Jemena],Calc_TUV_EnvGroup_1[[Cost item]:[Cost item]],$D114,Calc_TUV_EnvGroup_1[[Cost element]:[Cost element]],$G114)*($F$58/$F$59),8),
0,1))</f>
        <v>-</v>
      </c>
      <c r="K114" s="94" t="str">
        <f>IF(K78="-","-",
IF(
ROUND(K78,8)=
ROUND(SUMIFS(Calc_TUV_EnvGroup_1[Powercor],Calc_TUV_EnvGroup_1[[Cost item]:[Cost item]],$D114,Calc_TUV_EnvGroup_1[[Cost element]:[Cost element]],$G114)*($F$58/$F$59),8),
0,1))</f>
        <v>-</v>
      </c>
      <c r="L114" s="94" t="str">
        <f>IF(L78="-","-",
IF(
ROUND(L78,8)=
ROUND(SUMIFS(Calc_TUV_EnvGroup_1[United Energy],Calc_TUV_EnvGroup_1[[Cost item]:[Cost item]],$D114,Calc_TUV_EnvGroup_1[[Cost element]:[Cost element]],$G114)*($F$58/$F$59),8),
0,1))</f>
        <v>-</v>
      </c>
    </row>
    <row r="115" spans="3:12" ht="15.75" hidden="1" x14ac:dyDescent="0.25">
      <c r="C115" s="24" t="s">
        <v>237</v>
      </c>
      <c r="D115" s="24" t="s">
        <v>532</v>
      </c>
      <c r="E115" s="149" t="s">
        <v>291</v>
      </c>
      <c r="F115" s="24" t="s">
        <v>100</v>
      </c>
      <c r="G115" s="24" t="s">
        <v>160</v>
      </c>
      <c r="H115" s="94">
        <f>IF(H79="-","-",
IF(
ROUND(H79,8)=
ROUND(SUMIFS(Calc_TUV_EnvGroup_1[Ausnet],Calc_TUV_EnvGroup_1[[Cost item]:[Cost item]],$D115,Calc_TUV_EnvGroup_1[[Cost element]:[Cost element]],$G115)*($F$58/$F$59),8),
0,1))</f>
        <v>0</v>
      </c>
      <c r="I115" s="94" t="str">
        <f>IF(I79="-","-",
IF(
ROUND(I79,8)=
ROUND(SUMIFS(Calc_TUV_EnvGroup_1[Citipower],Calc_TUV_EnvGroup_1[[Cost item]:[Cost item]],$D115,Calc_TUV_EnvGroup_1[[Cost element]:[Cost element]],$G115)*($F$58/$F$59),8),
0,1))</f>
        <v>-</v>
      </c>
      <c r="J115" s="94" t="str">
        <f>IF(J79="-","-",
IF(
ROUND(J79,8)=
ROUND(SUMIFS(Calc_TUV_EnvGroup_1[Jemena],Calc_TUV_EnvGroup_1[[Cost item]:[Cost item]],$D115,Calc_TUV_EnvGroup_1[[Cost element]:[Cost element]],$G115)*($F$58/$F$59),8),
0,1))</f>
        <v>-</v>
      </c>
      <c r="K115" s="94" t="str">
        <f>IF(K79="-","-",
IF(
ROUND(K79,8)=
ROUND(SUMIFS(Calc_TUV_EnvGroup_1[Powercor],Calc_TUV_EnvGroup_1[[Cost item]:[Cost item]],$D115,Calc_TUV_EnvGroup_1[[Cost element]:[Cost element]],$G115)*($F$58/$F$59),8),
0,1))</f>
        <v>-</v>
      </c>
      <c r="L115" s="94" t="str">
        <f>IF(L79="-","-",
IF(
ROUND(L79,8)=
ROUND(SUMIFS(Calc_TUV_EnvGroup_1[United Energy],Calc_TUV_EnvGroup_1[[Cost item]:[Cost item]],$D115,Calc_TUV_EnvGroup_1[[Cost element]:[Cost element]],$G115)*($F$58/$F$59),8),
0,1))</f>
        <v>-</v>
      </c>
    </row>
    <row r="116" spans="3:12" ht="15.75" hidden="1" x14ac:dyDescent="0.25">
      <c r="C116" s="24" t="s">
        <v>237</v>
      </c>
      <c r="D116" s="24" t="s">
        <v>532</v>
      </c>
      <c r="E116" s="149" t="s">
        <v>291</v>
      </c>
      <c r="F116" s="24" t="s">
        <v>101</v>
      </c>
      <c r="G116" s="24" t="s">
        <v>160</v>
      </c>
      <c r="H116" s="94">
        <f>IF(H80="-","-",
IF(
ROUND(H80,8)=
ROUND(SUMIFS(Calc_TUV_EnvGroup_1[Ausnet],Calc_TUV_EnvGroup_1[[Cost item]:[Cost item]],$D116,Calc_TUV_EnvGroup_1[[Cost element]:[Cost element]],$G116)*($F$58/$F$59),8),
0,1))</f>
        <v>0</v>
      </c>
      <c r="I116" s="94" t="str">
        <f>IF(I80="-","-",
IF(
ROUND(I80,8)=
ROUND(SUMIFS(Calc_TUV_EnvGroup_1[Citipower],Calc_TUV_EnvGroup_1[[Cost item]:[Cost item]],$D116,Calc_TUV_EnvGroup_1[[Cost element]:[Cost element]],$G116)*($F$58/$F$59),8),
0,1))</f>
        <v>-</v>
      </c>
      <c r="J116" s="94" t="str">
        <f>IF(J80="-","-",
IF(
ROUND(J80,8)=
ROUND(SUMIFS(Calc_TUV_EnvGroup_1[Jemena],Calc_TUV_EnvGroup_1[[Cost item]:[Cost item]],$D116,Calc_TUV_EnvGroup_1[[Cost element]:[Cost element]],$G116)*($F$58/$F$59),8),
0,1))</f>
        <v>-</v>
      </c>
      <c r="K116" s="94" t="str">
        <f>IF(K80="-","-",
IF(
ROUND(K80,8)=
ROUND(SUMIFS(Calc_TUV_EnvGroup_1[Powercor],Calc_TUV_EnvGroup_1[[Cost item]:[Cost item]],$D116,Calc_TUV_EnvGroup_1[[Cost element]:[Cost element]],$G116)*($F$58/$F$59),8),
0,1))</f>
        <v>-</v>
      </c>
      <c r="L116" s="94" t="str">
        <f>IF(L80="-","-",
IF(
ROUND(L80,8)=
ROUND(SUMIFS(Calc_TUV_EnvGroup_1[United Energy],Calc_TUV_EnvGroup_1[[Cost item]:[Cost item]],$D116,Calc_TUV_EnvGroup_1[[Cost element]:[Cost element]],$G116)*($F$58/$F$59),8),
0,1))</f>
        <v>-</v>
      </c>
    </row>
    <row r="117" spans="3:12" ht="15.75" hidden="1" x14ac:dyDescent="0.25">
      <c r="C117" s="24" t="s">
        <v>296</v>
      </c>
      <c r="D117" s="24" t="s">
        <v>532</v>
      </c>
      <c r="E117" s="149" t="s">
        <v>291</v>
      </c>
      <c r="F117" s="24" t="s">
        <v>100</v>
      </c>
      <c r="G117" s="24" t="s">
        <v>160</v>
      </c>
      <c r="H117" s="94">
        <f>IF(H81="-","-",
IF(
ROUND(H81,8)=
ROUND(SUMIFS(Calc_TUV_EnvGroup_1[Ausnet],Calc_TUV_EnvGroup_1[[Cost item]:[Cost item]],$D117,Calc_TUV_EnvGroup_1[[Cost element]:[Cost element]],$G117)*($F$58/$F$59),8),
0,1))</f>
        <v>0</v>
      </c>
      <c r="I117" s="94">
        <f>IF(I81="-","-",
IF(
ROUND(I81,8)=
ROUND(SUMIFS(Calc_TUV_EnvGroup_1[Citipower],Calc_TUV_EnvGroup_1[[Cost item]:[Cost item]],$D117,Calc_TUV_EnvGroup_1[[Cost element]:[Cost element]],$G117)*($F$58/$F$59),8),
0,1))</f>
        <v>0</v>
      </c>
      <c r="J117" s="94">
        <f>IF(J81="-","-",
IF(
ROUND(J81,8)=
ROUND(SUMIFS(Calc_TUV_EnvGroup_1[Jemena],Calc_TUV_EnvGroup_1[[Cost item]:[Cost item]],$D117,Calc_TUV_EnvGroup_1[[Cost element]:[Cost element]],$G117)*($F$58/$F$59),8),
0,1))</f>
        <v>0</v>
      </c>
      <c r="K117" s="94">
        <f>IF(K81="-","-",
IF(
ROUND(K81,8)=
ROUND(SUMIFS(Calc_TUV_EnvGroup_1[Powercor],Calc_TUV_EnvGroup_1[[Cost item]:[Cost item]],$D117,Calc_TUV_EnvGroup_1[[Cost element]:[Cost element]],$G117)*($F$58/$F$59),8),
0,1))</f>
        <v>0</v>
      </c>
      <c r="L117" s="94">
        <f>IF(L81="-","-",
IF(
ROUND(L81,8)=
ROUND(SUMIFS(Calc_TUV_EnvGroup_1[United Energy],Calc_TUV_EnvGroup_1[[Cost item]:[Cost item]],$D117,Calc_TUV_EnvGroup_1[[Cost element]:[Cost element]],$G117)*($F$58/$F$59),8),
0,1))</f>
        <v>0</v>
      </c>
    </row>
    <row r="118" spans="3:12" ht="15.75" hidden="1" x14ac:dyDescent="0.25">
      <c r="C118" s="24" t="s">
        <v>239</v>
      </c>
      <c r="D118" s="24" t="s">
        <v>532</v>
      </c>
      <c r="E118" s="149" t="s">
        <v>291</v>
      </c>
      <c r="F118" s="24" t="s">
        <v>100</v>
      </c>
      <c r="G118" s="24" t="s">
        <v>160</v>
      </c>
      <c r="H118" s="94">
        <f>IF(H82="-","-",
IF(
ROUND(H82,8)=
ROUND(SUMIFS(Calc_TUV_EnvGroup_1[Ausnet],Calc_TUV_EnvGroup_1[[Cost item]:[Cost item]],$D118,Calc_TUV_EnvGroup_1[[Cost element]:[Cost element]],$G118)*($F$58/$F$59),8),
0,1))</f>
        <v>0</v>
      </c>
      <c r="I118" s="94">
        <f>IF(I82="-","-",
IF(
ROUND(I82,8)=
ROUND(SUMIFS(Calc_TUV_EnvGroup_1[Citipower],Calc_TUV_EnvGroup_1[[Cost item]:[Cost item]],$D118,Calc_TUV_EnvGroup_1[[Cost element]:[Cost element]],$G118)*($F$58/$F$59),8),
0,1))</f>
        <v>0</v>
      </c>
      <c r="J118" s="94">
        <f>IF(J82="-","-",
IF(
ROUND(J82,8)=
ROUND(SUMIFS(Calc_TUV_EnvGroup_1[Jemena],Calc_TUV_EnvGroup_1[[Cost item]:[Cost item]],$D118,Calc_TUV_EnvGroup_1[[Cost element]:[Cost element]],$G118)*($F$58/$F$59),8),
0,1))</f>
        <v>0</v>
      </c>
      <c r="K118" s="94">
        <f>IF(K82="-","-",
IF(
ROUND(K82,8)=
ROUND(SUMIFS(Calc_TUV_EnvGroup_1[Powercor],Calc_TUV_EnvGroup_1[[Cost item]:[Cost item]],$D118,Calc_TUV_EnvGroup_1[[Cost element]:[Cost element]],$G118)*($F$58/$F$59),8),
0,1))</f>
        <v>0</v>
      </c>
      <c r="L118" s="94">
        <f>IF(L82="-","-",
IF(
ROUND(L82,8)=
ROUND(SUMIFS(Calc_TUV_EnvGroup_1[United Energy],Calc_TUV_EnvGroup_1[[Cost item]:[Cost item]],$D118,Calc_TUV_EnvGroup_1[[Cost element]:[Cost element]],$G118)*($F$58/$F$59),8),
0,1))</f>
        <v>0</v>
      </c>
    </row>
    <row r="119" spans="3:12" ht="15.75" hidden="1" x14ac:dyDescent="0.25">
      <c r="C119" s="24" t="s">
        <v>239</v>
      </c>
      <c r="D119" s="24" t="s">
        <v>532</v>
      </c>
      <c r="E119" s="149" t="s">
        <v>291</v>
      </c>
      <c r="F119" s="24" t="s">
        <v>101</v>
      </c>
      <c r="G119" s="24" t="s">
        <v>160</v>
      </c>
      <c r="H119" s="94">
        <f>IF(H83="-","-",
IF(
ROUND(H83,8)=
ROUND(SUMIFS(Calc_TUV_EnvGroup_1[Ausnet],Calc_TUV_EnvGroup_1[[Cost item]:[Cost item]],$D119,Calc_TUV_EnvGroup_1[[Cost element]:[Cost element]],$G119)*($F$58/$F$59),8),
0,1))</f>
        <v>0</v>
      </c>
      <c r="I119" s="94">
        <f>IF(I83="-","-",
IF(
ROUND(I83,8)=
ROUND(SUMIFS(Calc_TUV_EnvGroup_1[Citipower],Calc_TUV_EnvGroup_1[[Cost item]:[Cost item]],$D119,Calc_TUV_EnvGroup_1[[Cost element]:[Cost element]],$G119)*($F$58/$F$59),8),
0,1))</f>
        <v>0</v>
      </c>
      <c r="J119" s="94">
        <f>IF(J83="-","-",
IF(
ROUND(J83,8)=
ROUND(SUMIFS(Calc_TUV_EnvGroup_1[Jemena],Calc_TUV_EnvGroup_1[[Cost item]:[Cost item]],$D119,Calc_TUV_EnvGroup_1[[Cost element]:[Cost element]],$G119)*($F$58/$F$59),8),
0,1))</f>
        <v>0</v>
      </c>
      <c r="K119" s="94">
        <f>IF(K83="-","-",
IF(
ROUND(K83,8)=
ROUND(SUMIFS(Calc_TUV_EnvGroup_1[Powercor],Calc_TUV_EnvGroup_1[[Cost item]:[Cost item]],$D119,Calc_TUV_EnvGroup_1[[Cost element]:[Cost element]],$G119)*($F$58/$F$59),8),
0,1))</f>
        <v>0</v>
      </c>
      <c r="L119" s="94">
        <f>IF(L83="-","-",
IF(
ROUND(L83,8)=
ROUND(SUMIFS(Calc_TUV_EnvGroup_1[United Energy],Calc_TUV_EnvGroup_1[[Cost item]:[Cost item]],$D119,Calc_TUV_EnvGroup_1[[Cost element]:[Cost element]],$G119)*($F$58/$F$59),8),
0,1))</f>
        <v>0</v>
      </c>
    </row>
    <row r="120" spans="3:12" ht="15.75" hidden="1" x14ac:dyDescent="0.25">
      <c r="C120" s="24" t="s">
        <v>538</v>
      </c>
      <c r="D120" s="24" t="s">
        <v>532</v>
      </c>
      <c r="E120" s="149" t="s">
        <v>291</v>
      </c>
      <c r="F120" s="24" t="s">
        <v>100</v>
      </c>
      <c r="G120" s="24" t="s">
        <v>160</v>
      </c>
      <c r="H120" s="94">
        <f>IF(H84="-","-",
IF(
ROUND(H84,8)=
ROUND(SUMIFS(Calc_TUV_EnvGroup_1[Ausnet],Calc_TUV_EnvGroup_1[[Cost item]:[Cost item]],$D120,Calc_TUV_EnvGroup_1[[Cost element]:[Cost element]],$G120)*($F$58/$F$59),8),
0,1))</f>
        <v>0</v>
      </c>
      <c r="I120" s="94">
        <f>IF(I84="-","-",
IF(
ROUND(I84,8)=
ROUND(SUMIFS(Calc_TUV_EnvGroup_1[Citipower],Calc_TUV_EnvGroup_1[[Cost item]:[Cost item]],$D120,Calc_TUV_EnvGroup_1[[Cost element]:[Cost element]],$G120)*($F$58/$F$59),8),
0,1))</f>
        <v>0</v>
      </c>
      <c r="J120" s="94">
        <f>IF(J84="-","-",
IF(
ROUND(J84,8)=
ROUND(SUMIFS(Calc_TUV_EnvGroup_1[Jemena],Calc_TUV_EnvGroup_1[[Cost item]:[Cost item]],$D120,Calc_TUV_EnvGroup_1[[Cost element]:[Cost element]],$G120)*($F$58/$F$59),8),
0,1))</f>
        <v>0</v>
      </c>
      <c r="K120" s="94">
        <f>IF(K84="-","-",
IF(
ROUND(K84,8)=
ROUND(SUMIFS(Calc_TUV_EnvGroup_1[Powercor],Calc_TUV_EnvGroup_1[[Cost item]:[Cost item]],$D120,Calc_TUV_EnvGroup_1[[Cost element]:[Cost element]],$G120)*($F$58/$F$59),8),
0,1))</f>
        <v>0</v>
      </c>
      <c r="L120" s="94">
        <f>IF(L84="-","-",
IF(
ROUND(L84,8)=
ROUND(SUMIFS(Calc_TUV_EnvGroup_1[United Energy],Calc_TUV_EnvGroup_1[[Cost item]:[Cost item]],$D120,Calc_TUV_EnvGroup_1[[Cost element]:[Cost element]],$G120)*($F$58/$F$59),8),
0,1))</f>
        <v>0</v>
      </c>
    </row>
    <row r="121" spans="3:12" ht="15.75" hidden="1" x14ac:dyDescent="0.25">
      <c r="C121" s="24" t="s">
        <v>538</v>
      </c>
      <c r="D121" s="24" t="s">
        <v>532</v>
      </c>
      <c r="E121" s="149" t="s">
        <v>291</v>
      </c>
      <c r="F121" s="24" t="s">
        <v>101</v>
      </c>
      <c r="G121" s="24" t="s">
        <v>160</v>
      </c>
      <c r="H121" s="94">
        <f>IF(H85="-","-",
IF(
ROUND(H85,8)=
ROUND(SUMIFS(Calc_TUV_EnvGroup_1[Ausnet],Calc_TUV_EnvGroup_1[[Cost item]:[Cost item]],$D121,Calc_TUV_EnvGroup_1[[Cost element]:[Cost element]],$G121)*($F$58/$F$59),8),
0,1))</f>
        <v>0</v>
      </c>
      <c r="I121" s="94">
        <f>IF(I85="-","-",
IF(
ROUND(I85,8)=
ROUND(SUMIFS(Calc_TUV_EnvGroup_1[Citipower],Calc_TUV_EnvGroup_1[[Cost item]:[Cost item]],$D121,Calc_TUV_EnvGroup_1[[Cost element]:[Cost element]],$G121)*($F$58/$F$59),8),
0,1))</f>
        <v>0</v>
      </c>
      <c r="J121" s="94">
        <f>IF(J85="-","-",
IF(
ROUND(J85,8)=
ROUND(SUMIFS(Calc_TUV_EnvGroup_1[Jemena],Calc_TUV_EnvGroup_1[[Cost item]:[Cost item]],$D121,Calc_TUV_EnvGroup_1[[Cost element]:[Cost element]],$G121)*($F$58/$F$59),8),
0,1))</f>
        <v>0</v>
      </c>
      <c r="K121" s="94">
        <f>IF(K85="-","-",
IF(
ROUND(K85,8)=
ROUND(SUMIFS(Calc_TUV_EnvGroup_1[Powercor],Calc_TUV_EnvGroup_1[[Cost item]:[Cost item]],$D121,Calc_TUV_EnvGroup_1[[Cost element]:[Cost element]],$G121)*($F$58/$F$59),8),
0,1))</f>
        <v>0</v>
      </c>
      <c r="L121" s="94">
        <f>IF(L85="-","-",
IF(
ROUND(L85,8)=
ROUND(SUMIFS(Calc_TUV_EnvGroup_1[United Energy],Calc_TUV_EnvGroup_1[[Cost item]:[Cost item]],$D121,Calc_TUV_EnvGroup_1[[Cost element]:[Cost element]],$G121)*($F$58/$F$59),8),
0,1))</f>
        <v>0</v>
      </c>
    </row>
    <row r="122" spans="3:12" ht="15.75" hidden="1" x14ac:dyDescent="0.25">
      <c r="C122" s="24" t="s">
        <v>508</v>
      </c>
      <c r="D122" s="24" t="s">
        <v>533</v>
      </c>
      <c r="E122" s="149" t="s">
        <v>291</v>
      </c>
      <c r="F122" s="24" t="s">
        <v>100</v>
      </c>
      <c r="G122" s="24" t="s">
        <v>160</v>
      </c>
      <c r="H122" s="94" t="str">
        <f>IF(H86="-","-",
IF(
ROUND(H86,8)=
ROUND(SUMIFS(Calc_TUV_EnvGroup_1[Ausnet],Calc_TUV_EnvGroup_1[[Cost item]:[Cost item]],$D122,Calc_TUV_EnvGroup_1[[Cost element]:[Cost element]],$G122)*($F$58/$F$59),8),
0,1))</f>
        <v>-</v>
      </c>
      <c r="I122" s="94">
        <f>IF(I86="-","-",
IF(
ROUND(I86,8)=
ROUND(SUMIFS(Calc_TUV_EnvGroup_1[Citipower],Calc_TUV_EnvGroup_1[[Cost item]:[Cost item]],$D122,Calc_TUV_EnvGroup_1[[Cost element]:[Cost element]],$G122)*($F$58/$F$59),8),
0,1))</f>
        <v>0</v>
      </c>
      <c r="J122" s="94">
        <f>IF(J86="-","-",
IF(
ROUND(J86,8)=
ROUND(SUMIFS(Calc_TUV_EnvGroup_1[Jemena],Calc_TUV_EnvGroup_1[[Cost item]:[Cost item]],$D122,Calc_TUV_EnvGroup_1[[Cost element]:[Cost element]],$G122)*($F$58/$F$59),8),
0,1))</f>
        <v>0</v>
      </c>
      <c r="K122" s="94">
        <f>IF(K86="-","-",
IF(
ROUND(K86,8)=
ROUND(SUMIFS(Calc_TUV_EnvGroup_1[Powercor],Calc_TUV_EnvGroup_1[[Cost item]:[Cost item]],$D122,Calc_TUV_EnvGroup_1[[Cost element]:[Cost element]],$G122)*($F$58/$F$59),8),
0,1))</f>
        <v>0</v>
      </c>
      <c r="L122" s="94">
        <f>IF(L86="-","-",
IF(
ROUND(L86,8)=
ROUND(SUMIFS(Calc_TUV_EnvGroup_1[United Energy],Calc_TUV_EnvGroup_1[[Cost item]:[Cost item]],$D122,Calc_TUV_EnvGroup_1[[Cost element]:[Cost element]],$G122)*($F$58/$F$59),8),
0,1))</f>
        <v>0</v>
      </c>
    </row>
    <row r="123" spans="3:12" ht="15.75" hidden="1" x14ac:dyDescent="0.25">
      <c r="C123" s="24" t="s">
        <v>508</v>
      </c>
      <c r="D123" s="24" t="s">
        <v>533</v>
      </c>
      <c r="E123" s="149" t="s">
        <v>291</v>
      </c>
      <c r="F123" s="24" t="s">
        <v>101</v>
      </c>
      <c r="G123" s="24" t="s">
        <v>160</v>
      </c>
      <c r="H123" s="94" t="str">
        <f>IF(H87="-","-",
IF(
ROUND(H87,8)=
ROUND(SUMIFS(Calc_TUV_EnvGroup_1[Ausnet],Calc_TUV_EnvGroup_1[[Cost item]:[Cost item]],$D123,Calc_TUV_EnvGroup_1[[Cost element]:[Cost element]],$G123)*($F$58/$F$59),8),
0,1))</f>
        <v>-</v>
      </c>
      <c r="I123" s="94">
        <f>IF(I87="-","-",
IF(
ROUND(I87,8)=
ROUND(SUMIFS(Calc_TUV_EnvGroup_1[Citipower],Calc_TUV_EnvGroup_1[[Cost item]:[Cost item]],$D123,Calc_TUV_EnvGroup_1[[Cost element]:[Cost element]],$G123)*($F$58/$F$59),8),
0,1))</f>
        <v>0</v>
      </c>
      <c r="J123" s="94">
        <f>IF(J87="-","-",
IF(
ROUND(J87,8)=
ROUND(SUMIFS(Calc_TUV_EnvGroup_1[Jemena],Calc_TUV_EnvGroup_1[[Cost item]:[Cost item]],$D123,Calc_TUV_EnvGroup_1[[Cost element]:[Cost element]],$G123)*($F$58/$F$59),8),
0,1))</f>
        <v>0</v>
      </c>
      <c r="K123" s="94">
        <f>IF(K87="-","-",
IF(
ROUND(K87,8)=
ROUND(SUMIFS(Calc_TUV_EnvGroup_1[Powercor],Calc_TUV_EnvGroup_1[[Cost item]:[Cost item]],$D123,Calc_TUV_EnvGroup_1[[Cost element]:[Cost element]],$G123)*($F$58/$F$59),8),
0,1))</f>
        <v>0</v>
      </c>
      <c r="L123" s="94">
        <f>IF(L87="-","-",
IF(
ROUND(L87,8)=
ROUND(SUMIFS(Calc_TUV_EnvGroup_1[United Energy],Calc_TUV_EnvGroup_1[[Cost item]:[Cost item]],$D123,Calc_TUV_EnvGroup_1[[Cost element]:[Cost element]],$G123)*($F$58/$F$59),8),
0,1))</f>
        <v>0</v>
      </c>
    </row>
    <row r="124" spans="3:12" ht="15.75" hidden="1" x14ac:dyDescent="0.25">
      <c r="C124" s="24" t="s">
        <v>230</v>
      </c>
      <c r="D124" s="24" t="s">
        <v>533</v>
      </c>
      <c r="E124" s="149" t="s">
        <v>291</v>
      </c>
      <c r="F124" s="24" t="s">
        <v>100</v>
      </c>
      <c r="G124" s="24" t="s">
        <v>160</v>
      </c>
      <c r="H124" s="94">
        <f>IF(H88="-","-",
IF(
ROUND(H88,8)=
ROUND(SUMIFS(Calc_TUV_EnvGroup_1[Ausnet],Calc_TUV_EnvGroup_1[[Cost item]:[Cost item]],$D124,Calc_TUV_EnvGroup_1[[Cost element]:[Cost element]],$G124)*($F$58/$F$59),8),
0,1))</f>
        <v>0</v>
      </c>
      <c r="I124" s="94" t="str">
        <f>IF(I88="-","-",
IF(
ROUND(I88,8)=
ROUND(SUMIFS(Calc_TUV_EnvGroup_1[Citipower],Calc_TUV_EnvGroup_1[[Cost item]:[Cost item]],$D124,Calc_TUV_EnvGroup_1[[Cost element]:[Cost element]],$G124)*($F$58/$F$59),8),
0,1))</f>
        <v>-</v>
      </c>
      <c r="J124" s="94" t="str">
        <f>IF(J88="-","-",
IF(
ROUND(J88,8)=
ROUND(SUMIFS(Calc_TUV_EnvGroup_1[Jemena],Calc_TUV_EnvGroup_1[[Cost item]:[Cost item]],$D124,Calc_TUV_EnvGroup_1[[Cost element]:[Cost element]],$G124)*($F$58/$F$59),8),
0,1))</f>
        <v>-</v>
      </c>
      <c r="K124" s="94" t="str">
        <f>IF(K88="-","-",
IF(
ROUND(K88,8)=
ROUND(SUMIFS(Calc_TUV_EnvGroup_1[Powercor],Calc_TUV_EnvGroup_1[[Cost item]:[Cost item]],$D124,Calc_TUV_EnvGroup_1[[Cost element]:[Cost element]],$G124)*($F$58/$F$59),8),
0,1))</f>
        <v>-</v>
      </c>
      <c r="L124" s="94" t="str">
        <f>IF(L88="-","-",
IF(
ROUND(L88,8)=
ROUND(SUMIFS(Calc_TUV_EnvGroup_1[United Energy],Calc_TUV_EnvGroup_1[[Cost item]:[Cost item]],$D124,Calc_TUV_EnvGroup_1[[Cost element]:[Cost element]],$G124)*($F$58/$F$59),8),
0,1))</f>
        <v>-</v>
      </c>
    </row>
    <row r="125" spans="3:12" ht="15.75" hidden="1" x14ac:dyDescent="0.25">
      <c r="C125" s="24" t="s">
        <v>230</v>
      </c>
      <c r="D125" s="24" t="s">
        <v>533</v>
      </c>
      <c r="E125" s="149" t="s">
        <v>291</v>
      </c>
      <c r="F125" s="24" t="s">
        <v>101</v>
      </c>
      <c r="G125" s="24" t="s">
        <v>160</v>
      </c>
      <c r="H125" s="94">
        <f>IF(H89="-","-",
IF(
ROUND(H89,8)=
ROUND(SUMIFS(Calc_TUV_EnvGroup_1[Ausnet],Calc_TUV_EnvGroup_1[[Cost item]:[Cost item]],$D125,Calc_TUV_EnvGroup_1[[Cost element]:[Cost element]],$G125)*($F$58/$F$59),8),
0,1))</f>
        <v>0</v>
      </c>
      <c r="I125" s="94" t="str">
        <f>IF(I89="-","-",
IF(
ROUND(I89,8)=
ROUND(SUMIFS(Calc_TUV_EnvGroup_1[Citipower],Calc_TUV_EnvGroup_1[[Cost item]:[Cost item]],$D125,Calc_TUV_EnvGroup_1[[Cost element]:[Cost element]],$G125)*($F$58/$F$59),8),
0,1))</f>
        <v>-</v>
      </c>
      <c r="J125" s="94" t="str">
        <f>IF(J89="-","-",
IF(
ROUND(J89,8)=
ROUND(SUMIFS(Calc_TUV_EnvGroup_1[Jemena],Calc_TUV_EnvGroup_1[[Cost item]:[Cost item]],$D125,Calc_TUV_EnvGroup_1[[Cost element]:[Cost element]],$G125)*($F$58/$F$59),8),
0,1))</f>
        <v>-</v>
      </c>
      <c r="K125" s="94" t="str">
        <f>IF(K89="-","-",
IF(
ROUND(K89,8)=
ROUND(SUMIFS(Calc_TUV_EnvGroup_1[Powercor],Calc_TUV_EnvGroup_1[[Cost item]:[Cost item]],$D125,Calc_TUV_EnvGroup_1[[Cost element]:[Cost element]],$G125)*($F$58/$F$59),8),
0,1))</f>
        <v>-</v>
      </c>
      <c r="L125" s="94" t="str">
        <f>IF(L89="-","-",
IF(
ROUND(L89,8)=
ROUND(SUMIFS(Calc_TUV_EnvGroup_1[United Energy],Calc_TUV_EnvGroup_1[[Cost item]:[Cost item]],$D125,Calc_TUV_EnvGroup_1[[Cost element]:[Cost element]],$G125)*($F$58/$F$59),8),
0,1))</f>
        <v>-</v>
      </c>
    </row>
    <row r="126" spans="3:12" ht="15.75" hidden="1" x14ac:dyDescent="0.25">
      <c r="C126" s="24" t="s">
        <v>237</v>
      </c>
      <c r="D126" s="24" t="s">
        <v>533</v>
      </c>
      <c r="E126" s="149" t="s">
        <v>291</v>
      </c>
      <c r="F126" s="24" t="s">
        <v>100</v>
      </c>
      <c r="G126" s="24" t="s">
        <v>160</v>
      </c>
      <c r="H126" s="94">
        <f>IF(H90="-","-",
IF(
ROUND(H90,8)=
ROUND(SUMIFS(Calc_TUV_EnvGroup_1[Ausnet],Calc_TUV_EnvGroup_1[[Cost item]:[Cost item]],$D126,Calc_TUV_EnvGroup_1[[Cost element]:[Cost element]],$G126)*($F$58/$F$59),8),
0,1))</f>
        <v>0</v>
      </c>
      <c r="I126" s="94" t="str">
        <f>IF(I90="-","-",
IF(
ROUND(I90,8)=
ROUND(SUMIFS(Calc_TUV_EnvGroup_1[Citipower],Calc_TUV_EnvGroup_1[[Cost item]:[Cost item]],$D126,Calc_TUV_EnvGroup_1[[Cost element]:[Cost element]],$G126)*($F$58/$F$59),8),
0,1))</f>
        <v>-</v>
      </c>
      <c r="J126" s="94" t="str">
        <f>IF(J90="-","-",
IF(
ROUND(J90,8)=
ROUND(SUMIFS(Calc_TUV_EnvGroup_1[Jemena],Calc_TUV_EnvGroup_1[[Cost item]:[Cost item]],$D126,Calc_TUV_EnvGroup_1[[Cost element]:[Cost element]],$G126)*($F$58/$F$59),8),
0,1))</f>
        <v>-</v>
      </c>
      <c r="K126" s="94" t="str">
        <f>IF(K90="-","-",
IF(
ROUND(K90,8)=
ROUND(SUMIFS(Calc_TUV_EnvGroup_1[Powercor],Calc_TUV_EnvGroup_1[[Cost item]:[Cost item]],$D126,Calc_TUV_EnvGroup_1[[Cost element]:[Cost element]],$G126)*($F$58/$F$59),8),
0,1))</f>
        <v>-</v>
      </c>
      <c r="L126" s="94" t="str">
        <f>IF(L90="-","-",
IF(
ROUND(L90,8)=
ROUND(SUMIFS(Calc_TUV_EnvGroup_1[United Energy],Calc_TUV_EnvGroup_1[[Cost item]:[Cost item]],$D126,Calc_TUV_EnvGroup_1[[Cost element]:[Cost element]],$G126)*($F$58/$F$59),8),
0,1))</f>
        <v>-</v>
      </c>
    </row>
    <row r="127" spans="3:12" ht="15.75" hidden="1" x14ac:dyDescent="0.25">
      <c r="C127" s="24" t="s">
        <v>237</v>
      </c>
      <c r="D127" s="24" t="s">
        <v>533</v>
      </c>
      <c r="E127" s="149" t="s">
        <v>291</v>
      </c>
      <c r="F127" s="24" t="s">
        <v>101</v>
      </c>
      <c r="G127" s="24" t="s">
        <v>160</v>
      </c>
      <c r="H127" s="94">
        <f>IF(H91="-","-",
IF(
ROUND(H91,8)=
ROUND(SUMIFS(Calc_TUV_EnvGroup_1[Ausnet],Calc_TUV_EnvGroup_1[[Cost item]:[Cost item]],$D127,Calc_TUV_EnvGroup_1[[Cost element]:[Cost element]],$G127)*($F$58/$F$59),8),
0,1))</f>
        <v>0</v>
      </c>
      <c r="I127" s="94" t="str">
        <f>IF(I91="-","-",
IF(
ROUND(I91,8)=
ROUND(SUMIFS(Calc_TUV_EnvGroup_1[Citipower],Calc_TUV_EnvGroup_1[[Cost item]:[Cost item]],$D127,Calc_TUV_EnvGroup_1[[Cost element]:[Cost element]],$G127)*($F$58/$F$59),8),
0,1))</f>
        <v>-</v>
      </c>
      <c r="J127" s="94" t="str">
        <f>IF(J91="-","-",
IF(
ROUND(J91,8)=
ROUND(SUMIFS(Calc_TUV_EnvGroup_1[Jemena],Calc_TUV_EnvGroup_1[[Cost item]:[Cost item]],$D127,Calc_TUV_EnvGroup_1[[Cost element]:[Cost element]],$G127)*($F$58/$F$59),8),
0,1))</f>
        <v>-</v>
      </c>
      <c r="K127" s="94" t="str">
        <f>IF(K91="-","-",
IF(
ROUND(K91,8)=
ROUND(SUMIFS(Calc_TUV_EnvGroup_1[Powercor],Calc_TUV_EnvGroup_1[[Cost item]:[Cost item]],$D127,Calc_TUV_EnvGroup_1[[Cost element]:[Cost element]],$G127)*($F$58/$F$59),8),
0,1))</f>
        <v>-</v>
      </c>
      <c r="L127" s="94" t="str">
        <f>IF(L91="-","-",
IF(
ROUND(L91,8)=
ROUND(SUMIFS(Calc_TUV_EnvGroup_1[United Energy],Calc_TUV_EnvGroup_1[[Cost item]:[Cost item]],$D127,Calc_TUV_EnvGroup_1[[Cost element]:[Cost element]],$G127)*($F$58/$F$59),8),
0,1))</f>
        <v>-</v>
      </c>
    </row>
    <row r="128" spans="3:12" ht="15.75" hidden="1" x14ac:dyDescent="0.25">
      <c r="C128" s="24" t="s">
        <v>296</v>
      </c>
      <c r="D128" s="24" t="s">
        <v>533</v>
      </c>
      <c r="E128" s="149" t="s">
        <v>291</v>
      </c>
      <c r="F128" s="24" t="s">
        <v>100</v>
      </c>
      <c r="G128" s="24" t="s">
        <v>160</v>
      </c>
      <c r="H128" s="94">
        <f>IF(H92="-","-",
IF(
ROUND(H92,8)=
ROUND(SUMIFS(Calc_TUV_EnvGroup_1[Ausnet],Calc_TUV_EnvGroup_1[[Cost item]:[Cost item]],$D128,Calc_TUV_EnvGroup_1[[Cost element]:[Cost element]],$G128)*($F$58/$F$59),8),
0,1))</f>
        <v>0</v>
      </c>
      <c r="I128" s="94">
        <f>IF(I92="-","-",
IF(
ROUND(I92,8)=
ROUND(SUMIFS(Calc_TUV_EnvGroup_1[Citipower],Calc_TUV_EnvGroup_1[[Cost item]:[Cost item]],$D128,Calc_TUV_EnvGroup_1[[Cost element]:[Cost element]],$G128)*($F$58/$F$59),8),
0,1))</f>
        <v>0</v>
      </c>
      <c r="J128" s="94">
        <f>IF(J92="-","-",
IF(
ROUND(J92,8)=
ROUND(SUMIFS(Calc_TUV_EnvGroup_1[Jemena],Calc_TUV_EnvGroup_1[[Cost item]:[Cost item]],$D128,Calc_TUV_EnvGroup_1[[Cost element]:[Cost element]],$G128)*($F$58/$F$59),8),
0,1))</f>
        <v>0</v>
      </c>
      <c r="K128" s="94">
        <f>IF(K92="-","-",
IF(
ROUND(K92,8)=
ROUND(SUMIFS(Calc_TUV_EnvGroup_1[Powercor],Calc_TUV_EnvGroup_1[[Cost item]:[Cost item]],$D128,Calc_TUV_EnvGroup_1[[Cost element]:[Cost element]],$G128)*($F$58/$F$59),8),
0,1))</f>
        <v>0</v>
      </c>
      <c r="L128" s="94">
        <f>IF(L92="-","-",
IF(
ROUND(L92,8)=
ROUND(SUMIFS(Calc_TUV_EnvGroup_1[United Energy],Calc_TUV_EnvGroup_1[[Cost item]:[Cost item]],$D128,Calc_TUV_EnvGroup_1[[Cost element]:[Cost element]],$G128)*($F$58/$F$59),8),
0,1))</f>
        <v>0</v>
      </c>
    </row>
    <row r="129" spans="2:22" ht="15.75" hidden="1" x14ac:dyDescent="0.25">
      <c r="C129" s="24" t="s">
        <v>239</v>
      </c>
      <c r="D129" s="24" t="s">
        <v>533</v>
      </c>
      <c r="E129" s="149" t="s">
        <v>291</v>
      </c>
      <c r="F129" s="24" t="s">
        <v>100</v>
      </c>
      <c r="G129" s="24" t="s">
        <v>160</v>
      </c>
      <c r="H129" s="94">
        <f>IF(H93="-","-",
IF(
ROUND(H93,8)=
ROUND(SUMIFS(Calc_TUV_EnvGroup_1[Ausnet],Calc_TUV_EnvGroup_1[[Cost item]:[Cost item]],$D129,Calc_TUV_EnvGroup_1[[Cost element]:[Cost element]],$G129)*($F$58/$F$59),8),
0,1))</f>
        <v>0</v>
      </c>
      <c r="I129" s="94">
        <f>IF(I93="-","-",
IF(
ROUND(I93,8)=
ROUND(SUMIFS(Calc_TUV_EnvGroup_1[Citipower],Calc_TUV_EnvGroup_1[[Cost item]:[Cost item]],$D129,Calc_TUV_EnvGroup_1[[Cost element]:[Cost element]],$G129)*($F$58/$F$59),8),
0,1))</f>
        <v>0</v>
      </c>
      <c r="J129" s="94">
        <f>IF(J93="-","-",
IF(
ROUND(J93,8)=
ROUND(SUMIFS(Calc_TUV_EnvGroup_1[Jemena],Calc_TUV_EnvGroup_1[[Cost item]:[Cost item]],$D129,Calc_TUV_EnvGroup_1[[Cost element]:[Cost element]],$G129)*($F$58/$F$59),8),
0,1))</f>
        <v>0</v>
      </c>
      <c r="K129" s="94">
        <f>IF(K93="-","-",
IF(
ROUND(K93,8)=
ROUND(SUMIFS(Calc_TUV_EnvGroup_1[Powercor],Calc_TUV_EnvGroup_1[[Cost item]:[Cost item]],$D129,Calc_TUV_EnvGroup_1[[Cost element]:[Cost element]],$G129)*($F$58/$F$59),8),
0,1))</f>
        <v>0</v>
      </c>
      <c r="L129" s="94">
        <f>IF(L93="-","-",
IF(
ROUND(L93,8)=
ROUND(SUMIFS(Calc_TUV_EnvGroup_1[United Energy],Calc_TUV_EnvGroup_1[[Cost item]:[Cost item]],$D129,Calc_TUV_EnvGroup_1[[Cost element]:[Cost element]],$G129)*($F$58/$F$59),8),
0,1))</f>
        <v>0</v>
      </c>
    </row>
    <row r="130" spans="2:22" ht="15.75" hidden="1" x14ac:dyDescent="0.25">
      <c r="C130" s="24" t="s">
        <v>239</v>
      </c>
      <c r="D130" s="24" t="s">
        <v>533</v>
      </c>
      <c r="E130" s="149" t="s">
        <v>291</v>
      </c>
      <c r="F130" s="24" t="s">
        <v>101</v>
      </c>
      <c r="G130" s="24" t="s">
        <v>160</v>
      </c>
      <c r="H130" s="94">
        <f>IF(H94="-","-",
IF(
ROUND(H94,8)=
ROUND(SUMIFS(Calc_TUV_EnvGroup_1[Ausnet],Calc_TUV_EnvGroup_1[[Cost item]:[Cost item]],$D130,Calc_TUV_EnvGroup_1[[Cost element]:[Cost element]],$G130)*($F$58/$F$59),8),
0,1))</f>
        <v>0</v>
      </c>
      <c r="I130" s="94">
        <f>IF(I94="-","-",
IF(
ROUND(I94,8)=
ROUND(SUMIFS(Calc_TUV_EnvGroup_1[Citipower],Calc_TUV_EnvGroup_1[[Cost item]:[Cost item]],$D130,Calc_TUV_EnvGroup_1[[Cost element]:[Cost element]],$G130)*($F$58/$F$59),8),
0,1))</f>
        <v>0</v>
      </c>
      <c r="J130" s="94">
        <f>IF(J94="-","-",
IF(
ROUND(J94,8)=
ROUND(SUMIFS(Calc_TUV_EnvGroup_1[Jemena],Calc_TUV_EnvGroup_1[[Cost item]:[Cost item]],$D130,Calc_TUV_EnvGroup_1[[Cost element]:[Cost element]],$G130)*($F$58/$F$59),8),
0,1))</f>
        <v>0</v>
      </c>
      <c r="K130" s="94">
        <f>IF(K94="-","-",
IF(
ROUND(K94,8)=
ROUND(SUMIFS(Calc_TUV_EnvGroup_1[Powercor],Calc_TUV_EnvGroup_1[[Cost item]:[Cost item]],$D130,Calc_TUV_EnvGroup_1[[Cost element]:[Cost element]],$G130)*($F$58/$F$59),8),
0,1))</f>
        <v>0</v>
      </c>
      <c r="L130" s="94">
        <f>IF(L94="-","-",
IF(
ROUND(L94,8)=
ROUND(SUMIFS(Calc_TUV_EnvGroup_1[United Energy],Calc_TUV_EnvGroup_1[[Cost item]:[Cost item]],$D130,Calc_TUV_EnvGroup_1[[Cost element]:[Cost element]],$G130)*($F$58/$F$59),8),
0,1))</f>
        <v>0</v>
      </c>
    </row>
    <row r="131" spans="2:22" ht="15.75" hidden="1" x14ac:dyDescent="0.25">
      <c r="C131" s="24" t="s">
        <v>538</v>
      </c>
      <c r="D131" s="24" t="s">
        <v>533</v>
      </c>
      <c r="E131" s="149" t="s">
        <v>291</v>
      </c>
      <c r="F131" s="24" t="s">
        <v>100</v>
      </c>
      <c r="G131" s="24" t="s">
        <v>160</v>
      </c>
      <c r="H131" s="94">
        <f>IF(H95="-","-",
IF(
ROUND(H95,8)=
ROUND(SUMIFS(Calc_TUV_EnvGroup_1[Ausnet],Calc_TUV_EnvGroup_1[[Cost item]:[Cost item]],$D131,Calc_TUV_EnvGroup_1[[Cost element]:[Cost element]],$G131)*($F$58/$F$59),8),
0,1))</f>
        <v>0</v>
      </c>
      <c r="I131" s="94">
        <f>IF(I95="-","-",
IF(
ROUND(I95,8)=
ROUND(SUMIFS(Calc_TUV_EnvGroup_1[Citipower],Calc_TUV_EnvGroup_1[[Cost item]:[Cost item]],$D131,Calc_TUV_EnvGroup_1[[Cost element]:[Cost element]],$G131)*($F$58/$F$59),8),
0,1))</f>
        <v>0</v>
      </c>
      <c r="J131" s="94">
        <f>IF(J95="-","-",
IF(
ROUND(J95,8)=
ROUND(SUMIFS(Calc_TUV_EnvGroup_1[Jemena],Calc_TUV_EnvGroup_1[[Cost item]:[Cost item]],$D131,Calc_TUV_EnvGroup_1[[Cost element]:[Cost element]],$G131)*($F$58/$F$59),8),
0,1))</f>
        <v>0</v>
      </c>
      <c r="K131" s="94">
        <f>IF(K95="-","-",
IF(
ROUND(K95,8)=
ROUND(SUMIFS(Calc_TUV_EnvGroup_1[Powercor],Calc_TUV_EnvGroup_1[[Cost item]:[Cost item]],$D131,Calc_TUV_EnvGroup_1[[Cost element]:[Cost element]],$G131)*($F$58/$F$59),8),
0,1))</f>
        <v>0</v>
      </c>
      <c r="L131" s="94">
        <f>IF(L95="-","-",
IF(
ROUND(L95,8)=
ROUND(SUMIFS(Calc_TUV_EnvGroup_1[United Energy],Calc_TUV_EnvGroup_1[[Cost item]:[Cost item]],$D131,Calc_TUV_EnvGroup_1[[Cost element]:[Cost element]],$G131)*($F$58/$F$59),8),
0,1))</f>
        <v>0</v>
      </c>
    </row>
    <row r="132" spans="2:22" ht="15.75" hidden="1" x14ac:dyDescent="0.25">
      <c r="C132" s="149" t="s">
        <v>538</v>
      </c>
      <c r="D132" s="149" t="s">
        <v>533</v>
      </c>
      <c r="E132" s="149" t="s">
        <v>291</v>
      </c>
      <c r="F132" s="149" t="s">
        <v>101</v>
      </c>
      <c r="G132" s="149" t="s">
        <v>160</v>
      </c>
      <c r="H132" s="94">
        <f>IF(H96="-","-",
IF(
ROUND(H96,8)=
ROUND(SUMIFS(Calc_TUV_EnvGroup_1[Ausnet],Calc_TUV_EnvGroup_1[[Cost item]:[Cost item]],$D132,Calc_TUV_EnvGroup_1[[Cost element]:[Cost element]],$G132)*($F$58/$F$59),8),
0,1))</f>
        <v>0</v>
      </c>
      <c r="I132" s="94">
        <f>IF(I96="-","-",
IF(
ROUND(I96,8)=
ROUND(SUMIFS(Calc_TUV_EnvGroup_1[Citipower],Calc_TUV_EnvGroup_1[[Cost item]:[Cost item]],$D132,Calc_TUV_EnvGroup_1[[Cost element]:[Cost element]],$G132)*($F$58/$F$59),8),
0,1))</f>
        <v>0</v>
      </c>
      <c r="J132" s="94">
        <f>IF(J96="-","-",
IF(
ROUND(J96,8)=
ROUND(SUMIFS(Calc_TUV_EnvGroup_1[Jemena],Calc_TUV_EnvGroup_1[[Cost item]:[Cost item]],$D132,Calc_TUV_EnvGroup_1[[Cost element]:[Cost element]],$G132)*($F$58/$F$59),8),
0,1))</f>
        <v>0</v>
      </c>
      <c r="K132" s="94">
        <f>IF(K96="-","-",
IF(
ROUND(K96,8)=
ROUND(SUMIFS(Calc_TUV_EnvGroup_1[Powercor],Calc_TUV_EnvGroup_1[[Cost item]:[Cost item]],$D132,Calc_TUV_EnvGroup_1[[Cost element]:[Cost element]],$G132)*($F$58/$F$59),8),
0,1))</f>
        <v>0</v>
      </c>
      <c r="L132" s="94">
        <f>IF(L96="-","-",
IF(
ROUND(L96,8)=
ROUND(SUMIFS(Calc_TUV_EnvGroup_1[United Energy],Calc_TUV_EnvGroup_1[[Cost item]:[Cost item]],$D132,Calc_TUV_EnvGroup_1[[Cost element]:[Cost element]],$G132)*($F$58/$F$59),8),
0,1))</f>
        <v>0</v>
      </c>
    </row>
    <row r="133" spans="2:22" hidden="1" x14ac:dyDescent="0.25"/>
    <row r="135" spans="2:22" ht="15.75" x14ac:dyDescent="0.25">
      <c r="B135"/>
      <c r="C135" s="55" t="s">
        <v>109</v>
      </c>
      <c r="D135" s="42" t="str">
        <f>Calc_Rates!$D$251</f>
        <v>VDO 2022 - Final</v>
      </c>
      <c r="H135" s="88"/>
      <c r="I135" s="88"/>
      <c r="J135" s="88"/>
      <c r="K135" s="88"/>
      <c r="L135" s="88"/>
    </row>
    <row r="136" spans="2:22" x14ac:dyDescent="0.25">
      <c r="B136"/>
    </row>
    <row r="137" spans="2:22" ht="16.5" thickBot="1" x14ac:dyDescent="0.3">
      <c r="B137" s="9">
        <f ca="1">MAX(B$3:B136)+0.1</f>
        <v>14.299999999999999</v>
      </c>
      <c r="C137" s="29" t="s">
        <v>528</v>
      </c>
      <c r="D137" s="29"/>
      <c r="E137" s="29"/>
      <c r="F137" s="29"/>
      <c r="G137" s="29"/>
      <c r="H137" s="29"/>
      <c r="I137" s="29"/>
      <c r="J137" s="29"/>
      <c r="K137" s="29"/>
      <c r="L137" s="29"/>
    </row>
    <row r="138" spans="2:22" outlineLevel="1" x14ac:dyDescent="0.25"/>
    <row r="139" spans="2:22" ht="15.75" outlineLevel="1" x14ac:dyDescent="0.25">
      <c r="C139" s="30" t="s">
        <v>590</v>
      </c>
    </row>
    <row r="140" spans="2:22" ht="15.75" outlineLevel="1" x14ac:dyDescent="0.25">
      <c r="C140" s="141" t="s">
        <v>54</v>
      </c>
      <c r="D140" s="141" t="s">
        <v>110</v>
      </c>
      <c r="E140" s="141" t="s">
        <v>111</v>
      </c>
      <c r="F140" s="141" t="s">
        <v>99</v>
      </c>
      <c r="G140" s="141" t="s">
        <v>53</v>
      </c>
      <c r="H140" s="142" t="s">
        <v>277</v>
      </c>
      <c r="I140" s="142" t="s">
        <v>278</v>
      </c>
      <c r="J140" s="142" t="s">
        <v>279</v>
      </c>
      <c r="K140" s="142" t="s">
        <v>280</v>
      </c>
      <c r="L140" s="142" t="s">
        <v>281</v>
      </c>
    </row>
    <row r="141" spans="2:22" outlineLevel="1" x14ac:dyDescent="0.25">
      <c r="C141" s="24" t="str">
        <f>IF(COUNTIFS(Calc_TUV_Net_2[Pass through (Yes/No)],"Yes",Calc_TUV_Net_2[Cost item],"Anytime - "&amp;Calc_TUV_NetGroup_2[[#This Row],[Customer type]])=1,"Anytime - supply","-")</f>
        <v>Anytime - supply</v>
      </c>
      <c r="D141" s="24" t="s">
        <v>117</v>
      </c>
      <c r="E141" s="149" t="s">
        <v>118</v>
      </c>
      <c r="F141" s="24" t="s">
        <v>100</v>
      </c>
      <c r="G141" s="24" t="s">
        <v>130</v>
      </c>
      <c r="H141" s="154">
        <f>IFERROR(SUMIFS(INDEX(Calc_TUV_Net_2[[Ausnet]:[United Energy]],0,MATCH(Calc_TUV_NetGroup_2[[#Headers],[Ausnet]],Calc_TUV_Net_2[[#Headers],[Ausnet]:[United Energy]],0)),
Calc_TUV_Net_2[Cost item],Calc_TUV_NetGroup_2[[#This Row],[Cost item]]&amp;" cost true up",
Calc_TUV_Net_2[Customer type],Calc_TUV_NetGroup_2[[#This Row],[Customer type]]),"-")</f>
        <v>1.8248234761643884</v>
      </c>
      <c r="I141" s="154" cm="1">
        <f t="array" ref="I141">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-1.2662808725479466</v>
      </c>
      <c r="J141" s="154" cm="1">
        <f t="array" ref="J141">IFERROR(SUMIFS(INDEX(Calc_TUV_Net_2[[Ausnet]:[United Energy]],0,MATCH(Calc_TUV_NetGroup_2[[#Headers],[Jemena]],Calc_TUV_Net_2[[#Headers],[Ausnet]:[United Energy]],0)),
Calc_TUV_Net_2[Cost item],Calc_TUV_NetGroup_2[[#This Row],[Cost item]]&amp;" cost true up",
Calc_TUV_Net_2[Customer type],Calc_TUV_NetGroup_2[[#This Row],[Customer type]]),"-")</f>
        <v>0.21319327473972866</v>
      </c>
      <c r="K141" s="154" cm="1">
        <f t="array" ref="K141">IFERROR(SUMIFS(INDEX(Calc_TUV_Net_2[[Ausnet]:[United Energy]],0,MATCH(Calc_TUV_NetGroup_2[[#Headers],[Powercor]],Calc_TUV_Net_2[[#Headers],[Ausnet]:[United Energy]],0)),
Calc_TUV_Net_2[Cost item],Calc_TUV_NetGroup_2[[#This Row],[Cost item]]&amp;" cost true up",
Calc_TUV_Net_2[Customer type],Calc_TUV_NetGroup_2[[#This Row],[Customer type]]),"-")</f>
        <v>-1.4904706405479504</v>
      </c>
      <c r="L141" s="154" cm="1">
        <f t="array" ref="L141">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2.823027675178083</v>
      </c>
      <c r="O141" s="237"/>
      <c r="P141" s="237"/>
      <c r="Q141" s="237"/>
      <c r="R141" s="237"/>
      <c r="S141" s="237"/>
      <c r="T141" s="237"/>
      <c r="U141" s="237"/>
      <c r="V141" s="237"/>
    </row>
    <row r="142" spans="2:22" outlineLevel="1" x14ac:dyDescent="0.25">
      <c r="C142" s="24" t="str">
        <f>IF(COUNTIFS(Calc_TUV_Net_2[Pass through (Yes/No)],"Yes",Calc_TUV_Net_2[Cost item],"Anytime - "&amp;Calc_TUV_NetGroup_2[[#This Row],[Customer type]])=1,"Anytime - usage","-")</f>
        <v>Anytime - usage</v>
      </c>
      <c r="D142" s="24" t="s">
        <v>139</v>
      </c>
      <c r="E142" s="149" t="s">
        <v>118</v>
      </c>
      <c r="F142" s="24" t="s">
        <v>100</v>
      </c>
      <c r="G142" s="24" t="s">
        <v>130</v>
      </c>
      <c r="H142" s="154" cm="1">
        <f t="array" ref="H142">IFERROR(SUMIFS(INDEX(Calc_TUV_Net_2[[Ausnet]:[United Energy]],0,MATCH(Calc_TUV_NetGroup_2[[#Headers],[Ausnet]],Calc_TUV_Net_2[[#Headers],[Ausnet]:[United Energy]],0)),
Calc_TUV_Net_2[Cost item],Calc_TUV_NetGroup_2[[#This Row],[Cost item]]&amp;" cost true up",
Calc_TUV_Net_2[Customer type],Calc_TUV_NetGroup_2[[#This Row],[Customer type]]),"-")</f>
        <v>10.110848828692266</v>
      </c>
      <c r="I142" s="154" cm="1">
        <f t="array" ref="I142">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17.453448212972532</v>
      </c>
      <c r="J142" s="154" cm="1">
        <f t="array" ref="J142">IFERROR(SUMIFS(INDEX(Calc_TUV_Net_2[[Ausnet]:[United Energy]],0,MATCH(Calc_TUV_NetGroup_2[[#Headers],[Jemena]],Calc_TUV_Net_2[[#Headers],[Ausnet]:[United Energy]],0)),
Calc_TUV_Net_2[Cost item],Calc_TUV_NetGroup_2[[#This Row],[Cost item]]&amp;" cost true up",
Calc_TUV_Net_2[Customer type],Calc_TUV_NetGroup_2[[#This Row],[Customer type]]),"-")</f>
        <v>13.874386680692083</v>
      </c>
      <c r="K142" s="154" cm="1">
        <f t="array" ref="K142">IFERROR(SUMIFS(INDEX(Calc_TUV_Net_2[[Ausnet]:[United Energy]],0,MATCH(Calc_TUV_NetGroup_2[[#Headers],[Powercor]],Calc_TUV_Net_2[[#Headers],[Ausnet]:[United Energy]],0)),
Calc_TUV_Net_2[Cost item],Calc_TUV_NetGroup_2[[#This Row],[Cost item]]&amp;" cost true up",
Calc_TUV_Net_2[Customer type],Calc_TUV_NetGroup_2[[#This Row],[Customer type]]),"-")</f>
        <v>15.575545557146384</v>
      </c>
      <c r="L142" s="154" cm="1">
        <f t="array" ref="L142">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3.5348755874374662</v>
      </c>
    </row>
    <row r="143" spans="2:22" outlineLevel="1" x14ac:dyDescent="0.25">
      <c r="C143" s="24" t="str">
        <f>IF(COUNTIFS(Calc_TUV_Net_2[Pass through (Yes/No)],"Yes",Calc_TUV_Net_2[Cost item],"Anytime - "&amp;Calc_TUV_NetGroup_2[[#This Row],[Customer type]])=1,"Anytime - supply","-")</f>
        <v>Anytime - supply</v>
      </c>
      <c r="D143" s="24" t="s">
        <v>117</v>
      </c>
      <c r="E143" s="149" t="s">
        <v>118</v>
      </c>
      <c r="F143" s="24" t="s">
        <v>101</v>
      </c>
      <c r="G143" s="24" t="s">
        <v>130</v>
      </c>
      <c r="H143" s="154">
        <f>IFERROR(SUMIFS(INDEX(Calc_TUV_Net_2[[Ausnet]:[United Energy]],0,MATCH(Calc_TUV_NetGroup_2[[#Headers],[Ausnet]],Calc_TUV_Net_2[[#Headers],[Ausnet]:[United Energy]],0)),
Calc_TUV_Net_2[Cost item],Calc_TUV_NetGroup_2[[#This Row],[Cost item]]&amp;" cost true up",
Calc_TUV_Net_2[Customer type],Calc_TUV_NetGroup_2[[#This Row],[Customer type]]),"-")</f>
        <v>1.8248234761643884</v>
      </c>
      <c r="I143" s="154" cm="1">
        <f t="array" ref="I143">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-1.2648939274520594</v>
      </c>
      <c r="J143" s="154" cm="1">
        <f t="array" ref="J143">IFERROR(SUMIFS(INDEX(Calc_TUV_Net_2[[Ausnet]:[United Energy]],0,MATCH(Calc_TUV_NetGroup_2[[#Headers],[Jemena]],Calc_TUV_Net_2[[#Headers],[Ausnet]:[United Energy]],0)),
Calc_TUV_Net_2[Cost item],Calc_TUV_NetGroup_2[[#This Row],[Cost item]]&amp;" cost true up",
Calc_TUV_Net_2[Customer type],Calc_TUV_NetGroup_2[[#This Row],[Customer type]]),"-")</f>
        <v>0.7202207747945274</v>
      </c>
      <c r="K143" s="154" cm="1">
        <f t="array" ref="K143">IFERROR(SUMIFS(INDEX(Calc_TUV_Net_2[[Ausnet]:[United Energy]],0,MATCH(Calc_TUV_NetGroup_2[[#Headers],[Powercor]],Calc_TUV_Net_2[[#Headers],[Ausnet]:[United Energy]],0)),
Calc_TUV_Net_2[Cost item],Calc_TUV_NetGroup_2[[#This Row],[Cost item]]&amp;" cost true up",
Calc_TUV_Net_2[Customer type],Calc_TUV_NetGroup_2[[#This Row],[Customer type]]),"-")</f>
        <v>-1.489678100493145</v>
      </c>
      <c r="L143" s="154" cm="1">
        <f t="array" ref="L143">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6.7861242191780837</v>
      </c>
    </row>
    <row r="144" spans="2:22" outlineLevel="1" x14ac:dyDescent="0.25">
      <c r="C144" s="24" t="str">
        <f>IF(COUNTIFS(Calc_TUV_Net_2[Pass through (Yes/No)],"Yes",Calc_TUV_Net_2[Cost item],"Anytime - "&amp;Calc_TUV_NetGroup_2[[#This Row],[Customer type]])=1,"Anytime - usage","-")</f>
        <v>Anytime - usage</v>
      </c>
      <c r="D144" s="24" t="s">
        <v>139</v>
      </c>
      <c r="E144" s="149" t="s">
        <v>118</v>
      </c>
      <c r="F144" s="24" t="s">
        <v>101</v>
      </c>
      <c r="G144" s="24" t="s">
        <v>130</v>
      </c>
      <c r="H144" s="154" cm="1">
        <f t="array" ref="H144">IFERROR(SUMIFS(INDEX(Calc_TUV_Net_2[[Ausnet]:[United Energy]],0,MATCH(Calc_TUV_NetGroup_2[[#Headers],[Ausnet]],Calc_TUV_Net_2[[#Headers],[Ausnet]:[United Energy]],0)),
Calc_TUV_Net_2[Cost item],Calc_TUV_NetGroup_2[[#This Row],[Cost item]]&amp;" cost true up",
Calc_TUV_Net_2[Customer type],Calc_TUV_NetGroup_2[[#This Row],[Customer type]]),"-")</f>
        <v>23.796498135601539</v>
      </c>
      <c r="I144" s="154" cm="1">
        <f t="array" ref="I144">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10.495490271900495</v>
      </c>
      <c r="J144" s="154" cm="1">
        <f t="array" ref="J144">IFERROR(SUMIFS(INDEX(Calc_TUV_Net_2[[Ausnet]:[United Energy]],0,MATCH(Calc_TUV_NetGroup_2[[#Headers],[Jemena]],Calc_TUV_Net_2[[#Headers],[Ausnet]:[United Energy]],0)),
Calc_TUV_Net_2[Cost item],Calc_TUV_NetGroup_2[[#This Row],[Cost item]]&amp;" cost true up",
Calc_TUV_Net_2[Customer type],Calc_TUV_NetGroup_2[[#This Row],[Customer type]]),"-")</f>
        <v>25.800108175850884</v>
      </c>
      <c r="K144" s="154" cm="1">
        <f t="array" ref="K144">IFERROR(SUMIFS(INDEX(Calc_TUV_Net_2[[Ausnet]:[United Energy]],0,MATCH(Calc_TUV_NetGroup_2[[#Headers],[Powercor]],Calc_TUV_Net_2[[#Headers],[Ausnet]:[United Energy]],0)),
Calc_TUV_Net_2[Cost item],Calc_TUV_NetGroup_2[[#This Row],[Cost item]]&amp;" cost true up",
Calc_TUV_Net_2[Customer type],Calc_TUV_NetGroup_2[[#This Row],[Customer type]]),"-")</f>
        <v>13.315174225545405</v>
      </c>
      <c r="L144" s="154" cm="1">
        <f t="array" ref="L144">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-7.5191572097197463</v>
      </c>
    </row>
    <row r="145" spans="3:15" outlineLevel="1" x14ac:dyDescent="0.25">
      <c r="C145" s="24" t="str">
        <f>IF(COUNTIFS(Calc_TUV_Net_2[Pass through (Yes/No)],"Yes",Calc_TUV_Net_2[Cost item],"Controlled load cost - "&amp;Calc_TUV_NetGroup_2[[#This Row],[Customer type]])=1,"Controlled load - usage","-")</f>
        <v>Controlled load - usage</v>
      </c>
      <c r="D145" s="24" t="s">
        <v>139</v>
      </c>
      <c r="E145" s="149" t="s">
        <v>118</v>
      </c>
      <c r="F145" s="24" t="s">
        <v>100</v>
      </c>
      <c r="G145" s="24" t="s">
        <v>130</v>
      </c>
      <c r="H145" s="154" cm="1">
        <f t="array" ref="H145">IFERROR(SUMIFS(INDEX(Calc_TUV_Net_2[[Ausnet]:[United Energy]],0,MATCH(Calc_TUV_NetGroup_2[[#Headers],[Ausnet]],Calc_TUV_Net_2[[#Headers],[Ausnet]:[United Energy]],0)),
Calc_TUV_Net_2[Cost item],Calc_TUV_NetGroup_2[[#This Row],[Cost item]]&amp;" cost true up",
Calc_TUV_Net_2[Customer type],Calc_TUV_NetGroup_2[[#This Row],[Customer type]]),"-")</f>
        <v>2.2712494396904654</v>
      </c>
      <c r="I145" s="154" cm="1">
        <f t="array" ref="I145">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2.1517696013023619</v>
      </c>
      <c r="J145" s="154" cm="1">
        <f t="array" ref="J145">IFERROR(SUMIFS(INDEX(Calc_TUV_Net_2[[Ausnet]:[United Energy]],0,MATCH(Calc_TUV_NetGroup_2[[#Headers],[Jemena]],Calc_TUV_Net_2[[#Headers],[Ausnet]:[United Energy]],0)),
Calc_TUV_Net_2[Cost item],Calc_TUV_NetGroup_2[[#This Row],[Cost item]]&amp;" cost true up",
Calc_TUV_Net_2[Customer type],Calc_TUV_NetGroup_2[[#This Row],[Customer type]]),"-")</f>
        <v>3.8675227307618743</v>
      </c>
      <c r="K145" s="154" cm="1">
        <f t="array" ref="K145">IFERROR(SUMIFS(INDEX(Calc_TUV_Net_2[[Ausnet]:[United Energy]],0,MATCH(Calc_TUV_NetGroup_2[[#Headers],[Powercor]],Calc_TUV_Net_2[[#Headers],[Ausnet]:[United Energy]],0)),
Calc_TUV_Net_2[Cost item],Calc_TUV_NetGroup_2[[#This Row],[Cost item]]&amp;" cost true up",
Calc_TUV_Net_2[Customer type],Calc_TUV_NetGroup_2[[#This Row],[Customer type]]),"-")</f>
        <v>1.4156378955936577</v>
      </c>
      <c r="L145" s="154">
        <f>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2.4915226962448385</v>
      </c>
    </row>
    <row r="146" spans="3:15" outlineLevel="1" x14ac:dyDescent="0.25">
      <c r="C146" s="24" t="str">
        <f>IF(COUNTIFS(Calc_TUV_Net_2[Pass through (Yes/No)],"Yes",Calc_TUV_Net_2[Cost item],"TOU - "&amp;Calc_TUV_NetGroup_2[[#This Row],[Customer type]])=1,"TOU - supply","-")</f>
        <v>TOU - supply</v>
      </c>
      <c r="D146" s="24" t="s">
        <v>117</v>
      </c>
      <c r="E146" s="149" t="s">
        <v>118</v>
      </c>
      <c r="F146" s="24" t="s">
        <v>100</v>
      </c>
      <c r="G146" s="24" t="s">
        <v>130</v>
      </c>
      <c r="H146" s="154" cm="1">
        <f t="array" ref="H146">IFERROR(SUMIFS(INDEX(Calc_TUV_Net_2[[Ausnet]:[United Energy]],0,MATCH(Calc_TUV_NetGroup_2[[#Headers],[Ausnet]],Calc_TUV_Net_2[[#Headers],[Ausnet]:[United Energy]],0)),
Calc_TUV_Net_2[Cost item],Calc_TUV_NetGroup_2[[#This Row],[Cost item]]&amp;" cost true up",
Calc_TUV_Net_2[Customer type],Calc_TUV_NetGroup_2[[#This Row],[Customer type]]),"-")</f>
        <v>1.8248234761643884</v>
      </c>
      <c r="I146" s="154" cm="1">
        <f t="array" ref="I146">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-1.2662808725479466</v>
      </c>
      <c r="J146" s="154" cm="1">
        <f t="array" ref="J146">IFERROR(SUMIFS(INDEX(Calc_TUV_Net_2[[Ausnet]:[United Energy]],0,MATCH(Calc_TUV_NetGroup_2[[#Headers],[Jemena]],Calc_TUV_Net_2[[#Headers],[Ausnet]:[United Energy]],0)),
Calc_TUV_Net_2[Cost item],Calc_TUV_NetGroup_2[[#This Row],[Cost item]]&amp;" cost true up",
Calc_TUV_Net_2[Customer type],Calc_TUV_NetGroup_2[[#This Row],[Customer type]]),"-")</f>
        <v>0.21319327473972866</v>
      </c>
      <c r="K146" s="154" cm="1">
        <f t="array" ref="K146">IFERROR(SUMIFS(INDEX(Calc_TUV_Net_2[[Ausnet]:[United Energy]],0,MATCH(Calc_TUV_NetGroup_2[[#Headers],[Powercor]],Calc_TUV_Net_2[[#Headers],[Ausnet]:[United Energy]],0)),
Calc_TUV_Net_2[Cost item],Calc_TUV_NetGroup_2[[#This Row],[Cost item]]&amp;" cost true up",
Calc_TUV_Net_2[Customer type],Calc_TUV_NetGroup_2[[#This Row],[Customer type]]),"-")</f>
        <v>-1.4904706405479504</v>
      </c>
      <c r="L146" s="154" cm="1">
        <f t="array" ref="L146">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2.823027675178083</v>
      </c>
    </row>
    <row r="147" spans="3:15" outlineLevel="1" x14ac:dyDescent="0.25">
      <c r="C147" s="24" t="str">
        <f>IF(COUNTIFS(Calc_TUV_Net_2[Pass through (Yes/No)],"Yes",Calc_TUV_Net_2[Cost item],"TOU - "&amp;Calc_TUV_NetGroup_2[[#This Row],[Customer type]])=1,"TOU - usage","-")</f>
        <v>TOU - usage</v>
      </c>
      <c r="D147" s="24" t="s">
        <v>139</v>
      </c>
      <c r="E147" s="149" t="s">
        <v>118</v>
      </c>
      <c r="F147" s="24" t="s">
        <v>100</v>
      </c>
      <c r="G147" s="24" t="s">
        <v>130</v>
      </c>
      <c r="H147" s="154" cm="1">
        <f t="array" ref="H147">IFERROR(SUMIFS(INDEX(Calc_TUV_Net_2[[Ausnet]:[United Energy]],0,MATCH(Calc_TUV_NetGroup_2[[#Headers],[Ausnet]],Calc_TUV_Net_2[[#Headers],[Ausnet]:[United Energy]],0)),
Calc_TUV_Net_2[Cost item],Calc_TUV_NetGroup_2[[#This Row],[Cost item]]&amp;" cost true up",
Calc_TUV_Net_2[Customer type],Calc_TUV_NetGroup_2[[#This Row],[Customer type]]),"-")</f>
        <v>-8.2226839871762945</v>
      </c>
      <c r="I147" s="154" cm="1">
        <f t="array" ref="I147">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16.092521111809106</v>
      </c>
      <c r="J147" s="154" cm="1">
        <f t="array" ref="J147">IFERROR(SUMIFS(INDEX(Calc_TUV_Net_2[[Ausnet]:[United Energy]],0,MATCH(Calc_TUV_NetGroup_2[[#Headers],[Jemena]],Calc_TUV_Net_2[[#Headers],[Ausnet]:[United Energy]],0)),
Calc_TUV_Net_2[Cost item],Calc_TUV_NetGroup_2[[#This Row],[Cost item]]&amp;" cost true up",
Calc_TUV_Net_2[Customer type],Calc_TUV_NetGroup_2[[#This Row],[Customer type]]),"-")</f>
        <v>-3.9252584101251058</v>
      </c>
      <c r="K147" s="154" cm="1">
        <f t="array" ref="K147">IFERROR(SUMIFS(INDEX(Calc_TUV_Net_2[[Ausnet]:[United Energy]],0,MATCH(Calc_TUV_NetGroup_2[[#Headers],[Powercor]],Calc_TUV_Net_2[[#Headers],[Ausnet]:[United Energy]],0)),
Calc_TUV_Net_2[Cost item],Calc_TUV_NetGroup_2[[#This Row],[Cost item]]&amp;" cost true up",
Calc_TUV_Net_2[Customer type],Calc_TUV_NetGroup_2[[#This Row],[Customer type]]),"-")</f>
        <v>12.706773088216648</v>
      </c>
      <c r="L147" s="154" cm="1">
        <f t="array" ref="L147">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2.0679022186509202</v>
      </c>
    </row>
    <row r="148" spans="3:15" outlineLevel="1" x14ac:dyDescent="0.25">
      <c r="C148" s="24" t="str">
        <f>IF(COUNTIFS(Calc_TUV_Net_2[Pass through (Yes/No)],"Yes",Calc_TUV_Net_2[Cost item],"TOU - "&amp;Calc_TUV_NetGroup_2[[#This Row],[Customer type]])=1,"TOU - supply","-")</f>
        <v>TOU - supply</v>
      </c>
      <c r="D148" s="24" t="s">
        <v>117</v>
      </c>
      <c r="E148" s="149" t="s">
        <v>118</v>
      </c>
      <c r="F148" s="24" t="s">
        <v>101</v>
      </c>
      <c r="G148" s="24" t="s">
        <v>130</v>
      </c>
      <c r="H148" s="154" cm="1">
        <f t="array" ref="H148">IFERROR(SUMIFS(INDEX(Calc_TUV_Net_2[[Ausnet]:[United Energy]],0,MATCH(Calc_TUV_NetGroup_2[[#Headers],[Ausnet]],Calc_TUV_Net_2[[#Headers],[Ausnet]:[United Energy]],0)),
Calc_TUV_Net_2[Cost item],Calc_TUV_NetGroup_2[[#This Row],[Cost item]]&amp;" cost true up",
Calc_TUV_Net_2[Customer type],Calc_TUV_NetGroup_2[[#This Row],[Customer type]]),"-")</f>
        <v>1.8248234761643884</v>
      </c>
      <c r="I148" s="154" cm="1">
        <f t="array" ref="I148">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-1.2648939274520594</v>
      </c>
      <c r="J148" s="154" cm="1">
        <f t="array" ref="J148">IFERROR(SUMIFS(INDEX(Calc_TUV_Net_2[[Ausnet]:[United Energy]],0,MATCH(Calc_TUV_NetGroup_2[[#Headers],[Jemena]],Calc_TUV_Net_2[[#Headers],[Ausnet]:[United Energy]],0)),
Calc_TUV_Net_2[Cost item],Calc_TUV_NetGroup_2[[#This Row],[Cost item]]&amp;" cost true up",
Calc_TUV_Net_2[Customer type],Calc_TUV_NetGroup_2[[#This Row],[Customer type]]),"-")</f>
        <v>22.051040079561648</v>
      </c>
      <c r="K148" s="154" cm="1">
        <f t="array" ref="K148">IFERROR(SUMIFS(INDEX(Calc_TUV_Net_2[[Ausnet]:[United Energy]],0,MATCH(Calc_TUV_NetGroup_2[[#Headers],[Powercor]],Calc_TUV_Net_2[[#Headers],[Ausnet]:[United Energy]],0)),
Calc_TUV_Net_2[Cost item],Calc_TUV_NetGroup_2[[#This Row],[Cost item]]&amp;" cost true up",
Calc_TUV_Net_2[Customer type],Calc_TUV_NetGroup_2[[#This Row],[Customer type]]),"-")</f>
        <v>-1.489678100493145</v>
      </c>
      <c r="L148" s="154" cm="1">
        <f t="array" ref="L148">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6.7861242191780837</v>
      </c>
    </row>
    <row r="149" spans="3:15" outlineLevel="1" x14ac:dyDescent="0.25">
      <c r="C149" s="24" t="str">
        <f>IF(COUNTIFS(Calc_TUV_Net_2[Pass through (Yes/No)],"Yes",Calc_TUV_Net_2[Cost item],"TOU - "&amp;Calc_TUV_NetGroup_2[[#This Row],[Customer type]])=1,"TOU - usage","-")</f>
        <v>TOU - usage</v>
      </c>
      <c r="D149" s="24" t="s">
        <v>139</v>
      </c>
      <c r="E149" s="149" t="s">
        <v>118</v>
      </c>
      <c r="F149" s="24" t="s">
        <v>101</v>
      </c>
      <c r="G149" s="24" t="s">
        <v>130</v>
      </c>
      <c r="H149" s="154" cm="1">
        <f t="array" ref="H149">IFERROR(SUMIFS(INDEX(Calc_TUV_Net_2[[Ausnet]:[United Energy]],0,MATCH(Calc_TUV_NetGroup_2[[#Headers],[Ausnet]],Calc_TUV_Net_2[[#Headers],[Ausnet]:[United Energy]],0)),
Calc_TUV_Net_2[Cost item],Calc_TUV_NetGroup_2[[#This Row],[Cost item]]&amp;" cost true up",
Calc_TUV_Net_2[Customer type],Calc_TUV_NetGroup_2[[#This Row],[Customer type]]),"-")</f>
        <v>-61.419931930406221</v>
      </c>
      <c r="I149" s="154" cm="1">
        <f t="array" ref="I149">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4.9140825347689194</v>
      </c>
      <c r="J149" s="154" cm="1">
        <f t="array" ref="J149">IFERROR(SUMIFS(INDEX(Calc_TUV_Net_2[[Ausnet]:[United Energy]],0,MATCH(Calc_TUV_NetGroup_2[[#Headers],[Jemena]],Calc_TUV_Net_2[[#Headers],[Ausnet]:[United Energy]],0)),
Calc_TUV_Net_2[Cost item],Calc_TUV_NetGroup_2[[#This Row],[Cost item]]&amp;" cost true up",
Calc_TUV_Net_2[Customer type],Calc_TUV_NetGroup_2[[#This Row],[Customer type]]),"-")</f>
        <v>-11.706231231773922</v>
      </c>
      <c r="K149" s="154" cm="1">
        <f t="array" ref="K149">IFERROR(SUMIFS(INDEX(Calc_TUV_Net_2[[Ausnet]:[United Energy]],0,MATCH(Calc_TUV_NetGroup_2[[#Headers],[Powercor]],Calc_TUV_Net_2[[#Headers],[Ausnet]:[United Energy]],0)),
Calc_TUV_Net_2[Cost item],Calc_TUV_NetGroup_2[[#This Row],[Cost item]]&amp;" cost true up",
Calc_TUV_Net_2[Customer type],Calc_TUV_NetGroup_2[[#This Row],[Customer type]]),"-")</f>
        <v>7.2105584659041817</v>
      </c>
      <c r="L149" s="154" cm="1">
        <f t="array" ref="L149">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-12.983078115449414</v>
      </c>
      <c r="O149" s="88"/>
    </row>
    <row r="150" spans="3:15" outlineLevel="1" x14ac:dyDescent="0.25">
      <c r="O150" s="80"/>
    </row>
    <row r="151" spans="3:15" ht="15.75" outlineLevel="1" x14ac:dyDescent="0.25">
      <c r="C151" s="55" t="s">
        <v>513</v>
      </c>
      <c r="D151" s="83" t="str">
        <f>INDEX(Inputs!$H$10:$Q$10,1,MATCH($D$135,Inputs!$H$8:$Q$8,0))</f>
        <v>F-NextVDO_Input</v>
      </c>
      <c r="E151" s="189">
        <f>INDEX(Input_TUNet_Dates[[F-CurrentVDO_Input]:[F-NextVDO_Input]],MATCH(Calc_TU_rates!C151,Input_TUNet_Dates[Item],0),MATCH(Calc_TU_rates!D151,Input_TUNet_Dates[[#Headers],[F-CurrentVDO_Input]:[F-NextVDO_Input]],0))</f>
        <v>44562</v>
      </c>
      <c r="H151" s="237"/>
      <c r="I151" s="237"/>
      <c r="J151" s="237"/>
      <c r="K151" s="237"/>
      <c r="L151" s="237"/>
    </row>
    <row r="152" spans="3:15" ht="15.75" outlineLevel="1" x14ac:dyDescent="0.25">
      <c r="C152" s="55" t="s">
        <v>514</v>
      </c>
      <c r="D152" s="83" t="str">
        <f>INDEX(Inputs!$H$10:$Q$10,1,MATCH($D$135,Inputs!$H$8:$Q$8,0))</f>
        <v>F-NextVDO_Input</v>
      </c>
      <c r="E152" s="189">
        <f>INDEX(Input_TUNet_Dates[[F-CurrentVDO_Input]:[F-NextVDO_Input]],MATCH(Calc_TU_rates!C152,Input_TUNet_Dates[Item],0),MATCH(Calc_TU_rates!D152,Input_TUNet_Dates[[#Headers],[F-CurrentVDO_Input]:[F-NextVDO_Input]],0))</f>
        <v>44742</v>
      </c>
      <c r="H152" s="260"/>
      <c r="I152" s="260"/>
      <c r="J152" s="260"/>
      <c r="K152" s="260"/>
      <c r="L152" s="260"/>
    </row>
    <row r="153" spans="3:15" ht="15.75" outlineLevel="1" x14ac:dyDescent="0.25">
      <c r="C153" s="30"/>
      <c r="H153" s="284"/>
      <c r="I153" s="284"/>
      <c r="J153" s="284"/>
      <c r="K153" s="284"/>
      <c r="L153" s="284"/>
    </row>
    <row r="154" spans="3:15" ht="15.75" outlineLevel="1" x14ac:dyDescent="0.25">
      <c r="C154" s="55" t="s">
        <v>574</v>
      </c>
      <c r="E154" s="229">
        <f>IFERROR(_xlfn.DAYS(E152,E151)+1,"-")</f>
        <v>181</v>
      </c>
    </row>
    <row r="155" spans="3:15" outlineLevel="1" x14ac:dyDescent="0.25">
      <c r="H155" s="284"/>
    </row>
    <row r="156" spans="3:15" ht="15.75" outlineLevel="1" x14ac:dyDescent="0.25">
      <c r="C156" s="30" t="s">
        <v>591</v>
      </c>
    </row>
    <row r="157" spans="3:15" ht="15.75" outlineLevel="1" x14ac:dyDescent="0.25">
      <c r="C157" s="44" t="s">
        <v>479</v>
      </c>
      <c r="D157" s="141" t="s">
        <v>110</v>
      </c>
      <c r="E157" s="141" t="s">
        <v>111</v>
      </c>
      <c r="F157" s="141" t="s">
        <v>99</v>
      </c>
      <c r="G157" s="141" t="s">
        <v>53</v>
      </c>
      <c r="H157" s="142" t="s">
        <v>277</v>
      </c>
      <c r="I157" s="142" t="s">
        <v>278</v>
      </c>
      <c r="J157" s="142" t="s">
        <v>279</v>
      </c>
      <c r="K157" s="142" t="s">
        <v>280</v>
      </c>
      <c r="L157" s="142" t="s">
        <v>281</v>
      </c>
    </row>
    <row r="158" spans="3:15" outlineLevel="1" collapsed="1" x14ac:dyDescent="0.25">
      <c r="C158" s="24" t="s">
        <v>515</v>
      </c>
      <c r="D158" s="24" t="s">
        <v>117</v>
      </c>
      <c r="E158" s="149" t="s">
        <v>118</v>
      </c>
      <c r="F158" s="24" t="s">
        <v>100</v>
      </c>
      <c r="G158" s="24" t="s">
        <v>130</v>
      </c>
      <c r="H158" s="155" cm="1">
        <f t="array" ref="H158">IFERROR(
(SUMIFS(Calc_TUV_NetGroup_2[Ausnet],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SUMIFS(Calc_TUV_NetGroup_2[Ausnet],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6.5942940910810238E-2</v>
      </c>
      <c r="I158" s="155" cm="1">
        <f t="array" ref="I158">IFERROR(
(SUMIFS(Calc_TUV_NetGroup_2[Citipower],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SUMIFS(Calc_TUV_NetGroup_2[Citipower],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8.9431863759251856E-2</v>
      </c>
      <c r="J158" s="155" cm="1">
        <f t="array" ref="J158">IFERROR(
(SUMIFS(Calc_TUV_NetGroup_2[Jemena],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SUMIFS(Calc_TUV_NetGroup_2[Jemena],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7.7831933455424371E-2</v>
      </c>
      <c r="K158" s="155" cm="1">
        <f t="array" ref="K158">IFERROR(
(SUMIFS(Calc_TUV_NetGroup_2[Powercor],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SUMIFS(Calc_TUV_NetGroup_2[Powercor],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7.7818093461869797E-2</v>
      </c>
      <c r="L158" s="155" cm="1">
        <f t="array" ref="L158">IFERROR(
(SUMIFS(Calc_TUV_NetGroup_2[United Energy],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SUMIFS(Calc_TUV_NetGroup_2[United Energy],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3.5126537362516849E-2</v>
      </c>
      <c r="O158" s="79"/>
    </row>
    <row r="159" spans="3:15" outlineLevel="1" x14ac:dyDescent="0.25">
      <c r="C159" s="24" t="s">
        <v>515</v>
      </c>
      <c r="D159" s="24" t="s">
        <v>117</v>
      </c>
      <c r="E159" s="149" t="s">
        <v>118</v>
      </c>
      <c r="F159" s="24" t="s">
        <v>101</v>
      </c>
      <c r="G159" s="24" t="s">
        <v>130</v>
      </c>
      <c r="H159" s="155" cm="1">
        <f t="array" ref="H159">IFERROR(
(SUMIFS(Calc_TUV_NetGroup_2[Ausnet],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SUMIFS(Calc_TUV_NetGroup_2[Ausnet],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0.14155426304843055</v>
      </c>
      <c r="I159" s="155" cm="1">
        <f t="array" ref="I159">IFERROR(
(SUMIFS(Calc_TUV_NetGroup_2[Citipower],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SUMIFS(Calc_TUV_NetGroup_2[Citipower],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5.0997769858831137E-2</v>
      </c>
      <c r="J159" s="155" cm="1">
        <f t="array" ref="J159">IFERROR(
(SUMIFS(Calc_TUV_NetGroup_2[Jemena],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SUMIFS(Calc_TUV_NetGroup_2[Jemena],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0.14652115442345531</v>
      </c>
      <c r="K159" s="155" cm="1">
        <f t="array" ref="K159">IFERROR(
(SUMIFS(Calc_TUV_NetGroup_2[Powercor],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SUMIFS(Calc_TUV_NetGroup_2[Powercor],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6.5334232735095366E-2</v>
      </c>
      <c r="L159" s="155" cm="1">
        <f t="array" ref="L159">IFERROR(
(SUMIFS(Calc_TUV_NetGroup_2[United Energy],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SUMIFS(Calc_TUV_NetGroup_2[United Energy],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-4.0499060250920585E-3</v>
      </c>
    </row>
    <row r="160" spans="3:15" outlineLevel="1" x14ac:dyDescent="0.25">
      <c r="C160" s="24" t="s">
        <v>516</v>
      </c>
      <c r="D160" s="24" t="s">
        <v>117</v>
      </c>
      <c r="E160" s="149" t="s">
        <v>118</v>
      </c>
      <c r="F160" s="24" t="s">
        <v>100</v>
      </c>
      <c r="G160" s="24" t="s">
        <v>130</v>
      </c>
      <c r="H160" s="155" cm="1">
        <f t="array" ref="H160">IFERROR(
(SUMIFS(Calc_TUV_NetGroup_2[Ausnet],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SUMIFS(Calc_TUV_NetGroup_2[Ausnet],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-3.5347295640949759E-2</v>
      </c>
      <c r="I160" s="155" cm="1">
        <f t="array" ref="I160">IFERROR(
(SUMIFS(Calc_TUV_NetGroup_2[Citipower],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SUMIFS(Calc_TUV_NetGroup_2[Citipower],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8.191292949868044E-2</v>
      </c>
      <c r="J160" s="155" cm="1">
        <f t="array" ref="J160">IFERROR(
(SUMIFS(Calc_TUV_NetGroup_2[Jemena],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SUMIFS(Calc_TUV_NetGroup_2[Jemena],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-2.0508647156825287E-2</v>
      </c>
      <c r="K160" s="155" cm="1">
        <f t="array" ref="K160">IFERROR(
(SUMIFS(Calc_TUV_NetGroup_2[Powercor],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SUMIFS(Calc_TUV_NetGroup_2[Powercor],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6.1968521810324292E-2</v>
      </c>
      <c r="L160" s="155" cm="1">
        <f t="array" ref="L160">IFERROR(
(SUMIFS(Calc_TUV_NetGroup_2[United Energy],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SUMIFS(Calc_TUV_NetGroup_2[United Energy],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2.7021712120602229E-2</v>
      </c>
    </row>
    <row r="161" spans="2:12" outlineLevel="1" x14ac:dyDescent="0.25">
      <c r="C161" s="24" t="s">
        <v>516</v>
      </c>
      <c r="D161" s="24" t="s">
        <v>117</v>
      </c>
      <c r="E161" s="149" t="s">
        <v>118</v>
      </c>
      <c r="F161" s="24" t="s">
        <v>101</v>
      </c>
      <c r="G161" s="24" t="s">
        <v>130</v>
      </c>
      <c r="H161" s="155" cm="1">
        <f t="array" ref="H161">IFERROR(
(SUMIFS(Calc_TUV_NetGroup_2[Ausnet],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SUMIFS(Calc_TUV_NetGroup_2[Ausnet],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-0.32925474284111511</v>
      </c>
      <c r="I161" s="155" cm="1">
        <f t="array" ref="I161">IFERROR(
(SUMIFS(Calc_TUV_NetGroup_2[Citipower],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SUMIFS(Calc_TUV_NetGroup_2[Citipower],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2.0161263023850056E-2</v>
      </c>
      <c r="J161" s="155" cm="1">
        <f t="array" ref="J161">IFERROR(
(SUMIFS(Calc_TUV_NetGroup_2[Jemena],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SUMIFS(Calc_TUV_NetGroup_2[Jemena],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5.7153640043026116E-2</v>
      </c>
      <c r="K161" s="155" cm="1">
        <f t="array" ref="K161">IFERROR(
(SUMIFS(Calc_TUV_NetGroup_2[Powercor],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SUMIFS(Calc_TUV_NetGroup_2[Powercor],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3.1607073842049929E-2</v>
      </c>
      <c r="L161" s="155" cm="1">
        <f t="array" ref="L161">IFERROR(
(SUMIFS(Calc_TUV_NetGroup_2[United Energy],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SUMIFS(Calc_TUV_NetGroup_2[United Energy],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-3.4237314344040502E-2</v>
      </c>
    </row>
    <row r="162" spans="2:12" outlineLevel="1" x14ac:dyDescent="0.25">
      <c r="B162"/>
    </row>
    <row r="163" spans="2:12" ht="15.75" outlineLevel="1" x14ac:dyDescent="0.25">
      <c r="B163"/>
      <c r="C163" s="55" t="s">
        <v>779</v>
      </c>
      <c r="E163" s="239">
        <f>IFERROR((_xlfn.DAYS(E152,E151)+1)/DiY,"-")</f>
        <v>0.49589041095890413</v>
      </c>
    </row>
    <row r="164" spans="2:12" ht="15.75" outlineLevel="1" x14ac:dyDescent="0.25">
      <c r="B164"/>
      <c r="C164" s="55" t="s">
        <v>654</v>
      </c>
      <c r="E164" s="240">
        <f>IFERROR(
INDEX(Input_Usage[[F-CurrentVDO_Input]:[F-NextVDO_Input]],MATCH("Residential - medium - Controlled load",Input_Usage[Ref],0),MATCH(Calc_TU_rates!$D$135,Inputs!$I$133:$M$133,0))*E163,"-")</f>
        <v>991.78082191780823</v>
      </c>
    </row>
    <row r="165" spans="2:12" ht="15.75" outlineLevel="1" x14ac:dyDescent="0.25">
      <c r="B165"/>
      <c r="C165" s="55" t="s">
        <v>727</v>
      </c>
      <c r="D165" s="83" t="str">
        <f>INDEX(Inputs!$H$10:$Q$10,1,MATCH($D$135,Inputs!$H$8:$Q$8,0))</f>
        <v>F-NextVDO_Input</v>
      </c>
      <c r="E165" s="239" cm="1">
        <f t="array" ref="E165">INDEX(Input_TUNet_Actual[],MATCH(1,(Input_TUNet_Actual[Item]="Total usage - Controlled Load")*(Input_TUNet_Actual[Customer type]="Residential")*(Input_TUNet_Actual[Month]="January 2021 to June 2021"),0),MATCH($D$165,Input_TUNet_Actual[#Headers],0))
/INDEX(Input_TUNet_Actual[],MATCH(1,(Input_TUNet_Actual[Item]="Total usage - Controlled Load")*(Input_TUNet_Actual[Customer type]="Residential")*(Input_TUNet_Actual[Month]="July 2020 to June 2021"),0),MATCH($D$165,Input_TUNet_Actual[#Headers],0))</f>
        <v>0.47733249931105343</v>
      </c>
    </row>
    <row r="166" spans="2:12" ht="15.75" outlineLevel="1" x14ac:dyDescent="0.25">
      <c r="B166"/>
      <c r="C166" s="55" t="s">
        <v>728</v>
      </c>
      <c r="E166" s="240">
        <f>IFERROR(
INDEX(Input_Usage[[F-CurrentVDO_Input]:[F-NextVDO_Input]],MATCH("Residential - medium - Controlled load",Input_Usage[Ref],0),MATCH(Calc_TU_rates!$D$135,Inputs!$I$133:$M$133,0))*E165,"-")</f>
        <v>954.66499862210685</v>
      </c>
    </row>
    <row r="167" spans="2:12" outlineLevel="1" x14ac:dyDescent="0.25">
      <c r="B167"/>
    </row>
    <row r="168" spans="2:12" ht="15.75" outlineLevel="1" x14ac:dyDescent="0.25">
      <c r="B168"/>
      <c r="C168" s="30" t="s">
        <v>653</v>
      </c>
    </row>
    <row r="169" spans="2:12" ht="15.75" outlineLevel="1" x14ac:dyDescent="0.25">
      <c r="B169"/>
      <c r="C169" s="44" t="s">
        <v>479</v>
      </c>
      <c r="D169" s="141" t="s">
        <v>110</v>
      </c>
      <c r="E169" s="141" t="s">
        <v>111</v>
      </c>
      <c r="F169" s="141" t="s">
        <v>99</v>
      </c>
      <c r="G169" s="141" t="s">
        <v>53</v>
      </c>
      <c r="H169" s="142" t="s">
        <v>277</v>
      </c>
      <c r="I169" s="142" t="s">
        <v>278</v>
      </c>
      <c r="J169" s="142" t="s">
        <v>279</v>
      </c>
      <c r="K169" s="142" t="s">
        <v>280</v>
      </c>
      <c r="L169" s="142" t="s">
        <v>281</v>
      </c>
    </row>
    <row r="170" spans="2:12" outlineLevel="1" x14ac:dyDescent="0.25">
      <c r="B170"/>
      <c r="C170" s="24" t="s">
        <v>296</v>
      </c>
      <c r="D170" s="24" t="s">
        <v>139</v>
      </c>
      <c r="E170" s="149" t="s">
        <v>118</v>
      </c>
      <c r="F170" s="24" t="s">
        <v>100</v>
      </c>
      <c r="G170" s="24" t="s">
        <v>130</v>
      </c>
      <c r="H170" s="155" cm="1">
        <f t="array" ref="H170">IFERROR(
(SUMIFS(Calc_TUV_NetGroup_2[Ausnet],
Calc_TUV_NetGroup_2[[Cost item]:[Cost item]],Calc_TUR_NetCL_2[[#This Row],[Rate type]:[Rate type]]&amp;" - supply",
Calc_TUV_NetGroup_2[[Customer type]:[Customer type]],Calc_TUR_NetCL_2[[#This Row],[Customer type]:[Customer type]],
Calc_TUV_NetGroup_2[[Cost element]:[Cost element]],Calc_TUR_NetCL_2[[#This Row],[Cost element]:[Cost element]])+
SUMIFS(Calc_TUV_NetGroup_2[Ausnet],
Calc_TUV_NetGroup_2[[Cost item]:[Cost item]],Calc_TUR_NetCL_2[[#This Row],[Rate type]:[Rate type]]&amp;" - usage",
Calc_TUV_NetGroup_2[[Customer type]:[Customer type]],Calc_TUR_NetCL_2[[#This Row],[Customer type]:[Customer type]],
Calc_TUV_NetGroup_2[[Cost element]:[Cost element]],Calc_TUR_NetCL_2[[#This Row],[Cost element]:[Cost element]]))
/$E$166,"-")</f>
        <v>2.3791062236162628E-3</v>
      </c>
      <c r="I170" s="155" cm="1">
        <f t="array" ref="I170">IFERROR(
(SUMIFS(Calc_TUV_NetGroup_2[Citipower],
Calc_TUV_NetGroup_2[[Cost item]:[Cost item]],Calc_TUR_NetCL_2[[#This Row],[Rate type]:[Rate type]]&amp;" - supply",
Calc_TUV_NetGroup_2[[Customer type]:[Customer type]],Calc_TUR_NetCL_2[[#This Row],[Customer type]:[Customer type]],
Calc_TUV_NetGroup_2[[Cost element]:[Cost element]],Calc_TUR_NetCL_2[[#This Row],[Cost element]:[Cost element]])+
SUMIFS(Calc_TUV_NetGroup_2[Citipower],
Calc_TUV_NetGroup_2[[Cost item]:[Cost item]],Calc_TUR_NetCL_2[[#This Row],[Rate type]:[Rate type]]&amp;" - usage",
Calc_TUV_NetGroup_2[[Customer type]:[Customer type]],Calc_TUR_NetCL_2[[#This Row],[Customer type]:[Customer type]],
Calc_TUV_NetGroup_2[[Cost element]:[Cost element]],Calc_TUR_NetCL_2[[#This Row],[Cost element]:[Cost element]]))
/$E$166,"-")</f>
        <v>2.2539525429423595E-3</v>
      </c>
      <c r="J170" s="155" cm="1">
        <f t="array" ref="J170">IFERROR(
(SUMIFS(Calc_TUV_NetGroup_2[Jemena],
Calc_TUV_NetGroup_2[[Cost item]:[Cost item]],Calc_TUR_NetCL_2[[#This Row],[Rate type]:[Rate type]]&amp;" - supply",
Calc_TUV_NetGroup_2[[Customer type]:[Customer type]],Calc_TUR_NetCL_2[[#This Row],[Customer type]:[Customer type]],
Calc_TUV_NetGroup_2[[Cost element]:[Cost element]],Calc_TUR_NetCL_2[[#This Row],[Cost element]:[Cost element]])+
SUMIFS(Calc_TUV_NetGroup_2[Jemena],
Calc_TUV_NetGroup_2[[Cost item]:[Cost item]],Calc_TUR_NetCL_2[[#This Row],[Rate type]:[Rate type]]&amp;" - usage",
Calc_TUV_NetGroup_2[[Customer type]:[Customer type]],Calc_TUR_NetCL_2[[#This Row],[Customer type]:[Customer type]],
Calc_TUV_NetGroup_2[[Cost element]:[Cost element]],Calc_TUR_NetCL_2[[#This Row],[Cost element]:[Cost element]]))
/$E$166,"-")</f>
        <v>4.0511831232358702E-3</v>
      </c>
      <c r="K170" s="155" cm="1">
        <f t="array" ref="K170">IFERROR(
(SUMIFS(Calc_TUV_NetGroup_2[Powercor],
Calc_TUV_NetGroup_2[[Cost item]:[Cost item]],Calc_TUR_NetCL_2[[#This Row],[Rate type]:[Rate type]]&amp;" - supply",
Calc_TUV_NetGroup_2[[Customer type]:[Customer type]],Calc_TUR_NetCL_2[[#This Row],[Customer type]:[Customer type]],
Calc_TUV_NetGroup_2[[Cost element]:[Cost element]],Calc_TUR_NetCL_2[[#This Row],[Cost element]:[Cost element]])+
SUMIFS(Calc_TUV_NetGroup_2[Powercor],
Calc_TUV_NetGroup_2[[Cost item]:[Cost item]],Calc_TUR_NetCL_2[[#This Row],[Rate type]:[Rate type]]&amp;" - usage",
Calc_TUV_NetGroup_2[[Customer type]:[Customer type]],Calc_TUR_NetCL_2[[#This Row],[Customer type]:[Customer type]],
Calc_TUV_NetGroup_2[[Cost element]:[Cost element]],Calc_TUR_NetCL_2[[#This Row],[Cost element]:[Cost element]]))
/$E$166,"-")</f>
        <v>1.4828635150936562E-3</v>
      </c>
      <c r="L170" s="155" cm="1">
        <f t="array" ref="L170">IFERROR(
(SUMIFS(Calc_TUV_NetGroup_2[United Energy],
Calc_TUV_NetGroup_2[[Cost item]:[Cost item]],Calc_TUR_NetCL_2[[#This Row],[Rate type]:[Rate type]]&amp;" - supply",
Calc_TUV_NetGroup_2[[Customer type]:[Customer type]],Calc_TUR_NetCL_2[[#This Row],[Customer type]:[Customer type]],
Calc_TUV_NetGroup_2[[Cost element]:[Cost element]],Calc_TUR_NetCL_2[[#This Row],[Cost element]:[Cost element]])+
SUMIFS(Calc_TUV_NetGroup_2[United Energy],
Calc_TUV_NetGroup_2[[Cost item]:[Cost item]],Calc_TUR_NetCL_2[[#This Row],[Rate type]:[Rate type]]&amp;" - usage",
Calc_TUV_NetGroup_2[[Customer type]:[Customer type]],Calc_TUR_NetCL_2[[#This Row],[Customer type]:[Customer type]],
Calc_TUV_NetGroup_2[[Cost element]:[Cost element]],Calc_TUR_NetCL_2[[#This Row],[Cost element]:[Cost element]]))
/$E$166,"-")</f>
        <v>2.6098397865648355E-3</v>
      </c>
    </row>
    <row r="171" spans="2:12" outlineLevel="1" x14ac:dyDescent="0.25">
      <c r="B171"/>
    </row>
    <row r="172" spans="2:12" ht="15.75" outlineLevel="1" x14ac:dyDescent="0.25">
      <c r="B172"/>
      <c r="C172" s="30" t="s">
        <v>536</v>
      </c>
    </row>
    <row r="173" spans="2:12" ht="15.75" outlineLevel="1" x14ac:dyDescent="0.25">
      <c r="B173"/>
      <c r="C173" s="140" t="s">
        <v>479</v>
      </c>
      <c r="D173" s="140" t="s">
        <v>110</v>
      </c>
      <c r="E173" s="140" t="s">
        <v>111</v>
      </c>
      <c r="F173" s="140" t="s">
        <v>99</v>
      </c>
      <c r="G173" s="161" t="s">
        <v>53</v>
      </c>
      <c r="H173" s="158" t="s">
        <v>277</v>
      </c>
      <c r="I173" s="158" t="s">
        <v>278</v>
      </c>
      <c r="J173" s="158" t="s">
        <v>279</v>
      </c>
      <c r="K173" s="158" t="s">
        <v>280</v>
      </c>
      <c r="L173" s="158" t="s">
        <v>281</v>
      </c>
    </row>
    <row r="174" spans="2:12" ht="15.75" outlineLevel="1" x14ac:dyDescent="0.25">
      <c r="B174"/>
      <c r="C174" s="24" t="s">
        <v>515</v>
      </c>
      <c r="D174" s="24" t="s">
        <v>117</v>
      </c>
      <c r="E174" s="24" t="s">
        <v>118</v>
      </c>
      <c r="F174" s="24" t="s">
        <v>100</v>
      </c>
      <c r="G174" s="60" t="s">
        <v>130</v>
      </c>
      <c r="H174" s="94">
        <f>IFERROR(
IF(
(SUMIFS(Calc_TUV_NetGroup_2[Ausnet],Calc_TUV_NetGroup_2[[Customer type]:[Customer type]],$F174,Calc_TUV_NetGroup_2[[Cost item]:[Cost item]],$C174&amp;" - supply")+
SUMIFS(Calc_TUV_NetGroup_2[Ausnet],Calc_TUV_NetGroup_2[[Customer type]:[Customer type]],$F174,Calc_TUV_NetGroup_2[[Cost item]:[Cost item]],$C174&amp;" - usage"))/
IF($C174&lt;&gt;"Controlled load",$E$154,$E$164)=H158,
0,1),"-")</f>
        <v>0</v>
      </c>
      <c r="I174" s="94">
        <f>IFERROR(
IF(
(SUMIFS(Calc_TUV_NetGroup_2[Citipower],Calc_TUV_NetGroup_2[[Customer type]:[Customer type]],$F174,Calc_TUV_NetGroup_2[[Cost item]:[Cost item]],$C174&amp;" - supply")+
SUMIFS(Calc_TUV_NetGroup_2[Citipower],Calc_TUV_NetGroup_2[[Customer type]:[Customer type]],$F174,Calc_TUV_NetGroup_2[[Cost item]:[Cost item]],$C174&amp;" - usage"))/
IF($C174&lt;&gt;"Controlled load",$E$154,$E$164)=I158,
0,1),"-")</f>
        <v>0</v>
      </c>
      <c r="J174" s="94">
        <f>IFERROR(
IF(
(SUMIFS(Calc_TUV_NetGroup_2[Jemena],Calc_TUV_NetGroup_2[[Customer type]:[Customer type]],$F174,Calc_TUV_NetGroup_2[[Cost item]:[Cost item]],$C174&amp;" - supply")+
SUMIFS(Calc_TUV_NetGroup_2[Jemena],Calc_TUV_NetGroup_2[[Customer type]:[Customer type]],$F174,Calc_TUV_NetGroup_2[[Cost item]:[Cost item]],$C174&amp;" - usage"))/
IF($C174&lt;&gt;"Controlled load",$E$154,$E$164)=J158,
0,1),"-")</f>
        <v>0</v>
      </c>
      <c r="K174" s="94">
        <f>IFERROR(
IF(
(SUMIFS(Calc_TUV_NetGroup_2[Powercor],Calc_TUV_NetGroup_2[[Customer type]:[Customer type]],$F174,Calc_TUV_NetGroup_2[[Cost item]:[Cost item]],$C174&amp;" - supply")+
SUMIFS(Calc_TUV_NetGroup_2[Powercor],Calc_TUV_NetGroup_2[[Customer type]:[Customer type]],$F174,Calc_TUV_NetGroup_2[[Cost item]:[Cost item]],$C174&amp;" - usage"))/
IF($C174&lt;&gt;"Controlled load",$E$154,$E$164)=K158,
0,1),"-")</f>
        <v>0</v>
      </c>
      <c r="L174" s="94">
        <f>IFERROR(
IF(
(SUMIFS(Calc_TUV_NetGroup_2[United Energy],Calc_TUV_NetGroup_2[[Customer type]:[Customer type]],$F174,Calc_TUV_NetGroup_2[[Cost item]:[Cost item]],$C174&amp;" - supply")+
SUMIFS(Calc_TUV_NetGroup_2[United Energy],Calc_TUV_NetGroup_2[[Customer type]:[Customer type]],$F174,Calc_TUV_NetGroup_2[[Cost item]:[Cost item]],$C174&amp;" - usage"))/
IF($C174&lt;&gt;"Controlled load",$E$154,$E$164)=L158,
0,1),"-")</f>
        <v>0</v>
      </c>
    </row>
    <row r="175" spans="2:12" ht="15.75" outlineLevel="1" x14ac:dyDescent="0.25">
      <c r="B175"/>
      <c r="C175" s="24" t="s">
        <v>515</v>
      </c>
      <c r="D175" s="24" t="s">
        <v>117</v>
      </c>
      <c r="E175" s="149" t="s">
        <v>118</v>
      </c>
      <c r="F175" s="24" t="s">
        <v>101</v>
      </c>
      <c r="G175" s="60" t="s">
        <v>130</v>
      </c>
      <c r="H175" s="94">
        <f>IFERROR(
IF(
(SUMIFS(Calc_TUV_NetGroup_2[Ausnet],Calc_TUV_NetGroup_2[[Customer type]:[Customer type]],$F175,Calc_TUV_NetGroup_2[[Cost item]:[Cost item]],$C175&amp;" - supply")+
SUMIFS(Calc_TUV_NetGroup_2[Ausnet],Calc_TUV_NetGroup_2[[Customer type]:[Customer type]],$F175,Calc_TUV_NetGroup_2[[Cost item]:[Cost item]],$C175&amp;" - usage"))/
IF($C175&lt;&gt;"Controlled load",$E$154,$E$164)=H159,
0,1),"-")</f>
        <v>0</v>
      </c>
      <c r="I175" s="94">
        <f>IFERROR(
IF(
(SUMIFS(Calc_TUV_NetGroup_2[Citipower],Calc_TUV_NetGroup_2[[Customer type]:[Customer type]],$F175,Calc_TUV_NetGroup_2[[Cost item]:[Cost item]],$C175&amp;" - supply")+
SUMIFS(Calc_TUV_NetGroup_2[Citipower],Calc_TUV_NetGroup_2[[Customer type]:[Customer type]],$F175,Calc_TUV_NetGroup_2[[Cost item]:[Cost item]],$C175&amp;" - usage"))/
IF($C175&lt;&gt;"Controlled load",$E$154,$E$164)=I159,
0,1),"-")</f>
        <v>0</v>
      </c>
      <c r="J175" s="94">
        <f>IFERROR(
IF(
(SUMIFS(Calc_TUV_NetGroup_2[Jemena],Calc_TUV_NetGroup_2[[Customer type]:[Customer type]],$F175,Calc_TUV_NetGroup_2[[Cost item]:[Cost item]],$C175&amp;" - supply")+
SUMIFS(Calc_TUV_NetGroup_2[Jemena],Calc_TUV_NetGroup_2[[Customer type]:[Customer type]],$F175,Calc_TUV_NetGroup_2[[Cost item]:[Cost item]],$C175&amp;" - usage"))/
IF($C175&lt;&gt;"Controlled load",$E$154,$E$164)=J159,
0,1),"-")</f>
        <v>0</v>
      </c>
      <c r="K175" s="94">
        <f>IFERROR(
IF(
(SUMIFS(Calc_TUV_NetGroup_2[Powercor],Calc_TUV_NetGroup_2[[Customer type]:[Customer type]],$F175,Calc_TUV_NetGroup_2[[Cost item]:[Cost item]],$C175&amp;" - supply")+
SUMIFS(Calc_TUV_NetGroup_2[Powercor],Calc_TUV_NetGroup_2[[Customer type]:[Customer type]],$F175,Calc_TUV_NetGroup_2[[Cost item]:[Cost item]],$C175&amp;" - usage"))/
IF($C175&lt;&gt;"Controlled load",$E$154,$E$164)=K159,
0,1),"-")</f>
        <v>0</v>
      </c>
      <c r="L175" s="94">
        <f>IFERROR(
IF(
(SUMIFS(Calc_TUV_NetGroup_2[United Energy],Calc_TUV_NetGroup_2[[Customer type]:[Customer type]],$F175,Calc_TUV_NetGroup_2[[Cost item]:[Cost item]],$C175&amp;" - supply")+
SUMIFS(Calc_TUV_NetGroup_2[United Energy],Calc_TUV_NetGroup_2[[Customer type]:[Customer type]],$F175,Calc_TUV_NetGroup_2[[Cost item]:[Cost item]],$C175&amp;" - usage"))/
IF($C175&lt;&gt;"Controlled load",$E$154,$E$164)=L159,
0,1),"-")</f>
        <v>0</v>
      </c>
    </row>
    <row r="176" spans="2:12" ht="15.75" outlineLevel="1" x14ac:dyDescent="0.25">
      <c r="B176"/>
      <c r="C176" s="24" t="s">
        <v>516</v>
      </c>
      <c r="D176" s="24" t="s">
        <v>117</v>
      </c>
      <c r="E176" s="149" t="s">
        <v>118</v>
      </c>
      <c r="F176" s="24" t="s">
        <v>100</v>
      </c>
      <c r="G176" s="60" t="s">
        <v>130</v>
      </c>
      <c r="H176" s="94">
        <f>IFERROR(
IF(
(SUMIFS(Calc_TUV_NetGroup_2[Ausnet],Calc_TUV_NetGroup_2[[Customer type]:[Customer type]],$F176,Calc_TUV_NetGroup_2[[Cost item]:[Cost item]],$C176&amp;" - supply")+
SUMIFS(Calc_TUV_NetGroup_2[Ausnet],Calc_TUV_NetGroup_2[[Customer type]:[Customer type]],$F176,Calc_TUV_NetGroup_2[[Cost item]:[Cost item]],$C176&amp;" - usage"))/
IF($C176&lt;&gt;"Controlled load",$E$154,$E$164)=H160,
0,1),"-")</f>
        <v>0</v>
      </c>
      <c r="I176" s="94">
        <f>IFERROR(
IF(
(SUMIFS(Calc_TUV_NetGroup_2[Citipower],Calc_TUV_NetGroup_2[[Customer type]:[Customer type]],$F176,Calc_TUV_NetGroup_2[[Cost item]:[Cost item]],$C176&amp;" - supply")+
SUMIFS(Calc_TUV_NetGroup_2[Citipower],Calc_TUV_NetGroup_2[[Customer type]:[Customer type]],$F176,Calc_TUV_NetGroup_2[[Cost item]:[Cost item]],$C176&amp;" - usage"))/
IF($C176&lt;&gt;"Controlled load",$E$154,$E$164)=I160,
0,1),"-")</f>
        <v>0</v>
      </c>
      <c r="J176" s="94">
        <f>IFERROR(
IF(
(SUMIFS(Calc_TUV_NetGroup_2[Jemena],Calc_TUV_NetGroup_2[[Customer type]:[Customer type]],$F176,Calc_TUV_NetGroup_2[[Cost item]:[Cost item]],$C176&amp;" - supply")+
SUMIFS(Calc_TUV_NetGroup_2[Jemena],Calc_TUV_NetGroup_2[[Customer type]:[Customer type]],$F176,Calc_TUV_NetGroup_2[[Cost item]:[Cost item]],$C176&amp;" - usage"))/
IF($C176&lt;&gt;"Controlled load",$E$154,$E$164)=J160,
0,1),"-")</f>
        <v>0</v>
      </c>
      <c r="K176" s="94">
        <f>IFERROR(
IF(
(SUMIFS(Calc_TUV_NetGroup_2[Powercor],Calc_TUV_NetGroup_2[[Customer type]:[Customer type]],$F176,Calc_TUV_NetGroup_2[[Cost item]:[Cost item]],$C176&amp;" - supply")+
SUMIFS(Calc_TUV_NetGroup_2[Powercor],Calc_TUV_NetGroup_2[[Customer type]:[Customer type]],$F176,Calc_TUV_NetGroup_2[[Cost item]:[Cost item]],$C176&amp;" - usage"))/
IF($C176&lt;&gt;"Controlled load",$E$154,$E$164)=K160,
0,1),"-")</f>
        <v>0</v>
      </c>
      <c r="L176" s="94">
        <f>IFERROR(
IF(
(SUMIFS(Calc_TUV_NetGroup_2[United Energy],Calc_TUV_NetGroup_2[[Customer type]:[Customer type]],$F176,Calc_TUV_NetGroup_2[[Cost item]:[Cost item]],$C176&amp;" - supply")+
SUMIFS(Calc_TUV_NetGroup_2[United Energy],Calc_TUV_NetGroup_2[[Customer type]:[Customer type]],$F176,Calc_TUV_NetGroup_2[[Cost item]:[Cost item]],$C176&amp;" - usage"))/
IF($C176&lt;&gt;"Controlled load",$E$154,$E$164)=L160,
0,1),"-")</f>
        <v>0</v>
      </c>
    </row>
    <row r="177" spans="2:12" ht="15.75" outlineLevel="1" x14ac:dyDescent="0.25">
      <c r="B177"/>
      <c r="C177" s="24" t="s">
        <v>516</v>
      </c>
      <c r="D177" s="24" t="s">
        <v>117</v>
      </c>
      <c r="E177" s="149" t="s">
        <v>118</v>
      </c>
      <c r="F177" s="24" t="s">
        <v>101</v>
      </c>
      <c r="G177" s="60" t="s">
        <v>130</v>
      </c>
      <c r="H177" s="94">
        <f>IFERROR(
IF(
(SUMIFS(Calc_TUV_NetGroup_2[Ausnet],Calc_TUV_NetGroup_2[[Customer type]:[Customer type]],$F177,Calc_TUV_NetGroup_2[[Cost item]:[Cost item]],$C177&amp;" - supply")+
SUMIFS(Calc_TUV_NetGroup_2[Ausnet],Calc_TUV_NetGroup_2[[Customer type]:[Customer type]],$F177,Calc_TUV_NetGroup_2[[Cost item]:[Cost item]],$C177&amp;" - usage"))/
IF($C177&lt;&gt;"Controlled load",$E$154,$E$164)=H161,
0,1),"-")</f>
        <v>0</v>
      </c>
      <c r="I177" s="94">
        <f>IFERROR(
IF(
(SUMIFS(Calc_TUV_NetGroup_2[Citipower],Calc_TUV_NetGroup_2[[Customer type]:[Customer type]],$F177,Calc_TUV_NetGroup_2[[Cost item]:[Cost item]],$C177&amp;" - supply")+
SUMIFS(Calc_TUV_NetGroup_2[Citipower],Calc_TUV_NetGroup_2[[Customer type]:[Customer type]],$F177,Calc_TUV_NetGroup_2[[Cost item]:[Cost item]],$C177&amp;" - usage"))/
IF($C177&lt;&gt;"Controlled load",$E$154,$E$164)=I161,
0,1),"-")</f>
        <v>0</v>
      </c>
      <c r="J177" s="94">
        <f>IFERROR(
IF(
(SUMIFS(Calc_TUV_NetGroup_2[Jemena],Calc_TUV_NetGroup_2[[Customer type]:[Customer type]],$F177,Calc_TUV_NetGroup_2[[Cost item]:[Cost item]],$C177&amp;" - supply")+
SUMIFS(Calc_TUV_NetGroup_2[Jemena],Calc_TUV_NetGroup_2[[Customer type]:[Customer type]],$F177,Calc_TUV_NetGroup_2[[Cost item]:[Cost item]],$C177&amp;" - usage"))/
IF($C177&lt;&gt;"Controlled load",$E$154,$E$164)=J161,
0,1),"-")</f>
        <v>0</v>
      </c>
      <c r="K177" s="94">
        <f>IFERROR(
IF(
(SUMIFS(Calc_TUV_NetGroup_2[Powercor],Calc_TUV_NetGroup_2[[Customer type]:[Customer type]],$F177,Calc_TUV_NetGroup_2[[Cost item]:[Cost item]],$C177&amp;" - supply")+
SUMIFS(Calc_TUV_NetGroup_2[Powercor],Calc_TUV_NetGroup_2[[Customer type]:[Customer type]],$F177,Calc_TUV_NetGroup_2[[Cost item]:[Cost item]],$C177&amp;" - usage"))/
IF($C177&lt;&gt;"Controlled load",$E$154,$E$164)=K161,
0,1),"-")</f>
        <v>0</v>
      </c>
      <c r="L177" s="94">
        <f>IFERROR(
IF(
(SUMIFS(Calc_TUV_NetGroup_2[United Energy],Calc_TUV_NetGroup_2[[Customer type]:[Customer type]],$F177,Calc_TUV_NetGroup_2[[Cost item]:[Cost item]],$C177&amp;" - supply")+
SUMIFS(Calc_TUV_NetGroup_2[United Energy],Calc_TUV_NetGroup_2[[Customer type]:[Customer type]],$F177,Calc_TUV_NetGroup_2[[Cost item]:[Cost item]],$C177&amp;" - usage"))/
IF($C177&lt;&gt;"Controlled load",$E$154,$E$164)=L161,
0,1),"-")</f>
        <v>0</v>
      </c>
    </row>
    <row r="178" spans="2:12" ht="15.75" outlineLevel="1" x14ac:dyDescent="0.25">
      <c r="B178"/>
      <c r="C178" s="24" t="s">
        <v>296</v>
      </c>
      <c r="D178" s="24" t="s">
        <v>139</v>
      </c>
      <c r="E178" s="149" t="s">
        <v>118</v>
      </c>
      <c r="F178" s="24" t="s">
        <v>100</v>
      </c>
      <c r="G178" s="60" t="s">
        <v>130</v>
      </c>
      <c r="H178" s="94">
        <f>IFERROR(
IF(
(SUMIFS(Calc_TUV_NetGroup_2[Ausnet],Calc_TUV_NetGroup_2[[Customer type]:[Customer type]],$F178,Calc_TUV_NetGroup_2[[Cost item]:[Cost item]],$C178&amp;" - supply")+
SUMIFS(Calc_TUV_NetGroup_2[Ausnet],Calc_TUV_NetGroup_2[[Customer type]:[Customer type]],$F178,Calc_TUV_NetGroup_2[[Cost item]:[Cost item]],$C178&amp;" - usage"))/
IF($C178&lt;&gt;"Controlled load",$E$154,$E$166)=H170,
0,1),"-")</f>
        <v>0</v>
      </c>
      <c r="I178" s="94">
        <f>IFERROR(
IF(
(SUMIFS(Calc_TUV_NetGroup_2[Citipower],Calc_TUV_NetGroup_2[[Customer type]:[Customer type]],$F178,Calc_TUV_NetGroup_2[[Cost item]:[Cost item]],$C178&amp;" - supply")+
SUMIFS(Calc_TUV_NetGroup_2[Citipower],Calc_TUV_NetGroup_2[[Customer type]:[Customer type]],$F178,Calc_TUV_NetGroup_2[[Cost item]:[Cost item]],$C178&amp;" - usage"))/
IF($C178&lt;&gt;"Controlled load",$E$154,$E$166)=I170,
0,1),"-")</f>
        <v>0</v>
      </c>
      <c r="J178" s="94">
        <f>IFERROR(
IF(
(SUMIFS(Calc_TUV_NetGroup_2[Jemena],Calc_TUV_NetGroup_2[[Customer type]:[Customer type]],$F178,Calc_TUV_NetGroup_2[[Cost item]:[Cost item]],$C178&amp;" - supply")+
SUMIFS(Calc_TUV_NetGroup_2[Jemena],Calc_TUV_NetGroup_2[[Customer type]:[Customer type]],$F178,Calc_TUV_NetGroup_2[[Cost item]:[Cost item]],$C178&amp;" - usage"))/
IF($C178&lt;&gt;"Controlled load",$E$154,$E$166)=J170,
0,1),"-")</f>
        <v>0</v>
      </c>
      <c r="K178" s="94">
        <f>IFERROR(
IF(
(SUMIFS(Calc_TUV_NetGroup_2[Powercor],Calc_TUV_NetGroup_2[[Customer type]:[Customer type]],$F178,Calc_TUV_NetGroup_2[[Cost item]:[Cost item]],$C178&amp;" - supply")+
SUMIFS(Calc_TUV_NetGroup_2[Powercor],Calc_TUV_NetGroup_2[[Customer type]:[Customer type]],$F178,Calc_TUV_NetGroup_2[[Cost item]:[Cost item]],$C178&amp;" - usage"))/
IF($C178&lt;&gt;"Controlled load",$E$154,$E$166)=K170,
0,1),"-")</f>
        <v>0</v>
      </c>
      <c r="L178" s="94">
        <f>IFERROR(
IF(
(SUMIFS(Calc_TUV_NetGroup_2[United Energy],Calc_TUV_NetGroup_2[[Customer type]:[Customer type]],$F178,Calc_TUV_NetGroup_2[[Cost item]:[Cost item]],$C178&amp;" - supply")+
SUMIFS(Calc_TUV_NetGroup_2[United Energy],Calc_TUV_NetGroup_2[[Customer type]:[Customer type]],$F178,Calc_TUV_NetGroup_2[[Cost item]:[Cost item]],$C178&amp;" - usage"))/
IF($C178&lt;&gt;"Controlled load",$E$154,$E$166)=L170,
0,1),"-")</f>
        <v>0</v>
      </c>
    </row>
    <row r="179" spans="2:12" x14ac:dyDescent="0.25">
      <c r="B179"/>
    </row>
    <row r="180" spans="2:12" ht="16.5" thickBot="1" x14ac:dyDescent="0.3">
      <c r="B180" s="9">
        <f ca="1">MAX(B$3:B179)+0.1</f>
        <v>14.399999999999999</v>
      </c>
      <c r="C180" s="29" t="s">
        <v>530</v>
      </c>
      <c r="D180" s="29"/>
      <c r="E180" s="29"/>
      <c r="F180" s="29"/>
      <c r="G180" s="29"/>
      <c r="H180" s="29"/>
      <c r="I180" s="29"/>
      <c r="J180" s="29"/>
      <c r="K180" s="29"/>
      <c r="L180" s="29"/>
    </row>
    <row r="181" spans="2:12" outlineLevel="1" x14ac:dyDescent="0.25"/>
    <row r="182" spans="2:12" ht="15.75" outlineLevel="1" x14ac:dyDescent="0.25">
      <c r="C182" s="30" t="s">
        <v>537</v>
      </c>
    </row>
    <row r="183" spans="2:12" ht="15.75" outlineLevel="1" x14ac:dyDescent="0.25">
      <c r="C183" s="44" t="s">
        <v>54</v>
      </c>
      <c r="D183" s="44" t="s">
        <v>110</v>
      </c>
      <c r="E183" s="44" t="s">
        <v>111</v>
      </c>
      <c r="F183" s="44" t="s">
        <v>99</v>
      </c>
      <c r="G183" s="44" t="s">
        <v>53</v>
      </c>
      <c r="H183" s="61" t="s">
        <v>277</v>
      </c>
      <c r="I183" s="61" t="s">
        <v>278</v>
      </c>
      <c r="J183" s="61" t="s">
        <v>279</v>
      </c>
      <c r="K183" s="61" t="s">
        <v>280</v>
      </c>
      <c r="L183" s="61" t="s">
        <v>281</v>
      </c>
    </row>
    <row r="184" spans="2:12" outlineLevel="1" x14ac:dyDescent="0.25">
      <c r="C184" s="60" t="str">
        <f>IF(COUNTIFS(Calc_TUV_Env_2[Pass through (Yes/No)],"Yes",Calc_TUV_Env_2[Cost item],"Large-scale renewable energy target (LRET)")=1,"LRET True Up","-")</f>
        <v>LRET True Up</v>
      </c>
      <c r="D184" s="60" t="s">
        <v>139</v>
      </c>
      <c r="E184" s="60" t="s">
        <v>291</v>
      </c>
      <c r="F184" s="60" t="s">
        <v>119</v>
      </c>
      <c r="G184" s="60" t="s">
        <v>160</v>
      </c>
      <c r="H184" s="162" cm="1">
        <f t="array" ref="H184">IFERROR(SUMIFS(INDEX(Calc_TUV_Env_2[[Ausnet]:[United Energy]],0,MATCH(Calc_TUV_ENVGroup_2[[#Headers],[Ausnet]],Calc_TUV_Env_2[[#Headers],[Ausnet]:[United Energy]],0)),
Calc_TUV_Env_2[Cost item],Calc_TUV_ENVGroup_2[[#This Row],[Cost item]],
Calc_TUV_Env_2[Customer type],Calc_TUV_ENVGroup_2[[#This Row],[Customer type]]),"-")</f>
        <v>-1.290381301027009E-4</v>
      </c>
      <c r="I184" s="162">
        <f>IFERROR(SUMIFS(INDEX(Calc_TUV_Env_2[[Ausnet]:[United Energy]],0,MATCH(Calc_TUV_ENVGroup_2[[#Headers],[Citipower]],Calc_TUV_Env_2[[#Headers],[Ausnet]:[United Energy]],0)),
Calc_TUV_Env_2[Cost item],Calc_TUV_ENVGroup_2[[#This Row],[Cost item]],
Calc_TUV_Env_2[Customer type],Calc_TUV_ENVGroup_2[[#This Row],[Customer type]]),"-")</f>
        <v>-1.2680771952718899E-4</v>
      </c>
      <c r="J184" s="162" cm="1">
        <f t="array" ref="J184">IFERROR(SUMIFS(INDEX(Calc_TUV_Env_2[[Ausnet]:[United Energy]],0,MATCH(Calc_TUV_ENVGroup_2[[#Headers],[Jemena]],Calc_TUV_Env_2[[#Headers],[Ausnet]:[United Energy]],0)),
Calc_TUV_Env_2[Cost item],Calc_TUV_ENVGroup_2[[#This Row],[Cost item]],
Calc_TUV_Env_2[Customer type],Calc_TUV_ENVGroup_2[[#This Row],[Customer type]]),"-")</f>
        <v>-1.2548304982466096E-4</v>
      </c>
      <c r="K184" s="162" cm="1">
        <f t="array" ref="K184">IFERROR(SUMIFS(INDEX(Calc_TUV_Env_2[[Ausnet]:[United Energy]],0,MATCH(Calc_TUV_ENVGroup_2[[#Headers],[Powercor]],Calc_TUV_Env_2[[#Headers],[Ausnet]:[United Energy]],0)),
Calc_TUV_Env_2[Cost item],Calc_TUV_ENVGroup_2[[#This Row],[Cost item]],
Calc_TUV_Env_2[Customer type],Calc_TUV_ENVGroup_2[[#This Row],[Customer type]]),"-")</f>
        <v>-1.2952664283442074E-4</v>
      </c>
      <c r="L184" s="162" cm="1">
        <f t="array" ref="L184">IFERROR(SUMIFS(INDEX(Calc_TUV_Env_2[[Ausnet]:[United Energy]],0,MATCH(Calc_TUV_ENVGroup_2[[#Headers],[United Energy]],Calc_TUV_Env_2[[#Headers],[Ausnet]:[United Energy]],0)),
Calc_TUV_Env_2[Cost item],Calc_TUV_ENVGroup_2[[#This Row],[Cost item]],
Calc_TUV_Env_2[Customer type],Calc_TUV_ENVGroup_2[[#This Row],[Customer type]]),"-")</f>
        <v>-1.2727026118886396E-4</v>
      </c>
    </row>
    <row r="185" spans="2:12" outlineLevel="1" x14ac:dyDescent="0.25">
      <c r="C185" s="60" t="str">
        <f>IF(COUNTIFS(Calc_TUV_Env_2[Pass through (Yes/No)],"Yes",Calc_TUV_Env_2[Cost item],"Small-scale renewable energy scheme (SRES)")=1,"SRES True Up","-")</f>
        <v>SRES True Up</v>
      </c>
      <c r="D185" s="60" t="s">
        <v>139</v>
      </c>
      <c r="E185" s="60" t="s">
        <v>291</v>
      </c>
      <c r="F185" s="60" t="s">
        <v>119</v>
      </c>
      <c r="G185" s="60" t="s">
        <v>160</v>
      </c>
      <c r="H185" s="162" cm="1">
        <f t="array" ref="H185">IFERROR(SUMIFS(INDEX(Calc_TUV_Env_2[[Ausnet]:[United Energy]],0,MATCH(Calc_TUV_ENVGroup_2[[#Headers],[Ausnet]],Calc_TUV_Env_2[[#Headers],[Ausnet]:[United Energy]],0)),
Calc_TUV_Env_2[Cost item],Calc_TUV_ENVGroup_2[[#This Row],[Cost item]],
Calc_TUV_Env_2[Customer type],Calc_TUV_ENVGroup_2[[#This Row],[Customer type]]),"-")</f>
        <v>3.4352084792230904E-3</v>
      </c>
      <c r="I185" s="162" cm="1">
        <f t="array" ref="I185">IFERROR(SUMIFS(INDEX(Calc_TUV_Env_2[[Ausnet]:[United Energy]],0,MATCH(Calc_TUV_ENVGroup_2[[#Headers],[Citipower]],Calc_TUV_Env_2[[#Headers],[Ausnet]:[United Energy]],0)),
Calc_TUV_Env_2[Cost item],Calc_TUV_ENVGroup_2[[#This Row],[Cost item]],
Calc_TUV_Env_2[Customer type],Calc_TUV_ENVGroup_2[[#This Row],[Customer type]]),"-")</f>
        <v>3.3758312601402558E-3</v>
      </c>
      <c r="J185" s="162" cm="1">
        <f t="array" ref="J185">IFERROR(SUMIFS(INDEX(Calc_TUV_Env_2[[Ausnet]:[United Energy]],0,MATCH(Calc_TUV_ENVGroup_2[[#Headers],[Jemena]],Calc_TUV_Env_2[[#Headers],[Ausnet]:[United Energy]],0)),
Calc_TUV_Env_2[Cost item],Calc_TUV_ENVGroup_2[[#This Row],[Cost item]],
Calc_TUV_Env_2[Customer type],Calc_TUV_ENVGroup_2[[#This Row],[Customer type]]),"-")</f>
        <v>3.3405663613799248E-3</v>
      </c>
      <c r="K185" s="162" cm="1">
        <f t="array" ref="K185">IFERROR(SUMIFS(INDEX(Calc_TUV_Env_2[[Ausnet]:[United Energy]],0,MATCH(Calc_TUV_ENVGroup_2[[#Headers],[Powercor]],Calc_TUV_Env_2[[#Headers],[Ausnet]:[United Energy]],0)),
Calc_TUV_Env_2[Cost item],Calc_TUV_ENVGroup_2[[#This Row],[Cost item]],
Calc_TUV_Env_2[Customer type],Calc_TUV_ENVGroup_2[[#This Row],[Customer type]]),"-")</f>
        <v>3.448213496243073E-3</v>
      </c>
      <c r="L185" s="162" cm="1">
        <f t="array" ref="L185">IFERROR(SUMIFS(INDEX(Calc_TUV_Env_2[[Ausnet]:[United Energy]],0,MATCH(Calc_TUV_ENVGroup_2[[#Headers],[United Energy]],Calc_TUV_Env_2[[#Headers],[Ausnet]:[United Energy]],0)),
Calc_TUV_Env_2[Cost item],Calc_TUV_ENVGroup_2[[#This Row],[Cost item]],
Calc_TUV_Env_2[Customer type],Calc_TUV_ENVGroup_2[[#This Row],[Customer type]]),"-")</f>
        <v>3.3881448843140964E-3</v>
      </c>
    </row>
    <row r="186" spans="2:12" outlineLevel="1" x14ac:dyDescent="0.25">
      <c r="C186" s="60" t="str">
        <f>IF(COUNTIFS(Calc_TUV_Env_2[Pass through (Yes/No)],"Yes",Calc_TUV_Env_2[Cost item],"Victorian energy upgrades (VEU)")=1,"VEU True Up","-")</f>
        <v>-</v>
      </c>
      <c r="D186" s="60" t="s">
        <v>139</v>
      </c>
      <c r="E186" s="60" t="s">
        <v>291</v>
      </c>
      <c r="F186" s="60" t="s">
        <v>119</v>
      </c>
      <c r="G186" s="60" t="s">
        <v>160</v>
      </c>
      <c r="H186" s="162" cm="1">
        <f t="array" ref="H186">IFERROR(SUMIFS(INDEX(Calc_TUV_Env_2[[Ausnet]:[United Energy]],0,MATCH(Calc_TUV_ENVGroup_2[[#Headers],[Ausnet]],Calc_TUV_Env_2[[#Headers],[Ausnet]:[United Energy]],0)),
Calc_TUV_Env_2[Cost item],Calc_TUV_ENVGroup_2[[#This Row],[Cost item]],
Calc_TUV_Env_2[Customer type],Calc_TUV_ENVGroup_2[[#This Row],[Customer type]]),"-")</f>
        <v>0</v>
      </c>
      <c r="I186" s="162" cm="1">
        <f t="array" ref="I186">IFERROR(SUMIFS(INDEX(Calc_TUV_Env_2[[Ausnet]:[United Energy]],0,MATCH(Calc_TUV_ENVGroup_2[[#Headers],[Citipower]],Calc_TUV_Env_2[[#Headers],[Ausnet]:[United Energy]],0)),
Calc_TUV_Env_2[Cost item],Calc_TUV_ENVGroup_2[[#This Row],[Cost item]],
Calc_TUV_Env_2[Customer type],Calc_TUV_ENVGroup_2[[#This Row],[Customer type]]),"-")</f>
        <v>0</v>
      </c>
      <c r="J186" s="162" cm="1">
        <f t="array" ref="J186">IFERROR(SUMIFS(INDEX(Calc_TUV_Env_2[[Ausnet]:[United Energy]],0,MATCH(Calc_TUV_ENVGroup_2[[#Headers],[Jemena]],Calc_TUV_Env_2[[#Headers],[Ausnet]:[United Energy]],0)),
Calc_TUV_Env_2[Cost item],Calc_TUV_ENVGroup_2[[#This Row],[Cost item]],
Calc_TUV_Env_2[Customer type],Calc_TUV_ENVGroup_2[[#This Row],[Customer type]]),"-")</f>
        <v>0</v>
      </c>
      <c r="K186" s="162" cm="1">
        <f t="array" ref="K186">IFERROR(SUMIFS(INDEX(Calc_TUV_Env_2[[Ausnet]:[United Energy]],0,MATCH(Calc_TUV_ENVGroup_2[[#Headers],[Powercor]],Calc_TUV_Env_2[[#Headers],[Ausnet]:[United Energy]],0)),
Calc_TUV_Env_2[Cost item],Calc_TUV_ENVGroup_2[[#This Row],[Cost item]],
Calc_TUV_Env_2[Customer type],Calc_TUV_ENVGroup_2[[#This Row],[Customer type]]),"-")</f>
        <v>0</v>
      </c>
      <c r="L186" s="162" cm="1">
        <f t="array" ref="L186">IFERROR(SUMIFS(INDEX(Calc_TUV_Env_2[[Ausnet]:[United Energy]],0,MATCH(Calc_TUV_ENVGroup_2[[#Headers],[United Energy]],Calc_TUV_Env_2[[#Headers],[Ausnet]:[United Energy]],0)),
Calc_TUV_Env_2[Cost item],Calc_TUV_ENVGroup_2[[#This Row],[Cost item]],
Calc_TUV_Env_2[Customer type],Calc_TUV_ENVGroup_2[[#This Row],[Customer type]]),"-")</f>
        <v>0</v>
      </c>
    </row>
    <row r="187" spans="2:12" outlineLevel="1" x14ac:dyDescent="0.25"/>
    <row r="188" spans="2:12" ht="15.75" outlineLevel="1" x14ac:dyDescent="0.25">
      <c r="C188" s="55" t="s">
        <v>658</v>
      </c>
      <c r="D188" t="s">
        <v>525</v>
      </c>
      <c r="E188" s="83" t="str">
        <f>INDEX(Input_DecisionActual[Decision],MATCH(Calc_TU_rates!E189,Input_DecisionActual[Actual],0),1)</f>
        <v>VDO 2021 - Final</v>
      </c>
      <c r="F188" s="77">
        <f>INDEX(Input_TU_Periods[[F-CurrentVDO_Input]:[F-NextVDO_Input]],1,MATCH(Calc_TU_rates!E188,Inputs!$F$237:$J$237,0))</f>
        <v>365</v>
      </c>
      <c r="H188" s="284"/>
      <c r="I188" s="284"/>
      <c r="J188" s="284"/>
      <c r="K188" s="284"/>
      <c r="L188" s="284"/>
    </row>
    <row r="189" spans="2:12" ht="15.75" outlineLevel="1" x14ac:dyDescent="0.25">
      <c r="C189" s="55" t="s">
        <v>658</v>
      </c>
      <c r="D189" t="s">
        <v>524</v>
      </c>
      <c r="E189" s="83" t="str">
        <f>D135</f>
        <v>VDO 2022 - Final</v>
      </c>
      <c r="F189" s="77">
        <f>INDEX(Input_TU_Periods[[F-CurrentVDO_Input]:[F-NextVDO_Input]],1,MATCH(Calc_TU_rates!E189,Inputs!$F$237:$J$237,0))</f>
        <v>181</v>
      </c>
      <c r="H189" s="284"/>
      <c r="I189" s="284"/>
      <c r="J189" s="284"/>
      <c r="K189" s="284"/>
      <c r="L189" s="284"/>
    </row>
    <row r="190" spans="2:12" ht="15.75" outlineLevel="1" x14ac:dyDescent="0.25">
      <c r="C190" s="55" t="s">
        <v>657</v>
      </c>
      <c r="F190" s="241">
        <f>F188/F189</f>
        <v>2.0165745856353592</v>
      </c>
    </row>
    <row r="191" spans="2:12" outlineLevel="1" x14ac:dyDescent="0.25"/>
    <row r="192" spans="2:12" ht="15.75" outlineLevel="1" x14ac:dyDescent="0.25">
      <c r="C192" s="30" t="s">
        <v>534</v>
      </c>
    </row>
    <row r="193" spans="3:12" ht="15.75" outlineLevel="1" x14ac:dyDescent="0.25">
      <c r="C193" s="44" t="s">
        <v>479</v>
      </c>
      <c r="D193" s="44" t="s">
        <v>322</v>
      </c>
      <c r="E193" s="44" t="s">
        <v>111</v>
      </c>
      <c r="F193" s="44" t="s">
        <v>99</v>
      </c>
      <c r="G193" s="44" t="s">
        <v>53</v>
      </c>
      <c r="H193" s="61" t="s">
        <v>277</v>
      </c>
      <c r="I193" s="61" t="s">
        <v>278</v>
      </c>
      <c r="J193" s="61" t="s">
        <v>279</v>
      </c>
      <c r="K193" s="61" t="s">
        <v>280</v>
      </c>
      <c r="L193" s="61" t="s">
        <v>281</v>
      </c>
    </row>
    <row r="194" spans="3:12" outlineLevel="1" x14ac:dyDescent="0.25">
      <c r="C194" s="60" t="s">
        <v>508</v>
      </c>
      <c r="D194" s="60" t="s">
        <v>531</v>
      </c>
      <c r="E194" s="60" t="s">
        <v>291</v>
      </c>
      <c r="F194" s="60" t="s">
        <v>100</v>
      </c>
      <c r="G194" s="60" t="s">
        <v>160</v>
      </c>
      <c r="H194" s="164" t="str" cm="1">
        <f t="array" ref="H194">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v>
      </c>
      <c r="I194" s="164" cm="1">
        <f t="array" ref="I194">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-2.55717224460906E-4</v>
      </c>
      <c r="J194" s="164" cm="1">
        <f t="array" ref="J194">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-2.5304592920442681E-4</v>
      </c>
      <c r="K194" s="164" cm="1">
        <f t="array" ref="K194">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-2.6120013610256114E-4</v>
      </c>
      <c r="L194" s="164" cm="1">
        <f t="array" ref="L194">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-2.5664997422063728E-4</v>
      </c>
    </row>
    <row r="195" spans="3:12" outlineLevel="1" x14ac:dyDescent="0.25">
      <c r="C195" s="60" t="s">
        <v>508</v>
      </c>
      <c r="D195" s="60" t="s">
        <v>531</v>
      </c>
      <c r="E195" s="60" t="s">
        <v>291</v>
      </c>
      <c r="F195" s="60" t="s">
        <v>101</v>
      </c>
      <c r="G195" s="60" t="s">
        <v>160</v>
      </c>
      <c r="H195" s="164" t="str" cm="1">
        <f t="array" ref="H195">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v>
      </c>
      <c r="I195" s="164" cm="1">
        <f t="array" ref="I195">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-2.55717224460906E-4</v>
      </c>
      <c r="J195" s="164" cm="1">
        <f t="array" ref="J195">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-2.5304592920442681E-4</v>
      </c>
      <c r="K195" s="164" cm="1">
        <f t="array" ref="K195">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-2.6120013610256114E-4</v>
      </c>
      <c r="L195" s="164" cm="1">
        <f t="array" ref="L195">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-2.5664997422063728E-4</v>
      </c>
    </row>
    <row r="196" spans="3:12" outlineLevel="1" x14ac:dyDescent="0.25">
      <c r="C196" s="60" t="s">
        <v>230</v>
      </c>
      <c r="D196" s="60" t="s">
        <v>531</v>
      </c>
      <c r="E196" s="60" t="s">
        <v>291</v>
      </c>
      <c r="F196" s="60" t="s">
        <v>100</v>
      </c>
      <c r="G196" s="60" t="s">
        <v>160</v>
      </c>
      <c r="H196" s="164" cm="1">
        <f t="array" ref="H196">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-2.6021501374301562E-4</v>
      </c>
      <c r="I196" s="164" t="str" cm="1">
        <f t="array" ref="I196">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196" s="164" t="str" cm="1">
        <f t="array" ref="J196">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196" s="164" t="str" cm="1">
        <f t="array" ref="K196">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196" s="164" t="str" cm="1">
        <f t="array" ref="L196">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197" spans="3:12" outlineLevel="1" x14ac:dyDescent="0.25">
      <c r="C197" s="60" t="s">
        <v>230</v>
      </c>
      <c r="D197" s="60" t="s">
        <v>531</v>
      </c>
      <c r="E197" s="60" t="s">
        <v>291</v>
      </c>
      <c r="F197" s="60" t="s">
        <v>101</v>
      </c>
      <c r="G197" s="60" t="s">
        <v>160</v>
      </c>
      <c r="H197" s="164" cm="1">
        <f t="array" ref="H197">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-2.6021501374301562E-4</v>
      </c>
      <c r="I197" s="164" t="str" cm="1">
        <f t="array" ref="I197">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197" s="164" t="str" cm="1">
        <f t="array" ref="J197">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197" s="164" t="str" cm="1">
        <f t="array" ref="K197">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197" s="164" t="str" cm="1">
        <f t="array" ref="L197">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198" spans="3:12" outlineLevel="1" x14ac:dyDescent="0.25">
      <c r="C198" s="60" t="s">
        <v>237</v>
      </c>
      <c r="D198" s="60" t="s">
        <v>531</v>
      </c>
      <c r="E198" s="60" t="s">
        <v>291</v>
      </c>
      <c r="F198" s="60" t="s">
        <v>100</v>
      </c>
      <c r="G198" s="60" t="s">
        <v>160</v>
      </c>
      <c r="H198" s="164" cm="1">
        <f t="array" ref="H198">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-2.6021501374301562E-4</v>
      </c>
      <c r="I198" s="164" t="str" cm="1">
        <f t="array" ref="I198">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198" s="164" t="str" cm="1">
        <f t="array" ref="J198">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198" s="164" t="str" cm="1">
        <f t="array" ref="K198">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198" s="164" t="str" cm="1">
        <f t="array" ref="L198">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199" spans="3:12" outlineLevel="1" x14ac:dyDescent="0.25">
      <c r="C199" s="60" t="s">
        <v>237</v>
      </c>
      <c r="D199" s="60" t="s">
        <v>531</v>
      </c>
      <c r="E199" s="60" t="s">
        <v>291</v>
      </c>
      <c r="F199" s="60" t="s">
        <v>101</v>
      </c>
      <c r="G199" s="60" t="s">
        <v>160</v>
      </c>
      <c r="H199" s="164" cm="1">
        <f t="array" ref="H199">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-2.6021501374301562E-4</v>
      </c>
      <c r="I199" s="164" t="str" cm="1">
        <f t="array" ref="I199">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199" s="164" t="str" cm="1">
        <f t="array" ref="J199">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199" s="164" t="str" cm="1">
        <f t="array" ref="K199">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199" s="164" t="str" cm="1">
        <f t="array" ref="L199">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200" spans="3:12" outlineLevel="1" x14ac:dyDescent="0.25">
      <c r="C200" s="60" t="s">
        <v>296</v>
      </c>
      <c r="D200" s="60" t="s">
        <v>531</v>
      </c>
      <c r="E200" s="60" t="s">
        <v>291</v>
      </c>
      <c r="F200" s="60" t="s">
        <v>100</v>
      </c>
      <c r="G200" s="60" t="s">
        <v>160</v>
      </c>
      <c r="H200" s="164" cm="1">
        <f t="array" ref="H200">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-2.6021501374301562E-4</v>
      </c>
      <c r="I200" s="164" cm="1">
        <f t="array" ref="I200">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-2.55717224460906E-4</v>
      </c>
      <c r="J200" s="164" cm="1">
        <f t="array" ref="J200">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-2.5304592920442681E-4</v>
      </c>
      <c r="K200" s="164" cm="1">
        <f t="array" ref="K200">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-2.6120013610256114E-4</v>
      </c>
      <c r="L200" s="164" cm="1">
        <f t="array" ref="L200">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-2.5664997422063728E-4</v>
      </c>
    </row>
    <row r="201" spans="3:12" outlineLevel="1" x14ac:dyDescent="0.25">
      <c r="C201" s="60" t="s">
        <v>239</v>
      </c>
      <c r="D201" s="60" t="s">
        <v>531</v>
      </c>
      <c r="E201" s="60" t="s">
        <v>291</v>
      </c>
      <c r="F201" s="60" t="s">
        <v>100</v>
      </c>
      <c r="G201" s="60" t="s">
        <v>160</v>
      </c>
      <c r="H201" s="164" cm="1">
        <f t="array" ref="H201">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-2.6021501374301562E-4</v>
      </c>
      <c r="I201" s="164" cm="1">
        <f t="array" ref="I201">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-2.55717224460906E-4</v>
      </c>
      <c r="J201" s="164" cm="1">
        <f t="array" ref="J201">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-2.5304592920442681E-4</v>
      </c>
      <c r="K201" s="164" cm="1">
        <f t="array" ref="K201">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-2.6120013610256114E-4</v>
      </c>
      <c r="L201" s="164" cm="1">
        <f t="array" ref="L201">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-2.5664997422063728E-4</v>
      </c>
    </row>
    <row r="202" spans="3:12" outlineLevel="1" x14ac:dyDescent="0.25">
      <c r="C202" s="60" t="s">
        <v>239</v>
      </c>
      <c r="D202" s="60" t="s">
        <v>531</v>
      </c>
      <c r="E202" s="60" t="s">
        <v>291</v>
      </c>
      <c r="F202" s="60" t="s">
        <v>101</v>
      </c>
      <c r="G202" s="60" t="s">
        <v>160</v>
      </c>
      <c r="H202" s="164" cm="1">
        <f t="array" ref="H202">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-2.6021501374301562E-4</v>
      </c>
      <c r="I202" s="164" cm="1">
        <f t="array" ref="I202">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-2.55717224460906E-4</v>
      </c>
      <c r="J202" s="164" cm="1">
        <f t="array" ref="J202">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-2.5304592920442681E-4</v>
      </c>
      <c r="K202" s="164" cm="1">
        <f t="array" ref="K202">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-2.6120013610256114E-4</v>
      </c>
      <c r="L202" s="164" cm="1">
        <f t="array" ref="L202">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-2.5664997422063728E-4</v>
      </c>
    </row>
    <row r="203" spans="3:12" outlineLevel="1" x14ac:dyDescent="0.25">
      <c r="C203" s="60" t="s">
        <v>538</v>
      </c>
      <c r="D203" s="60" t="s">
        <v>531</v>
      </c>
      <c r="E203" s="60" t="s">
        <v>291</v>
      </c>
      <c r="F203" s="60" t="s">
        <v>100</v>
      </c>
      <c r="G203" s="60" t="s">
        <v>160</v>
      </c>
      <c r="H203" s="164" cm="1">
        <f t="array" ref="H203">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-2.6021501374301562E-4</v>
      </c>
      <c r="I203" s="164" cm="1">
        <f t="array" ref="I203">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-2.55717224460906E-4</v>
      </c>
      <c r="J203" s="164" cm="1">
        <f t="array" ref="J203">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-2.5304592920442681E-4</v>
      </c>
      <c r="K203" s="164" cm="1">
        <f t="array" ref="K203">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-2.6120013610256114E-4</v>
      </c>
      <c r="L203" s="164" cm="1">
        <f t="array" ref="L203">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-2.5664997422063728E-4</v>
      </c>
    </row>
    <row r="204" spans="3:12" outlineLevel="1" x14ac:dyDescent="0.25">
      <c r="C204" s="60" t="s">
        <v>538</v>
      </c>
      <c r="D204" s="60" t="s">
        <v>531</v>
      </c>
      <c r="E204" s="60" t="s">
        <v>291</v>
      </c>
      <c r="F204" s="60" t="s">
        <v>101</v>
      </c>
      <c r="G204" s="60" t="s">
        <v>160</v>
      </c>
      <c r="H204" s="164" cm="1">
        <f t="array" ref="H204">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-2.6021501374301562E-4</v>
      </c>
      <c r="I204" s="164" cm="1">
        <f t="array" ref="I204">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-2.55717224460906E-4</v>
      </c>
      <c r="J204" s="164" cm="1">
        <f t="array" ref="J204">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-2.5304592920442681E-4</v>
      </c>
      <c r="K204" s="164" cm="1">
        <f t="array" ref="K204">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-2.6120013610256114E-4</v>
      </c>
      <c r="L204" s="164" cm="1">
        <f t="array" ref="L204">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-2.5664997422063728E-4</v>
      </c>
    </row>
    <row r="205" spans="3:12" outlineLevel="1" x14ac:dyDescent="0.25">
      <c r="C205" s="60" t="s">
        <v>508</v>
      </c>
      <c r="D205" s="60" t="s">
        <v>532</v>
      </c>
      <c r="E205" s="60" t="s">
        <v>291</v>
      </c>
      <c r="F205" s="60" t="s">
        <v>100</v>
      </c>
      <c r="G205" s="60" t="s">
        <v>160</v>
      </c>
      <c r="H205" s="164" t="str" cm="1">
        <f t="array" ref="H205">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v>
      </c>
      <c r="I205" s="164" cm="1">
        <f t="array" ref="I205">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6.8076155245922285E-3</v>
      </c>
      <c r="J205" s="164" cm="1">
        <f t="array" ref="J205">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6.7365012259871411E-3</v>
      </c>
      <c r="K205" s="164" cm="1">
        <f t="array" ref="K205">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6.9535797023686282E-3</v>
      </c>
      <c r="L205" s="164" cm="1">
        <f t="array" ref="L205">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6.8324468661582613E-3</v>
      </c>
    </row>
    <row r="206" spans="3:12" outlineLevel="1" x14ac:dyDescent="0.25">
      <c r="C206" s="60" t="s">
        <v>508</v>
      </c>
      <c r="D206" s="60" t="s">
        <v>532</v>
      </c>
      <c r="E206" s="60" t="s">
        <v>291</v>
      </c>
      <c r="F206" s="60" t="s">
        <v>101</v>
      </c>
      <c r="G206" s="60" t="s">
        <v>160</v>
      </c>
      <c r="H206" s="164" t="str" cm="1">
        <f t="array" ref="H206">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v>
      </c>
      <c r="I206" s="164" cm="1">
        <f t="array" ref="I206">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6.8076155245922285E-3</v>
      </c>
      <c r="J206" s="164" cm="1">
        <f t="array" ref="J206">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6.7365012259871411E-3</v>
      </c>
      <c r="K206" s="164" cm="1">
        <f t="array" ref="K206">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6.9535797023686282E-3</v>
      </c>
      <c r="L206" s="164" cm="1">
        <f t="array" ref="L206">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6.8324468661582613E-3</v>
      </c>
    </row>
    <row r="207" spans="3:12" outlineLevel="1" x14ac:dyDescent="0.25">
      <c r="C207" s="60" t="s">
        <v>230</v>
      </c>
      <c r="D207" s="60" t="s">
        <v>532</v>
      </c>
      <c r="E207" s="60" t="s">
        <v>291</v>
      </c>
      <c r="F207" s="60" t="s">
        <v>100</v>
      </c>
      <c r="G207" s="60" t="s">
        <v>160</v>
      </c>
      <c r="H207" s="164" cm="1">
        <f t="array" ref="H207">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6.9273541155603757E-3</v>
      </c>
      <c r="I207" s="164" t="str" cm="1">
        <f t="array" ref="I207">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207" s="164" t="str" cm="1">
        <f t="array" ref="J207">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207" s="164" t="str" cm="1">
        <f t="array" ref="K207">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207" s="164" t="str" cm="1">
        <f t="array" ref="L207">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208" spans="3:12" outlineLevel="1" x14ac:dyDescent="0.25">
      <c r="C208" s="60" t="s">
        <v>230</v>
      </c>
      <c r="D208" s="60" t="s">
        <v>532</v>
      </c>
      <c r="E208" s="60" t="s">
        <v>291</v>
      </c>
      <c r="F208" s="60" t="s">
        <v>101</v>
      </c>
      <c r="G208" s="60" t="s">
        <v>160</v>
      </c>
      <c r="H208" s="164" cm="1">
        <f t="array" ref="H208">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6.9273541155603757E-3</v>
      </c>
      <c r="I208" s="164" t="str" cm="1">
        <f t="array" ref="I208">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208" s="164" t="str" cm="1">
        <f t="array" ref="J208">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208" s="164" t="str" cm="1">
        <f t="array" ref="K208">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208" s="164" t="str" cm="1">
        <f t="array" ref="L208">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209" spans="3:18" outlineLevel="1" x14ac:dyDescent="0.25">
      <c r="C209" s="60" t="s">
        <v>237</v>
      </c>
      <c r="D209" s="60" t="s">
        <v>532</v>
      </c>
      <c r="E209" s="60" t="s">
        <v>291</v>
      </c>
      <c r="F209" s="60" t="s">
        <v>100</v>
      </c>
      <c r="G209" s="60" t="s">
        <v>160</v>
      </c>
      <c r="H209" s="164" cm="1">
        <f t="array" ref="H209">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6.9273541155603757E-3</v>
      </c>
      <c r="I209" s="164" t="str" cm="1">
        <f t="array" ref="I209">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209" s="164" t="str" cm="1">
        <f t="array" ref="J209">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209" s="164" t="str" cm="1">
        <f t="array" ref="K209">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209" s="164" t="str" cm="1">
        <f t="array" ref="L209">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210" spans="3:18" outlineLevel="1" x14ac:dyDescent="0.25">
      <c r="C210" s="60" t="s">
        <v>237</v>
      </c>
      <c r="D210" s="60" t="s">
        <v>532</v>
      </c>
      <c r="E210" s="60" t="s">
        <v>291</v>
      </c>
      <c r="F210" s="60" t="s">
        <v>101</v>
      </c>
      <c r="G210" s="60" t="s">
        <v>160</v>
      </c>
      <c r="H210" s="164" cm="1">
        <f t="array" ref="H210">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6.9273541155603757E-3</v>
      </c>
      <c r="I210" s="164" t="str" cm="1">
        <f t="array" ref="I210">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210" s="164" t="str" cm="1">
        <f t="array" ref="J210">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210" s="164" t="str" cm="1">
        <f t="array" ref="K210">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210" s="164" t="str" cm="1">
        <f t="array" ref="L210">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c r="R210" s="242"/>
    </row>
    <row r="211" spans="3:18" outlineLevel="1" x14ac:dyDescent="0.25">
      <c r="C211" s="60" t="s">
        <v>296</v>
      </c>
      <c r="D211" s="60" t="s">
        <v>532</v>
      </c>
      <c r="E211" s="60" t="s">
        <v>291</v>
      </c>
      <c r="F211" s="60" t="s">
        <v>100</v>
      </c>
      <c r="G211" s="60" t="s">
        <v>160</v>
      </c>
      <c r="H211" s="164" cm="1">
        <f t="array" ref="H211">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6.9273541155603757E-3</v>
      </c>
      <c r="I211" s="164" cm="1">
        <f t="array" ref="I211">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6.8076155245922285E-3</v>
      </c>
      <c r="J211" s="164" cm="1">
        <f t="array" ref="J211">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6.7365012259871411E-3</v>
      </c>
      <c r="K211" s="164" cm="1">
        <f t="array" ref="K211">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6.9535797023686282E-3</v>
      </c>
      <c r="L211" s="164" cm="1">
        <f t="array" ref="L211">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6.8324468661582613E-3</v>
      </c>
    </row>
    <row r="212" spans="3:18" outlineLevel="1" x14ac:dyDescent="0.25">
      <c r="C212" s="60" t="s">
        <v>239</v>
      </c>
      <c r="D212" s="60" t="s">
        <v>532</v>
      </c>
      <c r="E212" s="60" t="s">
        <v>291</v>
      </c>
      <c r="F212" s="60" t="s">
        <v>100</v>
      </c>
      <c r="G212" s="60" t="s">
        <v>160</v>
      </c>
      <c r="H212" s="164" cm="1">
        <f t="array" ref="H212">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6.9273541155603757E-3</v>
      </c>
      <c r="I212" s="164" cm="1">
        <f t="array" ref="I212">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6.8076155245922285E-3</v>
      </c>
      <c r="J212" s="164" cm="1">
        <f t="array" ref="J212">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6.7365012259871411E-3</v>
      </c>
      <c r="K212" s="164" cm="1">
        <f t="array" ref="K212">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6.9535797023686282E-3</v>
      </c>
      <c r="L212" s="164" cm="1">
        <f t="array" ref="L212">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6.8324468661582613E-3</v>
      </c>
    </row>
    <row r="213" spans="3:18" outlineLevel="1" x14ac:dyDescent="0.25">
      <c r="C213" s="60" t="s">
        <v>239</v>
      </c>
      <c r="D213" s="60" t="s">
        <v>532</v>
      </c>
      <c r="E213" s="60" t="s">
        <v>291</v>
      </c>
      <c r="F213" s="60" t="s">
        <v>101</v>
      </c>
      <c r="G213" s="60" t="s">
        <v>160</v>
      </c>
      <c r="H213" s="164" cm="1">
        <f t="array" ref="H213">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6.9273541155603757E-3</v>
      </c>
      <c r="I213" s="164" cm="1">
        <f t="array" ref="I213">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6.8076155245922285E-3</v>
      </c>
      <c r="J213" s="164" cm="1">
        <f t="array" ref="J213">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6.7365012259871411E-3</v>
      </c>
      <c r="K213" s="164" cm="1">
        <f t="array" ref="K213">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6.9535797023686282E-3</v>
      </c>
      <c r="L213" s="164" cm="1">
        <f t="array" ref="L213">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6.8324468661582613E-3</v>
      </c>
    </row>
    <row r="214" spans="3:18" outlineLevel="1" x14ac:dyDescent="0.25">
      <c r="C214" s="60" t="s">
        <v>538</v>
      </c>
      <c r="D214" s="60" t="s">
        <v>532</v>
      </c>
      <c r="E214" s="60" t="s">
        <v>291</v>
      </c>
      <c r="F214" s="60" t="s">
        <v>100</v>
      </c>
      <c r="G214" s="60" t="s">
        <v>160</v>
      </c>
      <c r="H214" s="164" cm="1">
        <f t="array" ref="H214">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6.9273541155603757E-3</v>
      </c>
      <c r="I214" s="164" cm="1">
        <f t="array" ref="I214">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6.8076155245922285E-3</v>
      </c>
      <c r="J214" s="164" cm="1">
        <f t="array" ref="J214">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6.7365012259871411E-3</v>
      </c>
      <c r="K214" s="164" cm="1">
        <f t="array" ref="K214">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6.9535797023686282E-3</v>
      </c>
      <c r="L214" s="164" cm="1">
        <f t="array" ref="L214">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6.8324468661582613E-3</v>
      </c>
    </row>
    <row r="215" spans="3:18" outlineLevel="1" x14ac:dyDescent="0.25">
      <c r="C215" s="60" t="s">
        <v>538</v>
      </c>
      <c r="D215" s="60" t="s">
        <v>532</v>
      </c>
      <c r="E215" s="60" t="s">
        <v>291</v>
      </c>
      <c r="F215" s="60" t="s">
        <v>101</v>
      </c>
      <c r="G215" s="60" t="s">
        <v>160</v>
      </c>
      <c r="H215" s="164" cm="1">
        <f t="array" ref="H215">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6.9273541155603757E-3</v>
      </c>
      <c r="I215" s="164" cm="1">
        <f t="array" ref="I215">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6.8076155245922285E-3</v>
      </c>
      <c r="J215" s="164" cm="1">
        <f t="array" ref="J215">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6.7365012259871411E-3</v>
      </c>
      <c r="K215" s="164" cm="1">
        <f t="array" ref="K215">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6.9535797023686282E-3</v>
      </c>
      <c r="L215" s="164" cm="1">
        <f t="array" ref="L215">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6.8324468661582613E-3</v>
      </c>
    </row>
    <row r="216" spans="3:18" outlineLevel="1" x14ac:dyDescent="0.25">
      <c r="C216" s="60" t="s">
        <v>508</v>
      </c>
      <c r="D216" s="60" t="s">
        <v>533</v>
      </c>
      <c r="E216" s="60" t="s">
        <v>291</v>
      </c>
      <c r="F216" s="60" t="s">
        <v>100</v>
      </c>
      <c r="G216" s="60" t="s">
        <v>160</v>
      </c>
      <c r="H216" s="164" t="str" cm="1">
        <f t="array" ref="H216">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v>
      </c>
      <c r="I216" s="164" cm="1">
        <f t="array" ref="I216">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0</v>
      </c>
      <c r="J216" s="164" cm="1">
        <f t="array" ref="J216">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0</v>
      </c>
      <c r="K216" s="164" cm="1">
        <f t="array" ref="K216">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0</v>
      </c>
      <c r="L216" s="164" cm="1">
        <f t="array" ref="L216">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0</v>
      </c>
    </row>
    <row r="217" spans="3:18" outlineLevel="1" x14ac:dyDescent="0.25">
      <c r="C217" s="60" t="s">
        <v>508</v>
      </c>
      <c r="D217" s="60" t="s">
        <v>533</v>
      </c>
      <c r="E217" s="60" t="s">
        <v>291</v>
      </c>
      <c r="F217" s="60" t="s">
        <v>101</v>
      </c>
      <c r="G217" s="60" t="s">
        <v>160</v>
      </c>
      <c r="H217" s="164" t="str" cm="1">
        <f t="array" ref="H217">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v>
      </c>
      <c r="I217" s="164" cm="1">
        <f t="array" ref="I217">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0</v>
      </c>
      <c r="J217" s="164" cm="1">
        <f t="array" ref="J217">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0</v>
      </c>
      <c r="K217" s="164" cm="1">
        <f t="array" ref="K217">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0</v>
      </c>
      <c r="L217" s="164" cm="1">
        <f t="array" ref="L217">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0</v>
      </c>
    </row>
    <row r="218" spans="3:18" outlineLevel="1" x14ac:dyDescent="0.25">
      <c r="C218" s="60" t="s">
        <v>230</v>
      </c>
      <c r="D218" s="60" t="s">
        <v>533</v>
      </c>
      <c r="E218" s="60" t="s">
        <v>291</v>
      </c>
      <c r="F218" s="60" t="s">
        <v>100</v>
      </c>
      <c r="G218" s="60" t="s">
        <v>160</v>
      </c>
      <c r="H218" s="164" cm="1">
        <f t="array" ref="H218">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18" s="164" t="str" cm="1">
        <f t="array" ref="I218">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218" s="164" t="str" cm="1">
        <f t="array" ref="J218">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218" s="164" t="str" cm="1">
        <f t="array" ref="K218">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218" s="164" t="str" cm="1">
        <f t="array" ref="L218">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219" spans="3:18" outlineLevel="1" x14ac:dyDescent="0.25">
      <c r="C219" s="60" t="s">
        <v>230</v>
      </c>
      <c r="D219" s="60" t="s">
        <v>533</v>
      </c>
      <c r="E219" s="60" t="s">
        <v>291</v>
      </c>
      <c r="F219" s="60" t="s">
        <v>101</v>
      </c>
      <c r="G219" s="60" t="s">
        <v>160</v>
      </c>
      <c r="H219" s="164" cm="1">
        <f t="array" ref="H219">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19" s="164" t="str" cm="1">
        <f t="array" ref="I219">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219" s="164" t="str" cm="1">
        <f t="array" ref="J219">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219" s="164" t="str" cm="1">
        <f t="array" ref="K219">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219" s="164" t="str" cm="1">
        <f t="array" ref="L219">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220" spans="3:18" outlineLevel="1" x14ac:dyDescent="0.25">
      <c r="C220" s="60" t="s">
        <v>296</v>
      </c>
      <c r="D220" s="60" t="s">
        <v>533</v>
      </c>
      <c r="E220" s="60" t="s">
        <v>291</v>
      </c>
      <c r="F220" s="60" t="s">
        <v>100</v>
      </c>
      <c r="G220" s="60" t="s">
        <v>160</v>
      </c>
      <c r="H220" s="164" cm="1">
        <f t="array" ref="H220">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20" s="164" cm="1">
        <f t="array" ref="I220">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0</v>
      </c>
      <c r="J220" s="164" cm="1">
        <f t="array" ref="J220">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0</v>
      </c>
      <c r="K220" s="164" cm="1">
        <f t="array" ref="K220">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0</v>
      </c>
      <c r="L220" s="164" cm="1">
        <f t="array" ref="L220">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0</v>
      </c>
    </row>
    <row r="221" spans="3:18" outlineLevel="1" x14ac:dyDescent="0.25">
      <c r="C221" s="60" t="s">
        <v>237</v>
      </c>
      <c r="D221" s="60" t="s">
        <v>533</v>
      </c>
      <c r="E221" s="60" t="s">
        <v>291</v>
      </c>
      <c r="F221" s="60" t="s">
        <v>100</v>
      </c>
      <c r="G221" s="60" t="s">
        <v>160</v>
      </c>
      <c r="H221" s="164" cm="1">
        <f t="array" ref="H221">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21" s="164" t="str" cm="1">
        <f t="array" ref="I221">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221" s="164" t="str" cm="1">
        <f t="array" ref="J221">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221" s="164" t="str" cm="1">
        <f t="array" ref="K221">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221" s="164" t="str" cm="1">
        <f t="array" ref="L221">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222" spans="3:18" outlineLevel="1" x14ac:dyDescent="0.25">
      <c r="C222" s="60" t="s">
        <v>237</v>
      </c>
      <c r="D222" s="60" t="s">
        <v>533</v>
      </c>
      <c r="E222" s="60" t="s">
        <v>291</v>
      </c>
      <c r="F222" s="60" t="s">
        <v>101</v>
      </c>
      <c r="G222" s="60" t="s">
        <v>160</v>
      </c>
      <c r="H222" s="164" cm="1">
        <f t="array" ref="H222">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22" s="164" t="str" cm="1">
        <f t="array" ref="I222">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222" s="164" t="str" cm="1">
        <f t="array" ref="J222">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222" s="164" t="str" cm="1">
        <f t="array" ref="K222">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222" s="164" t="str" cm="1">
        <f t="array" ref="L222">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223" spans="3:18" outlineLevel="1" x14ac:dyDescent="0.25">
      <c r="C223" s="60" t="s">
        <v>239</v>
      </c>
      <c r="D223" s="60" t="s">
        <v>533</v>
      </c>
      <c r="E223" s="60" t="s">
        <v>291</v>
      </c>
      <c r="F223" s="60" t="s">
        <v>100</v>
      </c>
      <c r="G223" s="60" t="s">
        <v>160</v>
      </c>
      <c r="H223" s="164" cm="1">
        <f t="array" ref="H223">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23" s="164" cm="1">
        <f t="array" ref="I223">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0</v>
      </c>
      <c r="J223" s="164" cm="1">
        <f t="array" ref="J223">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0</v>
      </c>
      <c r="K223" s="164" cm="1">
        <f t="array" ref="K223">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0</v>
      </c>
      <c r="L223" s="164" cm="1">
        <f t="array" ref="L223">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0</v>
      </c>
    </row>
    <row r="224" spans="3:18" outlineLevel="1" x14ac:dyDescent="0.25">
      <c r="C224" s="60" t="s">
        <v>239</v>
      </c>
      <c r="D224" s="60" t="s">
        <v>533</v>
      </c>
      <c r="E224" s="60" t="s">
        <v>291</v>
      </c>
      <c r="F224" s="60" t="s">
        <v>101</v>
      </c>
      <c r="G224" s="60" t="s">
        <v>160</v>
      </c>
      <c r="H224" s="164" cm="1">
        <f t="array" ref="H224">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24" s="164" cm="1">
        <f t="array" ref="I224">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0</v>
      </c>
      <c r="J224" s="164" cm="1">
        <f t="array" ref="J224">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0</v>
      </c>
      <c r="K224" s="164" cm="1">
        <f t="array" ref="K224">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0</v>
      </c>
      <c r="L224" s="164" cm="1">
        <f t="array" ref="L224">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0</v>
      </c>
    </row>
    <row r="225" spans="3:12" outlineLevel="1" x14ac:dyDescent="0.25">
      <c r="C225" s="60" t="s">
        <v>538</v>
      </c>
      <c r="D225" s="60" t="s">
        <v>533</v>
      </c>
      <c r="E225" s="60" t="s">
        <v>291</v>
      </c>
      <c r="F225" s="60" t="s">
        <v>100</v>
      </c>
      <c r="G225" s="60" t="s">
        <v>160</v>
      </c>
      <c r="H225" s="164" cm="1">
        <f t="array" ref="H225">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25" s="164" cm="1">
        <f t="array" ref="I225">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0</v>
      </c>
      <c r="J225" s="164" cm="1">
        <f t="array" ref="J225">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0</v>
      </c>
      <c r="K225" s="164" cm="1">
        <f t="array" ref="K225">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0</v>
      </c>
      <c r="L225" s="164" cm="1">
        <f t="array" ref="L225">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0</v>
      </c>
    </row>
    <row r="226" spans="3:12" outlineLevel="1" x14ac:dyDescent="0.25">
      <c r="C226" s="60" t="s">
        <v>538</v>
      </c>
      <c r="D226" s="60" t="s">
        <v>533</v>
      </c>
      <c r="E226" s="60" t="s">
        <v>291</v>
      </c>
      <c r="F226" s="60" t="s">
        <v>101</v>
      </c>
      <c r="G226" s="60" t="s">
        <v>160</v>
      </c>
      <c r="H226" s="164" cm="1">
        <f t="array" ref="H226">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26" s="164" cm="1">
        <f t="array" ref="I226">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0</v>
      </c>
      <c r="J226" s="164" cm="1">
        <f t="array" ref="J226">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0</v>
      </c>
      <c r="K226" s="164" cm="1">
        <f t="array" ref="K226">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0</v>
      </c>
      <c r="L226" s="164" cm="1">
        <f t="array" ref="L226">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0</v>
      </c>
    </row>
    <row r="227" spans="3:12" outlineLevel="1" x14ac:dyDescent="0.25"/>
    <row r="228" spans="3:12" ht="15.75" outlineLevel="1" x14ac:dyDescent="0.25">
      <c r="C228" s="30" t="s">
        <v>535</v>
      </c>
    </row>
    <row r="229" spans="3:12" ht="15.75" outlineLevel="1" x14ac:dyDescent="0.25">
      <c r="C229" s="43" t="s">
        <v>479</v>
      </c>
      <c r="D229" s="43" t="s">
        <v>322</v>
      </c>
      <c r="E229" s="43" t="s">
        <v>111</v>
      </c>
      <c r="F229" s="43" t="s">
        <v>99</v>
      </c>
      <c r="G229" s="43" t="s">
        <v>53</v>
      </c>
      <c r="H229" s="51" t="s">
        <v>277</v>
      </c>
      <c r="I229" s="51" t="s">
        <v>278</v>
      </c>
      <c r="J229" s="51" t="s">
        <v>279</v>
      </c>
      <c r="K229" s="51" t="s">
        <v>280</v>
      </c>
      <c r="L229" s="51" t="s">
        <v>281</v>
      </c>
    </row>
    <row r="230" spans="3:12" ht="15.75" outlineLevel="1" x14ac:dyDescent="0.25">
      <c r="C230" s="60" t="s">
        <v>508</v>
      </c>
      <c r="D230" s="60" t="s">
        <v>531</v>
      </c>
      <c r="E230" s="60" t="s">
        <v>291</v>
      </c>
      <c r="F230" s="60" t="s">
        <v>100</v>
      </c>
      <c r="G230" s="60" t="s">
        <v>160</v>
      </c>
      <c r="H230" s="94" t="str">
        <f>IF(H194="-","-",
IF(
ROUND(H194,8)=
ROUND(SUMIFS(Calc_TUV_ENVGroup_2[Ausnet],Calc_TUV_ENVGroup_2[[Cost item]:[Cost item]],$D230,Calc_TUV_ENVGroup_2[[Cost element]:[Cost element]],$G230)*($F$188/$F$189),8),
0,1))</f>
        <v>-</v>
      </c>
      <c r="I230" s="94">
        <f>IF(I194="-","-",
IF(
ROUND(I194,8)=
ROUND(SUMIFS(Calc_TUV_ENVGroup_2[Citipower],Calc_TUV_ENVGroup_2[[Cost item]:[Cost item]],$D230,Calc_TUV_ENVGroup_2[[Cost element]:[Cost element]],$G230)*($F$188/$F$189),8),
0,1))</f>
        <v>0</v>
      </c>
      <c r="J230" s="94">
        <f>IF(J194="-","-",
IF(
ROUND(J194,8)=
ROUND(SUMIFS(Calc_TUV_ENVGroup_2[Jemena],Calc_TUV_ENVGroup_2[[Cost item]:[Cost item]],$D230,Calc_TUV_ENVGroup_2[[Cost element]:[Cost element]],$G230)*($F$188/$F$189),8),
0,1))</f>
        <v>0</v>
      </c>
      <c r="K230" s="94">
        <f>IF(K194="-","-",
IF(
ROUND(K194,8)=
ROUND(SUMIFS(Calc_TUV_ENVGroup_2[Powercor],Calc_TUV_ENVGroup_2[[Cost item]:[Cost item]],$D230,Calc_TUV_ENVGroup_2[[Cost element]:[Cost element]],$G230)*($F$188/$F$189),8),
0,1))</f>
        <v>0</v>
      </c>
      <c r="L230" s="94">
        <f>IF(L194="-","-",
IF(
ROUND(L194,8)=
ROUND(SUMIFS(Calc_TUV_ENVGroup_2[United Energy],Calc_TUV_ENVGroup_2[[Cost item]:[Cost item]],$D230,Calc_TUV_ENVGroup_2[[Cost element]:[Cost element]],$G230)*($F$188/$F$189),8),
0,1))</f>
        <v>0</v>
      </c>
    </row>
    <row r="231" spans="3:12" ht="15.75" outlineLevel="1" x14ac:dyDescent="0.25">
      <c r="C231" s="60" t="s">
        <v>508</v>
      </c>
      <c r="D231" s="60" t="s">
        <v>531</v>
      </c>
      <c r="E231" s="60" t="s">
        <v>291</v>
      </c>
      <c r="F231" s="60" t="s">
        <v>101</v>
      </c>
      <c r="G231" s="60" t="s">
        <v>160</v>
      </c>
      <c r="H231" s="94" t="str">
        <f>IF(H195="-","-",
IF(
ROUND(H195,8)=
ROUND(SUMIFS(Calc_TUV_ENVGroup_2[Ausnet],Calc_TUV_ENVGroup_2[[Cost item]:[Cost item]],$D231,Calc_TUV_ENVGroup_2[[Cost element]:[Cost element]],$G231)*($F$188/$F$189),8),
0,1))</f>
        <v>-</v>
      </c>
      <c r="I231" s="94">
        <f>IF(I195="-","-",
IF(
ROUND(I195,8)=
ROUND(SUMIFS(Calc_TUV_ENVGroup_2[Citipower],Calc_TUV_ENVGroup_2[[Cost item]:[Cost item]],$D231,Calc_TUV_ENVGroup_2[[Cost element]:[Cost element]],$G231)*($F$188/$F$189),8),
0,1))</f>
        <v>0</v>
      </c>
      <c r="J231" s="94">
        <f>IF(J195="-","-",
IF(
ROUND(J195,8)=
ROUND(SUMIFS(Calc_TUV_ENVGroup_2[Jemena],Calc_TUV_ENVGroup_2[[Cost item]:[Cost item]],$D231,Calc_TUV_ENVGroup_2[[Cost element]:[Cost element]],$G231)*($F$188/$F$189),8),
0,1))</f>
        <v>0</v>
      </c>
      <c r="K231" s="94">
        <f>IF(K195="-","-",
IF(
ROUND(K195,8)=
ROUND(SUMIFS(Calc_TUV_ENVGroup_2[Powercor],Calc_TUV_ENVGroup_2[[Cost item]:[Cost item]],$D231,Calc_TUV_ENVGroup_2[[Cost element]:[Cost element]],$G231)*($F$188/$F$189),8),
0,1))</f>
        <v>0</v>
      </c>
      <c r="L231" s="94">
        <f>IF(L195="-","-",
IF(
ROUND(L195,8)=
ROUND(SUMIFS(Calc_TUV_ENVGroup_2[United Energy],Calc_TUV_ENVGroup_2[[Cost item]:[Cost item]],$D231,Calc_TUV_ENVGroup_2[[Cost element]:[Cost element]],$G231)*($F$188/$F$189),8),
0,1))</f>
        <v>0</v>
      </c>
    </row>
    <row r="232" spans="3:12" ht="15.75" outlineLevel="1" x14ac:dyDescent="0.25">
      <c r="C232" s="60" t="s">
        <v>230</v>
      </c>
      <c r="D232" s="60" t="s">
        <v>531</v>
      </c>
      <c r="E232" s="60" t="s">
        <v>291</v>
      </c>
      <c r="F232" s="60" t="s">
        <v>100</v>
      </c>
      <c r="G232" s="60" t="s">
        <v>160</v>
      </c>
      <c r="H232" s="94">
        <f>IF(H196="-","-",
IF(
ROUND(H196,8)=
ROUND(SUMIFS(Calc_TUV_ENVGroup_2[Ausnet],Calc_TUV_ENVGroup_2[[Cost item]:[Cost item]],$D232,Calc_TUV_ENVGroup_2[[Cost element]:[Cost element]],$G232)*($F$188/$F$189),8),
0,1))</f>
        <v>0</v>
      </c>
      <c r="I232" s="94" t="str">
        <f>IF(I196="-","-",
IF(
ROUND(I196,8)=
ROUND(SUMIFS(Calc_TUV_ENVGroup_2[Citipower],Calc_TUV_ENVGroup_2[[Cost item]:[Cost item]],$D232,Calc_TUV_ENVGroup_2[[Cost element]:[Cost element]],$G232)*($F$188/$F$189),8),
0,1))</f>
        <v>-</v>
      </c>
      <c r="J232" s="94" t="str">
        <f>IF(J196="-","-",
IF(
ROUND(J196,8)=
ROUND(SUMIFS(Calc_TUV_ENVGroup_2[Jemena],Calc_TUV_ENVGroup_2[[Cost item]:[Cost item]],$D232,Calc_TUV_ENVGroup_2[[Cost element]:[Cost element]],$G232)*($F$188/$F$189),8),
0,1))</f>
        <v>-</v>
      </c>
      <c r="K232" s="94" t="str">
        <f>IF(K196="-","-",
IF(
ROUND(K196,8)=
ROUND(SUMIFS(Calc_TUV_ENVGroup_2[Powercor],Calc_TUV_ENVGroup_2[[Cost item]:[Cost item]],$D232,Calc_TUV_ENVGroup_2[[Cost element]:[Cost element]],$G232)*($F$188/$F$189),8),
0,1))</f>
        <v>-</v>
      </c>
      <c r="L232" s="94" t="str">
        <f>IF(L196="-","-",
IF(
ROUND(L196,8)=
ROUND(SUMIFS(Calc_TUV_ENVGroup_2[United Energy],Calc_TUV_ENVGroup_2[[Cost item]:[Cost item]],$D232,Calc_TUV_ENVGroup_2[[Cost element]:[Cost element]],$G232)*($F$188/$F$189),8),
0,1))</f>
        <v>-</v>
      </c>
    </row>
    <row r="233" spans="3:12" ht="15.75" outlineLevel="1" x14ac:dyDescent="0.25">
      <c r="C233" s="60" t="s">
        <v>230</v>
      </c>
      <c r="D233" s="60" t="s">
        <v>531</v>
      </c>
      <c r="E233" s="60" t="s">
        <v>291</v>
      </c>
      <c r="F233" s="60" t="s">
        <v>101</v>
      </c>
      <c r="G233" s="60" t="s">
        <v>160</v>
      </c>
      <c r="H233" s="94">
        <f>IF(H197="-","-",
IF(
ROUND(H197,8)=
ROUND(SUMIFS(Calc_TUV_ENVGroup_2[Ausnet],Calc_TUV_ENVGroup_2[[Cost item]:[Cost item]],$D233,Calc_TUV_ENVGroup_2[[Cost element]:[Cost element]],$G233)*($F$188/$F$189),8),
0,1))</f>
        <v>0</v>
      </c>
      <c r="I233" s="94" t="str">
        <f>IF(I197="-","-",
IF(
ROUND(I197,8)=
ROUND(SUMIFS(Calc_TUV_ENVGroup_2[Citipower],Calc_TUV_ENVGroup_2[[Cost item]:[Cost item]],$D233,Calc_TUV_ENVGroup_2[[Cost element]:[Cost element]],$G233)*($F$188/$F$189),8),
0,1))</f>
        <v>-</v>
      </c>
      <c r="J233" s="94" t="str">
        <f>IF(J197="-","-",
IF(
ROUND(J197,8)=
ROUND(SUMIFS(Calc_TUV_ENVGroup_2[Jemena],Calc_TUV_ENVGroup_2[[Cost item]:[Cost item]],$D233,Calc_TUV_ENVGroup_2[[Cost element]:[Cost element]],$G233)*($F$188/$F$189),8),
0,1))</f>
        <v>-</v>
      </c>
      <c r="K233" s="94" t="str">
        <f>IF(K197="-","-",
IF(
ROUND(K197,8)=
ROUND(SUMIFS(Calc_TUV_ENVGroup_2[Powercor],Calc_TUV_ENVGroup_2[[Cost item]:[Cost item]],$D233,Calc_TUV_ENVGroup_2[[Cost element]:[Cost element]],$G233)*($F$188/$F$189),8),
0,1))</f>
        <v>-</v>
      </c>
      <c r="L233" s="94" t="str">
        <f>IF(L197="-","-",
IF(
ROUND(L197,8)=
ROUND(SUMIFS(Calc_TUV_ENVGroup_2[United Energy],Calc_TUV_ENVGroup_2[[Cost item]:[Cost item]],$D233,Calc_TUV_ENVGroup_2[[Cost element]:[Cost element]],$G233)*($F$188/$F$189),8),
0,1))</f>
        <v>-</v>
      </c>
    </row>
    <row r="234" spans="3:12" ht="15.75" outlineLevel="1" x14ac:dyDescent="0.25">
      <c r="C234" s="60" t="s">
        <v>237</v>
      </c>
      <c r="D234" s="60" t="s">
        <v>531</v>
      </c>
      <c r="E234" s="60" t="s">
        <v>291</v>
      </c>
      <c r="F234" s="60" t="s">
        <v>100</v>
      </c>
      <c r="G234" s="60" t="s">
        <v>160</v>
      </c>
      <c r="H234" s="94">
        <f>IF(H198="-","-",
IF(
ROUND(H198,8)=
ROUND(SUMIFS(Calc_TUV_ENVGroup_2[Ausnet],Calc_TUV_ENVGroup_2[[Cost item]:[Cost item]],$D234,Calc_TUV_ENVGroup_2[[Cost element]:[Cost element]],$G234)*($F$188/$F$189),8),
0,1))</f>
        <v>0</v>
      </c>
      <c r="I234" s="94" t="str">
        <f>IF(I198="-","-",
IF(
ROUND(I198,8)=
ROUND(SUMIFS(Calc_TUV_ENVGroup_2[Citipower],Calc_TUV_ENVGroup_2[[Cost item]:[Cost item]],$D234,Calc_TUV_ENVGroup_2[[Cost element]:[Cost element]],$G234)*($F$188/$F$189),8),
0,1))</f>
        <v>-</v>
      </c>
      <c r="J234" s="94" t="str">
        <f>IF(J198="-","-",
IF(
ROUND(J198,8)=
ROUND(SUMIFS(Calc_TUV_ENVGroup_2[Jemena],Calc_TUV_ENVGroup_2[[Cost item]:[Cost item]],$D234,Calc_TUV_ENVGroup_2[[Cost element]:[Cost element]],$G234)*($F$188/$F$189),8),
0,1))</f>
        <v>-</v>
      </c>
      <c r="K234" s="94" t="str">
        <f>IF(K198="-","-",
IF(
ROUND(K198,8)=
ROUND(SUMIFS(Calc_TUV_ENVGroup_2[Powercor],Calc_TUV_ENVGroup_2[[Cost item]:[Cost item]],$D234,Calc_TUV_ENVGroup_2[[Cost element]:[Cost element]],$G234)*($F$188/$F$189),8),
0,1))</f>
        <v>-</v>
      </c>
      <c r="L234" s="94" t="str">
        <f>IF(L198="-","-",
IF(
ROUND(L198,8)=
ROUND(SUMIFS(Calc_TUV_ENVGroup_2[United Energy],Calc_TUV_ENVGroup_2[[Cost item]:[Cost item]],$D234,Calc_TUV_ENVGroup_2[[Cost element]:[Cost element]],$G234)*($F$188/$F$189),8),
0,1))</f>
        <v>-</v>
      </c>
    </row>
    <row r="235" spans="3:12" ht="15.75" outlineLevel="1" x14ac:dyDescent="0.25">
      <c r="C235" s="60" t="s">
        <v>237</v>
      </c>
      <c r="D235" s="60" t="s">
        <v>531</v>
      </c>
      <c r="E235" s="60" t="s">
        <v>291</v>
      </c>
      <c r="F235" s="60" t="s">
        <v>101</v>
      </c>
      <c r="G235" s="60" t="s">
        <v>160</v>
      </c>
      <c r="H235" s="94">
        <f>IF(H199="-","-",
IF(
ROUND(H199,8)=
ROUND(SUMIFS(Calc_TUV_ENVGroup_2[Ausnet],Calc_TUV_ENVGroup_2[[Cost item]:[Cost item]],$D235,Calc_TUV_ENVGroup_2[[Cost element]:[Cost element]],$G235)*($F$188/$F$189),8),
0,1))</f>
        <v>0</v>
      </c>
      <c r="I235" s="94" t="str">
        <f>IF(I199="-","-",
IF(
ROUND(I199,8)=
ROUND(SUMIFS(Calc_TUV_ENVGroup_2[Citipower],Calc_TUV_ENVGroup_2[[Cost item]:[Cost item]],$D235,Calc_TUV_ENVGroup_2[[Cost element]:[Cost element]],$G235)*($F$188/$F$189),8),
0,1))</f>
        <v>-</v>
      </c>
      <c r="J235" s="94" t="str">
        <f>IF(J199="-","-",
IF(
ROUND(J199,8)=
ROUND(SUMIFS(Calc_TUV_ENVGroup_2[Jemena],Calc_TUV_ENVGroup_2[[Cost item]:[Cost item]],$D235,Calc_TUV_ENVGroup_2[[Cost element]:[Cost element]],$G235)*($F$188/$F$189),8),
0,1))</f>
        <v>-</v>
      </c>
      <c r="K235" s="94" t="str">
        <f>IF(K199="-","-",
IF(
ROUND(K199,8)=
ROUND(SUMIFS(Calc_TUV_ENVGroup_2[Powercor],Calc_TUV_ENVGroup_2[[Cost item]:[Cost item]],$D235,Calc_TUV_ENVGroup_2[[Cost element]:[Cost element]],$G235)*($F$188/$F$189),8),
0,1))</f>
        <v>-</v>
      </c>
      <c r="L235" s="94" t="str">
        <f>IF(L199="-","-",
IF(
ROUND(L199,8)=
ROUND(SUMIFS(Calc_TUV_ENVGroup_2[United Energy],Calc_TUV_ENVGroup_2[[Cost item]:[Cost item]],$D235,Calc_TUV_ENVGroup_2[[Cost element]:[Cost element]],$G235)*($F$188/$F$189),8),
0,1))</f>
        <v>-</v>
      </c>
    </row>
    <row r="236" spans="3:12" ht="15.75" outlineLevel="1" x14ac:dyDescent="0.25">
      <c r="C236" s="60" t="s">
        <v>296</v>
      </c>
      <c r="D236" s="60" t="s">
        <v>531</v>
      </c>
      <c r="E236" s="60" t="s">
        <v>291</v>
      </c>
      <c r="F236" s="60" t="s">
        <v>100</v>
      </c>
      <c r="G236" s="60" t="s">
        <v>160</v>
      </c>
      <c r="H236" s="94">
        <f>IF(H200="-","-",
IF(
ROUND(H200,8)=
ROUND(SUMIFS(Calc_TUV_ENVGroup_2[Ausnet],Calc_TUV_ENVGroup_2[[Cost item]:[Cost item]],$D236,Calc_TUV_ENVGroup_2[[Cost element]:[Cost element]],$G236)*($F$188/$F$189),8),
0,1))</f>
        <v>0</v>
      </c>
      <c r="I236" s="94">
        <f>IF(I200="-","-",
IF(
ROUND(I200,8)=
ROUND(SUMIFS(Calc_TUV_ENVGroup_2[Citipower],Calc_TUV_ENVGroup_2[[Cost item]:[Cost item]],$D236,Calc_TUV_ENVGroup_2[[Cost element]:[Cost element]],$G236)*($F$188/$F$189),8),
0,1))</f>
        <v>0</v>
      </c>
      <c r="J236" s="94">
        <f>IF(J200="-","-",
IF(
ROUND(J200,8)=
ROUND(SUMIFS(Calc_TUV_ENVGroup_2[Jemena],Calc_TUV_ENVGroup_2[[Cost item]:[Cost item]],$D236,Calc_TUV_ENVGroup_2[[Cost element]:[Cost element]],$G236)*($F$188/$F$189),8),
0,1))</f>
        <v>0</v>
      </c>
      <c r="K236" s="94">
        <f>IF(K200="-","-",
IF(
ROUND(K200,8)=
ROUND(SUMIFS(Calc_TUV_ENVGroup_2[Powercor],Calc_TUV_ENVGroup_2[[Cost item]:[Cost item]],$D236,Calc_TUV_ENVGroup_2[[Cost element]:[Cost element]],$G236)*($F$188/$F$189),8),
0,1))</f>
        <v>0</v>
      </c>
      <c r="L236" s="94">
        <f>IF(L200="-","-",
IF(
ROUND(L200,8)=
ROUND(SUMIFS(Calc_TUV_ENVGroup_2[United Energy],Calc_TUV_ENVGroup_2[[Cost item]:[Cost item]],$D236,Calc_TUV_ENVGroup_2[[Cost element]:[Cost element]],$G236)*($F$188/$F$189),8),
0,1))</f>
        <v>0</v>
      </c>
    </row>
    <row r="237" spans="3:12" ht="15.75" outlineLevel="1" x14ac:dyDescent="0.25">
      <c r="C237" s="60" t="s">
        <v>239</v>
      </c>
      <c r="D237" s="60" t="s">
        <v>531</v>
      </c>
      <c r="E237" s="60" t="s">
        <v>291</v>
      </c>
      <c r="F237" s="60" t="s">
        <v>100</v>
      </c>
      <c r="G237" s="60" t="s">
        <v>160</v>
      </c>
      <c r="H237" s="94">
        <f>IF(H201="-","-",
IF(
ROUND(H201,8)=
ROUND(SUMIFS(Calc_TUV_ENVGroup_2[Ausnet],Calc_TUV_ENVGroup_2[[Cost item]:[Cost item]],$D237,Calc_TUV_ENVGroup_2[[Cost element]:[Cost element]],$G237)*($F$188/$F$189),8),
0,1))</f>
        <v>0</v>
      </c>
      <c r="I237" s="94">
        <f>IF(I201="-","-",
IF(
ROUND(I201,8)=
ROUND(SUMIFS(Calc_TUV_ENVGroup_2[Citipower],Calc_TUV_ENVGroup_2[[Cost item]:[Cost item]],$D237,Calc_TUV_ENVGroup_2[[Cost element]:[Cost element]],$G237)*($F$188/$F$189),8),
0,1))</f>
        <v>0</v>
      </c>
      <c r="J237" s="94">
        <f>IF(J201="-","-",
IF(
ROUND(J201,8)=
ROUND(SUMIFS(Calc_TUV_ENVGroup_2[Jemena],Calc_TUV_ENVGroup_2[[Cost item]:[Cost item]],$D237,Calc_TUV_ENVGroup_2[[Cost element]:[Cost element]],$G237)*($F$188/$F$189),8),
0,1))</f>
        <v>0</v>
      </c>
      <c r="K237" s="94">
        <f>IF(K201="-","-",
IF(
ROUND(K201,8)=
ROUND(SUMIFS(Calc_TUV_ENVGroup_2[Powercor],Calc_TUV_ENVGroup_2[[Cost item]:[Cost item]],$D237,Calc_TUV_ENVGroup_2[[Cost element]:[Cost element]],$G237)*($F$188/$F$189),8),
0,1))</f>
        <v>0</v>
      </c>
      <c r="L237" s="94">
        <f>IF(L201="-","-",
IF(
ROUND(L201,8)=
ROUND(SUMIFS(Calc_TUV_ENVGroup_2[United Energy],Calc_TUV_ENVGroup_2[[Cost item]:[Cost item]],$D237,Calc_TUV_ENVGroup_2[[Cost element]:[Cost element]],$G237)*($F$188/$F$189),8),
0,1))</f>
        <v>0</v>
      </c>
    </row>
    <row r="238" spans="3:12" ht="15.75" outlineLevel="1" x14ac:dyDescent="0.25">
      <c r="C238" s="60" t="s">
        <v>239</v>
      </c>
      <c r="D238" s="60" t="s">
        <v>531</v>
      </c>
      <c r="E238" s="60" t="s">
        <v>291</v>
      </c>
      <c r="F238" s="60" t="s">
        <v>101</v>
      </c>
      <c r="G238" s="60" t="s">
        <v>160</v>
      </c>
      <c r="H238" s="94">
        <f>IF(H202="-","-",
IF(
ROUND(H202,8)=
ROUND(SUMIFS(Calc_TUV_ENVGroup_2[Ausnet],Calc_TUV_ENVGroup_2[[Cost item]:[Cost item]],$D238,Calc_TUV_ENVGroup_2[[Cost element]:[Cost element]],$G238)*($F$188/$F$189),8),
0,1))</f>
        <v>0</v>
      </c>
      <c r="I238" s="94">
        <f>IF(I202="-","-",
IF(
ROUND(I202,8)=
ROUND(SUMIFS(Calc_TUV_ENVGroup_2[Citipower],Calc_TUV_ENVGroup_2[[Cost item]:[Cost item]],$D238,Calc_TUV_ENVGroup_2[[Cost element]:[Cost element]],$G238)*($F$188/$F$189),8),
0,1))</f>
        <v>0</v>
      </c>
      <c r="J238" s="94">
        <f>IF(J202="-","-",
IF(
ROUND(J202,8)=
ROUND(SUMIFS(Calc_TUV_ENVGroup_2[Jemena],Calc_TUV_ENVGroup_2[[Cost item]:[Cost item]],$D238,Calc_TUV_ENVGroup_2[[Cost element]:[Cost element]],$G238)*($F$188/$F$189),8),
0,1))</f>
        <v>0</v>
      </c>
      <c r="K238" s="94">
        <f>IF(K202="-","-",
IF(
ROUND(K202,8)=
ROUND(SUMIFS(Calc_TUV_ENVGroup_2[Powercor],Calc_TUV_ENVGroup_2[[Cost item]:[Cost item]],$D238,Calc_TUV_ENVGroup_2[[Cost element]:[Cost element]],$G238)*($F$188/$F$189),8),
0,1))</f>
        <v>0</v>
      </c>
      <c r="L238" s="94">
        <f>IF(L202="-","-",
IF(
ROUND(L202,8)=
ROUND(SUMIFS(Calc_TUV_ENVGroup_2[United Energy],Calc_TUV_ENVGroup_2[[Cost item]:[Cost item]],$D238,Calc_TUV_ENVGroup_2[[Cost element]:[Cost element]],$G238)*($F$188/$F$189),8),
0,1))</f>
        <v>0</v>
      </c>
    </row>
    <row r="239" spans="3:12" ht="15.75" outlineLevel="1" x14ac:dyDescent="0.25">
      <c r="C239" s="60" t="s">
        <v>538</v>
      </c>
      <c r="D239" s="60" t="s">
        <v>531</v>
      </c>
      <c r="E239" s="60" t="s">
        <v>291</v>
      </c>
      <c r="F239" s="60" t="s">
        <v>100</v>
      </c>
      <c r="G239" s="60" t="s">
        <v>160</v>
      </c>
      <c r="H239" s="94">
        <f>IF(H203="-","-",
IF(
ROUND(H203,8)=
ROUND(SUMIFS(Calc_TUV_ENVGroup_2[Ausnet],Calc_TUV_ENVGroup_2[[Cost item]:[Cost item]],$D239,Calc_TUV_ENVGroup_2[[Cost element]:[Cost element]],$G239)*($F$188/$F$189),8),
0,1))</f>
        <v>0</v>
      </c>
      <c r="I239" s="94">
        <f>IF(I203="-","-",
IF(
ROUND(I203,8)=
ROUND(SUMIFS(Calc_TUV_ENVGroup_2[Citipower],Calc_TUV_ENVGroup_2[[Cost item]:[Cost item]],$D239,Calc_TUV_ENVGroup_2[[Cost element]:[Cost element]],$G239)*($F$188/$F$189),8),
0,1))</f>
        <v>0</v>
      </c>
      <c r="J239" s="94">
        <f>IF(J203="-","-",
IF(
ROUND(J203,8)=
ROUND(SUMIFS(Calc_TUV_ENVGroup_2[Jemena],Calc_TUV_ENVGroup_2[[Cost item]:[Cost item]],$D239,Calc_TUV_ENVGroup_2[[Cost element]:[Cost element]],$G239)*($F$188/$F$189),8),
0,1))</f>
        <v>0</v>
      </c>
      <c r="K239" s="94">
        <f>IF(K203="-","-",
IF(
ROUND(K203,8)=
ROUND(SUMIFS(Calc_TUV_ENVGroup_2[Powercor],Calc_TUV_ENVGroup_2[[Cost item]:[Cost item]],$D239,Calc_TUV_ENVGroup_2[[Cost element]:[Cost element]],$G239)*($F$188/$F$189),8),
0,1))</f>
        <v>0</v>
      </c>
      <c r="L239" s="94">
        <f>IF(L203="-","-",
IF(
ROUND(L203,8)=
ROUND(SUMIFS(Calc_TUV_ENVGroup_2[United Energy],Calc_TUV_ENVGroup_2[[Cost item]:[Cost item]],$D239,Calc_TUV_ENVGroup_2[[Cost element]:[Cost element]],$G239)*($F$188/$F$189),8),
0,1))</f>
        <v>0</v>
      </c>
    </row>
    <row r="240" spans="3:12" ht="15.75" outlineLevel="1" x14ac:dyDescent="0.25">
      <c r="C240" s="60" t="s">
        <v>538</v>
      </c>
      <c r="D240" s="60" t="s">
        <v>531</v>
      </c>
      <c r="E240" s="60" t="s">
        <v>291</v>
      </c>
      <c r="F240" s="60" t="s">
        <v>101</v>
      </c>
      <c r="G240" s="60" t="s">
        <v>160</v>
      </c>
      <c r="H240" s="94">
        <f>IF(H204="-","-",
IF(
ROUND(H204,8)=
ROUND(SUMIFS(Calc_TUV_ENVGroup_2[Ausnet],Calc_TUV_ENVGroup_2[[Cost item]:[Cost item]],$D240,Calc_TUV_ENVGroup_2[[Cost element]:[Cost element]],$G240)*($F$188/$F$189),8),
0,1))</f>
        <v>0</v>
      </c>
      <c r="I240" s="94">
        <f>IF(I204="-","-",
IF(
ROUND(I204,8)=
ROUND(SUMIFS(Calc_TUV_ENVGroup_2[Citipower],Calc_TUV_ENVGroup_2[[Cost item]:[Cost item]],$D240,Calc_TUV_ENVGroup_2[[Cost element]:[Cost element]],$G240)*($F$188/$F$189),8),
0,1))</f>
        <v>0</v>
      </c>
      <c r="J240" s="94">
        <f>IF(J204="-","-",
IF(
ROUND(J204,8)=
ROUND(SUMIFS(Calc_TUV_ENVGroup_2[Jemena],Calc_TUV_ENVGroup_2[[Cost item]:[Cost item]],$D240,Calc_TUV_ENVGroup_2[[Cost element]:[Cost element]],$G240)*($F$188/$F$189),8),
0,1))</f>
        <v>0</v>
      </c>
      <c r="K240" s="94">
        <f>IF(K204="-","-",
IF(
ROUND(K204,8)=
ROUND(SUMIFS(Calc_TUV_ENVGroup_2[Powercor],Calc_TUV_ENVGroup_2[[Cost item]:[Cost item]],$D240,Calc_TUV_ENVGroup_2[[Cost element]:[Cost element]],$G240)*($F$188/$F$189),8),
0,1))</f>
        <v>0</v>
      </c>
      <c r="L240" s="94">
        <f>IF(L204="-","-",
IF(
ROUND(L204,8)=
ROUND(SUMIFS(Calc_TUV_ENVGroup_2[United Energy],Calc_TUV_ENVGroup_2[[Cost item]:[Cost item]],$D240,Calc_TUV_ENVGroup_2[[Cost element]:[Cost element]],$G240)*($F$188/$F$189),8),
0,1))</f>
        <v>0</v>
      </c>
    </row>
    <row r="241" spans="3:12" ht="15.75" outlineLevel="1" x14ac:dyDescent="0.25">
      <c r="C241" s="60" t="s">
        <v>508</v>
      </c>
      <c r="D241" s="60" t="s">
        <v>532</v>
      </c>
      <c r="E241" s="60" t="s">
        <v>291</v>
      </c>
      <c r="F241" s="60" t="s">
        <v>100</v>
      </c>
      <c r="G241" s="60" t="s">
        <v>160</v>
      </c>
      <c r="H241" s="94" t="str">
        <f>IF(H205="-","-",
IF(
ROUND(H205,8)=
ROUND(SUMIFS(Calc_TUV_ENVGroup_2[Ausnet],Calc_TUV_ENVGroup_2[[Cost item]:[Cost item]],$D241,Calc_TUV_ENVGroup_2[[Cost element]:[Cost element]],$G241)*($F$188/$F$189),8),
0,1))</f>
        <v>-</v>
      </c>
      <c r="I241" s="94">
        <f>IF(I205="-","-",
IF(
ROUND(I205,8)=
ROUND(SUMIFS(Calc_TUV_ENVGroup_2[Citipower],Calc_TUV_ENVGroup_2[[Cost item]:[Cost item]],$D241,Calc_TUV_ENVGroup_2[[Cost element]:[Cost element]],$G241)*($F$188/$F$189),8),
0,1))</f>
        <v>0</v>
      </c>
      <c r="J241" s="94">
        <f>IF(J205="-","-",
IF(
ROUND(J205,8)=
ROUND(SUMIFS(Calc_TUV_ENVGroup_2[Jemena],Calc_TUV_ENVGroup_2[[Cost item]:[Cost item]],$D241,Calc_TUV_ENVGroup_2[[Cost element]:[Cost element]],$G241)*($F$188/$F$189),8),
0,1))</f>
        <v>0</v>
      </c>
      <c r="K241" s="94">
        <f>IF(K205="-","-",
IF(
ROUND(K205,8)=
ROUND(SUMIFS(Calc_TUV_ENVGroup_2[Powercor],Calc_TUV_ENVGroup_2[[Cost item]:[Cost item]],$D241,Calc_TUV_ENVGroup_2[[Cost element]:[Cost element]],$G241)*($F$188/$F$189),8),
0,1))</f>
        <v>0</v>
      </c>
      <c r="L241" s="94">
        <f>IF(L205="-","-",
IF(
ROUND(L205,8)=
ROUND(SUMIFS(Calc_TUV_ENVGroup_2[United Energy],Calc_TUV_ENVGroup_2[[Cost item]:[Cost item]],$D241,Calc_TUV_ENVGroup_2[[Cost element]:[Cost element]],$G241)*($F$188/$F$189),8),
0,1))</f>
        <v>0</v>
      </c>
    </row>
    <row r="242" spans="3:12" ht="15.75" outlineLevel="1" x14ac:dyDescent="0.25">
      <c r="C242" s="60" t="s">
        <v>508</v>
      </c>
      <c r="D242" s="60" t="s">
        <v>532</v>
      </c>
      <c r="E242" s="60" t="s">
        <v>291</v>
      </c>
      <c r="F242" s="60" t="s">
        <v>101</v>
      </c>
      <c r="G242" s="60" t="s">
        <v>160</v>
      </c>
      <c r="H242" s="94" t="str">
        <f>IF(H206="-","-",
IF(
ROUND(H206,8)=
ROUND(SUMIFS(Calc_TUV_ENVGroup_2[Ausnet],Calc_TUV_ENVGroup_2[[Cost item]:[Cost item]],$D242,Calc_TUV_ENVGroup_2[[Cost element]:[Cost element]],$G242)*($F$188/$F$189),8),
0,1))</f>
        <v>-</v>
      </c>
      <c r="I242" s="94">
        <f>IF(I206="-","-",
IF(
ROUND(I206,8)=
ROUND(SUMIFS(Calc_TUV_ENVGroup_2[Citipower],Calc_TUV_ENVGroup_2[[Cost item]:[Cost item]],$D242,Calc_TUV_ENVGroup_2[[Cost element]:[Cost element]],$G242)*($F$188/$F$189),8),
0,1))</f>
        <v>0</v>
      </c>
      <c r="J242" s="94">
        <f>IF(J206="-","-",
IF(
ROUND(J206,8)=
ROUND(SUMIFS(Calc_TUV_ENVGroup_2[Jemena],Calc_TUV_ENVGroup_2[[Cost item]:[Cost item]],$D242,Calc_TUV_ENVGroup_2[[Cost element]:[Cost element]],$G242)*($F$188/$F$189),8),
0,1))</f>
        <v>0</v>
      </c>
      <c r="K242" s="94">
        <f>IF(K206="-","-",
IF(
ROUND(K206,8)=
ROUND(SUMIFS(Calc_TUV_ENVGroup_2[Powercor],Calc_TUV_ENVGroup_2[[Cost item]:[Cost item]],$D242,Calc_TUV_ENVGroup_2[[Cost element]:[Cost element]],$G242)*($F$188/$F$189),8),
0,1))</f>
        <v>0</v>
      </c>
      <c r="L242" s="94">
        <f>IF(L206="-","-",
IF(
ROUND(L206,8)=
ROUND(SUMIFS(Calc_TUV_ENVGroup_2[United Energy],Calc_TUV_ENVGroup_2[[Cost item]:[Cost item]],$D242,Calc_TUV_ENVGroup_2[[Cost element]:[Cost element]],$G242)*($F$188/$F$189),8),
0,1))</f>
        <v>0</v>
      </c>
    </row>
    <row r="243" spans="3:12" ht="15.75" outlineLevel="1" x14ac:dyDescent="0.25">
      <c r="C243" s="60" t="s">
        <v>230</v>
      </c>
      <c r="D243" s="60" t="s">
        <v>532</v>
      </c>
      <c r="E243" s="60" t="s">
        <v>291</v>
      </c>
      <c r="F243" s="60" t="s">
        <v>100</v>
      </c>
      <c r="G243" s="60" t="s">
        <v>160</v>
      </c>
      <c r="H243" s="94">
        <f>IF(H207="-","-",
IF(
ROUND(H207,8)=
ROUND(SUMIFS(Calc_TUV_ENVGroup_2[Ausnet],Calc_TUV_ENVGroup_2[[Cost item]:[Cost item]],$D243,Calc_TUV_ENVGroup_2[[Cost element]:[Cost element]],$G243)*($F$188/$F$189),8),
0,1))</f>
        <v>0</v>
      </c>
      <c r="I243" s="94" t="str">
        <f>IF(I207="-","-",
IF(
ROUND(I207,8)=
ROUND(SUMIFS(Calc_TUV_ENVGroup_2[Citipower],Calc_TUV_ENVGroup_2[[Cost item]:[Cost item]],$D243,Calc_TUV_ENVGroup_2[[Cost element]:[Cost element]],$G243)*($F$188/$F$189),8),
0,1))</f>
        <v>-</v>
      </c>
      <c r="J243" s="94" t="str">
        <f>IF(J207="-","-",
IF(
ROUND(J207,8)=
ROUND(SUMIFS(Calc_TUV_ENVGroup_2[Jemena],Calc_TUV_ENVGroup_2[[Cost item]:[Cost item]],$D243,Calc_TUV_ENVGroup_2[[Cost element]:[Cost element]],$G243)*($F$188/$F$189),8),
0,1))</f>
        <v>-</v>
      </c>
      <c r="K243" s="94" t="str">
        <f>IF(K207="-","-",
IF(
ROUND(K207,8)=
ROUND(SUMIFS(Calc_TUV_ENVGroup_2[Powercor],Calc_TUV_ENVGroup_2[[Cost item]:[Cost item]],$D243,Calc_TUV_ENVGroup_2[[Cost element]:[Cost element]],$G243)*($F$188/$F$189),8),
0,1))</f>
        <v>-</v>
      </c>
      <c r="L243" s="94" t="str">
        <f>IF(L207="-","-",
IF(
ROUND(L207,8)=
ROUND(SUMIFS(Calc_TUV_ENVGroup_2[United Energy],Calc_TUV_ENVGroup_2[[Cost item]:[Cost item]],$D243,Calc_TUV_ENVGroup_2[[Cost element]:[Cost element]],$G243)*($F$188/$F$189),8),
0,1))</f>
        <v>-</v>
      </c>
    </row>
    <row r="244" spans="3:12" ht="15.75" outlineLevel="1" x14ac:dyDescent="0.25">
      <c r="C244" s="60" t="s">
        <v>230</v>
      </c>
      <c r="D244" s="60" t="s">
        <v>532</v>
      </c>
      <c r="E244" s="60" t="s">
        <v>291</v>
      </c>
      <c r="F244" s="60" t="s">
        <v>101</v>
      </c>
      <c r="G244" s="60" t="s">
        <v>160</v>
      </c>
      <c r="H244" s="94">
        <f>IF(H208="-","-",
IF(
ROUND(H208,8)=
ROUND(SUMIFS(Calc_TUV_ENVGroup_2[Ausnet],Calc_TUV_ENVGroup_2[[Cost item]:[Cost item]],$D244,Calc_TUV_ENVGroup_2[[Cost element]:[Cost element]],$G244)*($F$188/$F$189),8),
0,1))</f>
        <v>0</v>
      </c>
      <c r="I244" s="94" t="str">
        <f>IF(I208="-","-",
IF(
ROUND(I208,8)=
ROUND(SUMIFS(Calc_TUV_ENVGroup_2[Citipower],Calc_TUV_ENVGroup_2[[Cost item]:[Cost item]],$D244,Calc_TUV_ENVGroup_2[[Cost element]:[Cost element]],$G244)*($F$188/$F$189),8),
0,1))</f>
        <v>-</v>
      </c>
      <c r="J244" s="94" t="str">
        <f>IF(J208="-","-",
IF(
ROUND(J208,8)=
ROUND(SUMIFS(Calc_TUV_ENVGroup_2[Jemena],Calc_TUV_ENVGroup_2[[Cost item]:[Cost item]],$D244,Calc_TUV_ENVGroup_2[[Cost element]:[Cost element]],$G244)*($F$188/$F$189),8),
0,1))</f>
        <v>-</v>
      </c>
      <c r="K244" s="94" t="str">
        <f>IF(K208="-","-",
IF(
ROUND(K208,8)=
ROUND(SUMIFS(Calc_TUV_ENVGroup_2[Powercor],Calc_TUV_ENVGroup_2[[Cost item]:[Cost item]],$D244,Calc_TUV_ENVGroup_2[[Cost element]:[Cost element]],$G244)*($F$188/$F$189),8),
0,1))</f>
        <v>-</v>
      </c>
      <c r="L244" s="94" t="str">
        <f>IF(L208="-","-",
IF(
ROUND(L208,8)=
ROUND(SUMIFS(Calc_TUV_ENVGroup_2[United Energy],Calc_TUV_ENVGroup_2[[Cost item]:[Cost item]],$D244,Calc_TUV_ENVGroup_2[[Cost element]:[Cost element]],$G244)*($F$188/$F$189),8),
0,1))</f>
        <v>-</v>
      </c>
    </row>
    <row r="245" spans="3:12" ht="15.75" outlineLevel="1" x14ac:dyDescent="0.25">
      <c r="C245" s="60" t="s">
        <v>237</v>
      </c>
      <c r="D245" s="60" t="s">
        <v>532</v>
      </c>
      <c r="E245" s="60" t="s">
        <v>291</v>
      </c>
      <c r="F245" s="60" t="s">
        <v>100</v>
      </c>
      <c r="G245" s="60" t="s">
        <v>160</v>
      </c>
      <c r="H245" s="94">
        <f>IF(H209="-","-",
IF(
ROUND(H209,8)=
ROUND(SUMIFS(Calc_TUV_ENVGroup_2[Ausnet],Calc_TUV_ENVGroup_2[[Cost item]:[Cost item]],$D245,Calc_TUV_ENVGroup_2[[Cost element]:[Cost element]],$G245)*($F$188/$F$189),8),
0,1))</f>
        <v>0</v>
      </c>
      <c r="I245" s="94" t="str">
        <f>IF(I209="-","-",
IF(
ROUND(I209,8)=
ROUND(SUMIFS(Calc_TUV_ENVGroup_2[Citipower],Calc_TUV_ENVGroup_2[[Cost item]:[Cost item]],$D245,Calc_TUV_ENVGroup_2[[Cost element]:[Cost element]],$G245)*($F$188/$F$189),8),
0,1))</f>
        <v>-</v>
      </c>
      <c r="J245" s="94" t="str">
        <f>IF(J209="-","-",
IF(
ROUND(J209,8)=
ROUND(SUMIFS(Calc_TUV_ENVGroup_2[Jemena],Calc_TUV_ENVGroup_2[[Cost item]:[Cost item]],$D245,Calc_TUV_ENVGroup_2[[Cost element]:[Cost element]],$G245)*($F$188/$F$189),8),
0,1))</f>
        <v>-</v>
      </c>
      <c r="K245" s="94" t="str">
        <f>IF(K209="-","-",
IF(
ROUND(K209,8)=
ROUND(SUMIFS(Calc_TUV_ENVGroup_2[Powercor],Calc_TUV_ENVGroup_2[[Cost item]:[Cost item]],$D245,Calc_TUV_ENVGroup_2[[Cost element]:[Cost element]],$G245)*($F$188/$F$189),8),
0,1))</f>
        <v>-</v>
      </c>
      <c r="L245" s="94" t="str">
        <f>IF(L209="-","-",
IF(
ROUND(L209,8)=
ROUND(SUMIFS(Calc_TUV_ENVGroup_2[United Energy],Calc_TUV_ENVGroup_2[[Cost item]:[Cost item]],$D245,Calc_TUV_ENVGroup_2[[Cost element]:[Cost element]],$G245)*($F$188/$F$189),8),
0,1))</f>
        <v>-</v>
      </c>
    </row>
    <row r="246" spans="3:12" ht="15.75" outlineLevel="1" x14ac:dyDescent="0.25">
      <c r="C246" s="60" t="s">
        <v>237</v>
      </c>
      <c r="D246" s="60" t="s">
        <v>532</v>
      </c>
      <c r="E246" s="60" t="s">
        <v>291</v>
      </c>
      <c r="F246" s="60" t="s">
        <v>101</v>
      </c>
      <c r="G246" s="60" t="s">
        <v>160</v>
      </c>
      <c r="H246" s="94">
        <f>IF(H210="-","-",
IF(
ROUND(H210,8)=
ROUND(SUMIFS(Calc_TUV_ENVGroup_2[Ausnet],Calc_TUV_ENVGroup_2[[Cost item]:[Cost item]],$D246,Calc_TUV_ENVGroup_2[[Cost element]:[Cost element]],$G246)*($F$188/$F$189),8),
0,1))</f>
        <v>0</v>
      </c>
      <c r="I246" s="94" t="str">
        <f>IF(I210="-","-",
IF(
ROUND(I210,8)=
ROUND(SUMIFS(Calc_TUV_ENVGroup_2[Citipower],Calc_TUV_ENVGroup_2[[Cost item]:[Cost item]],$D246,Calc_TUV_ENVGroup_2[[Cost element]:[Cost element]],$G246)*($F$188/$F$189),8),
0,1))</f>
        <v>-</v>
      </c>
      <c r="J246" s="94" t="str">
        <f>IF(J210="-","-",
IF(
ROUND(J210,8)=
ROUND(SUMIFS(Calc_TUV_ENVGroup_2[Jemena],Calc_TUV_ENVGroup_2[[Cost item]:[Cost item]],$D246,Calc_TUV_ENVGroup_2[[Cost element]:[Cost element]],$G246)*($F$188/$F$189),8),
0,1))</f>
        <v>-</v>
      </c>
      <c r="K246" s="94" t="str">
        <f>IF(K210="-","-",
IF(
ROUND(K210,8)=
ROUND(SUMIFS(Calc_TUV_ENVGroup_2[Powercor],Calc_TUV_ENVGroup_2[[Cost item]:[Cost item]],$D246,Calc_TUV_ENVGroup_2[[Cost element]:[Cost element]],$G246)*($F$188/$F$189),8),
0,1))</f>
        <v>-</v>
      </c>
      <c r="L246" s="94" t="str">
        <f>IF(L210="-","-",
IF(
ROUND(L210,8)=
ROUND(SUMIFS(Calc_TUV_ENVGroup_2[United Energy],Calc_TUV_ENVGroup_2[[Cost item]:[Cost item]],$D246,Calc_TUV_ENVGroup_2[[Cost element]:[Cost element]],$G246)*($F$188/$F$189),8),
0,1))</f>
        <v>-</v>
      </c>
    </row>
    <row r="247" spans="3:12" ht="15.75" outlineLevel="1" x14ac:dyDescent="0.25">
      <c r="C247" s="60" t="s">
        <v>296</v>
      </c>
      <c r="D247" s="60" t="s">
        <v>532</v>
      </c>
      <c r="E247" s="60" t="s">
        <v>291</v>
      </c>
      <c r="F247" s="60" t="s">
        <v>100</v>
      </c>
      <c r="G247" s="60" t="s">
        <v>160</v>
      </c>
      <c r="H247" s="94">
        <f>IF(H211="-","-",
IF(
ROUND(H211,8)=
ROUND(SUMIFS(Calc_TUV_ENVGroup_2[Ausnet],Calc_TUV_ENVGroup_2[[Cost item]:[Cost item]],$D247,Calc_TUV_ENVGroup_2[[Cost element]:[Cost element]],$G247)*($F$188/$F$189),8),
0,1))</f>
        <v>0</v>
      </c>
      <c r="I247" s="94">
        <f>IF(I211="-","-",
IF(
ROUND(I211,8)=
ROUND(SUMIFS(Calc_TUV_ENVGroup_2[Citipower],Calc_TUV_ENVGroup_2[[Cost item]:[Cost item]],$D247,Calc_TUV_ENVGroup_2[[Cost element]:[Cost element]],$G247)*($F$188/$F$189),8),
0,1))</f>
        <v>0</v>
      </c>
      <c r="J247" s="94">
        <f>IF(J211="-","-",
IF(
ROUND(J211,8)=
ROUND(SUMIFS(Calc_TUV_ENVGroup_2[Jemena],Calc_TUV_ENVGroup_2[[Cost item]:[Cost item]],$D247,Calc_TUV_ENVGroup_2[[Cost element]:[Cost element]],$G247)*($F$188/$F$189),8),
0,1))</f>
        <v>0</v>
      </c>
      <c r="K247" s="94">
        <f>IF(K211="-","-",
IF(
ROUND(K211,8)=
ROUND(SUMIFS(Calc_TUV_ENVGroup_2[Powercor],Calc_TUV_ENVGroup_2[[Cost item]:[Cost item]],$D247,Calc_TUV_ENVGroup_2[[Cost element]:[Cost element]],$G247)*($F$188/$F$189),8),
0,1))</f>
        <v>0</v>
      </c>
      <c r="L247" s="94">
        <f>IF(L211="-","-",
IF(
ROUND(L211,8)=
ROUND(SUMIFS(Calc_TUV_ENVGroup_2[United Energy],Calc_TUV_ENVGroup_2[[Cost item]:[Cost item]],$D247,Calc_TUV_ENVGroup_2[[Cost element]:[Cost element]],$G247)*($F$188/$F$189),8),
0,1))</f>
        <v>0</v>
      </c>
    </row>
    <row r="248" spans="3:12" ht="15.75" outlineLevel="1" x14ac:dyDescent="0.25">
      <c r="C248" s="60" t="s">
        <v>239</v>
      </c>
      <c r="D248" s="60" t="s">
        <v>532</v>
      </c>
      <c r="E248" s="60" t="s">
        <v>291</v>
      </c>
      <c r="F248" s="60" t="s">
        <v>100</v>
      </c>
      <c r="G248" s="60" t="s">
        <v>160</v>
      </c>
      <c r="H248" s="94">
        <f>IF(H212="-","-",
IF(
ROUND(H212,8)=
ROUND(SUMIFS(Calc_TUV_ENVGroup_2[Ausnet],Calc_TUV_ENVGroup_2[[Cost item]:[Cost item]],$D248,Calc_TUV_ENVGroup_2[[Cost element]:[Cost element]],$G248)*($F$188/$F$189),8),
0,1))</f>
        <v>0</v>
      </c>
      <c r="I248" s="94">
        <f>IF(I212="-","-",
IF(
ROUND(I212,8)=
ROUND(SUMIFS(Calc_TUV_ENVGroup_2[Citipower],Calc_TUV_ENVGroup_2[[Cost item]:[Cost item]],$D248,Calc_TUV_ENVGroup_2[[Cost element]:[Cost element]],$G248)*($F$188/$F$189),8),
0,1))</f>
        <v>0</v>
      </c>
      <c r="J248" s="94">
        <f>IF(J212="-","-",
IF(
ROUND(J212,8)=
ROUND(SUMIFS(Calc_TUV_ENVGroup_2[Jemena],Calc_TUV_ENVGroup_2[[Cost item]:[Cost item]],$D248,Calc_TUV_ENVGroup_2[[Cost element]:[Cost element]],$G248)*($F$188/$F$189),8),
0,1))</f>
        <v>0</v>
      </c>
      <c r="K248" s="94">
        <f>IF(K212="-","-",
IF(
ROUND(K212,8)=
ROUND(SUMIFS(Calc_TUV_ENVGroup_2[Powercor],Calc_TUV_ENVGroup_2[[Cost item]:[Cost item]],$D248,Calc_TUV_ENVGroup_2[[Cost element]:[Cost element]],$G248)*($F$188/$F$189),8),
0,1))</f>
        <v>0</v>
      </c>
      <c r="L248" s="94">
        <f>IF(L212="-","-",
IF(
ROUND(L212,8)=
ROUND(SUMIFS(Calc_TUV_ENVGroup_2[United Energy],Calc_TUV_ENVGroup_2[[Cost item]:[Cost item]],$D248,Calc_TUV_ENVGroup_2[[Cost element]:[Cost element]],$G248)*($F$188/$F$189),8),
0,1))</f>
        <v>0</v>
      </c>
    </row>
    <row r="249" spans="3:12" ht="15.75" outlineLevel="1" x14ac:dyDescent="0.25">
      <c r="C249" s="60" t="s">
        <v>239</v>
      </c>
      <c r="D249" s="60" t="s">
        <v>532</v>
      </c>
      <c r="E249" s="60" t="s">
        <v>291</v>
      </c>
      <c r="F249" s="60" t="s">
        <v>101</v>
      </c>
      <c r="G249" s="60" t="s">
        <v>160</v>
      </c>
      <c r="H249" s="94">
        <f>IF(H213="-","-",
IF(
ROUND(H213,8)=
ROUND(SUMIFS(Calc_TUV_ENVGroup_2[Ausnet],Calc_TUV_ENVGroup_2[[Cost item]:[Cost item]],$D249,Calc_TUV_ENVGroup_2[[Cost element]:[Cost element]],$G249)*($F$188/$F$189),8),
0,1))</f>
        <v>0</v>
      </c>
      <c r="I249" s="94">
        <f>IF(I213="-","-",
IF(
ROUND(I213,8)=
ROUND(SUMIFS(Calc_TUV_ENVGroup_2[Citipower],Calc_TUV_ENVGroup_2[[Cost item]:[Cost item]],$D249,Calc_TUV_ENVGroup_2[[Cost element]:[Cost element]],$G249)*($F$188/$F$189),8),
0,1))</f>
        <v>0</v>
      </c>
      <c r="J249" s="94">
        <f>IF(J213="-","-",
IF(
ROUND(J213,8)=
ROUND(SUMIFS(Calc_TUV_ENVGroup_2[Jemena],Calc_TUV_ENVGroup_2[[Cost item]:[Cost item]],$D249,Calc_TUV_ENVGroup_2[[Cost element]:[Cost element]],$G249)*($F$188/$F$189),8),
0,1))</f>
        <v>0</v>
      </c>
      <c r="K249" s="94">
        <f>IF(K213="-","-",
IF(
ROUND(K213,8)=
ROUND(SUMIFS(Calc_TUV_ENVGroup_2[Powercor],Calc_TUV_ENVGroup_2[[Cost item]:[Cost item]],$D249,Calc_TUV_ENVGroup_2[[Cost element]:[Cost element]],$G249)*($F$188/$F$189),8),
0,1))</f>
        <v>0</v>
      </c>
      <c r="L249" s="94">
        <f>IF(L213="-","-",
IF(
ROUND(L213,8)=
ROUND(SUMIFS(Calc_TUV_ENVGroup_2[United Energy],Calc_TUV_ENVGroup_2[[Cost item]:[Cost item]],$D249,Calc_TUV_ENVGroup_2[[Cost element]:[Cost element]],$G249)*($F$188/$F$189),8),
0,1))</f>
        <v>0</v>
      </c>
    </row>
    <row r="250" spans="3:12" ht="15.75" outlineLevel="1" x14ac:dyDescent="0.25">
      <c r="C250" s="60" t="s">
        <v>538</v>
      </c>
      <c r="D250" s="60" t="s">
        <v>532</v>
      </c>
      <c r="E250" s="60" t="s">
        <v>291</v>
      </c>
      <c r="F250" s="60" t="s">
        <v>100</v>
      </c>
      <c r="G250" s="60" t="s">
        <v>160</v>
      </c>
      <c r="H250" s="94">
        <f>IF(H214="-","-",
IF(
ROUND(H214,8)=
ROUND(SUMIFS(Calc_TUV_ENVGroup_2[Ausnet],Calc_TUV_ENVGroup_2[[Cost item]:[Cost item]],$D250,Calc_TUV_ENVGroup_2[[Cost element]:[Cost element]],$G250)*($F$188/$F$189),8),
0,1))</f>
        <v>0</v>
      </c>
      <c r="I250" s="94">
        <f>IF(I214="-","-",
IF(
ROUND(I214,8)=
ROUND(SUMIFS(Calc_TUV_ENVGroup_2[Citipower],Calc_TUV_ENVGroup_2[[Cost item]:[Cost item]],$D250,Calc_TUV_ENVGroup_2[[Cost element]:[Cost element]],$G250)*($F$188/$F$189),8),
0,1))</f>
        <v>0</v>
      </c>
      <c r="J250" s="94">
        <f>IF(J214="-","-",
IF(
ROUND(J214,8)=
ROUND(SUMIFS(Calc_TUV_ENVGroup_2[Jemena],Calc_TUV_ENVGroup_2[[Cost item]:[Cost item]],$D250,Calc_TUV_ENVGroup_2[[Cost element]:[Cost element]],$G250)*($F$188/$F$189),8),
0,1))</f>
        <v>0</v>
      </c>
      <c r="K250" s="94">
        <f>IF(K214="-","-",
IF(
ROUND(K214,8)=
ROUND(SUMIFS(Calc_TUV_ENVGroup_2[Powercor],Calc_TUV_ENVGroup_2[[Cost item]:[Cost item]],$D250,Calc_TUV_ENVGroup_2[[Cost element]:[Cost element]],$G250)*($F$188/$F$189),8),
0,1))</f>
        <v>0</v>
      </c>
      <c r="L250" s="94">
        <f>IF(L214="-","-",
IF(
ROUND(L214,8)=
ROUND(SUMIFS(Calc_TUV_ENVGroup_2[United Energy],Calc_TUV_ENVGroup_2[[Cost item]:[Cost item]],$D250,Calc_TUV_ENVGroup_2[[Cost element]:[Cost element]],$G250)*($F$188/$F$189),8),
0,1))</f>
        <v>0</v>
      </c>
    </row>
    <row r="251" spans="3:12" ht="15.75" outlineLevel="1" x14ac:dyDescent="0.25">
      <c r="C251" s="60" t="s">
        <v>538</v>
      </c>
      <c r="D251" s="60" t="s">
        <v>532</v>
      </c>
      <c r="E251" s="60" t="s">
        <v>291</v>
      </c>
      <c r="F251" s="60" t="s">
        <v>101</v>
      </c>
      <c r="G251" s="60" t="s">
        <v>160</v>
      </c>
      <c r="H251" s="94">
        <f>IF(H215="-","-",
IF(
ROUND(H215,8)=
ROUND(SUMIFS(Calc_TUV_ENVGroup_2[Ausnet],Calc_TUV_ENVGroup_2[[Cost item]:[Cost item]],$D251,Calc_TUV_ENVGroup_2[[Cost element]:[Cost element]],$G251)*($F$188/$F$189),8),
0,1))</f>
        <v>0</v>
      </c>
      <c r="I251" s="94">
        <f>IF(I215="-","-",
IF(
ROUND(I215,8)=
ROUND(SUMIFS(Calc_TUV_ENVGroup_2[Citipower],Calc_TUV_ENVGroup_2[[Cost item]:[Cost item]],$D251,Calc_TUV_ENVGroup_2[[Cost element]:[Cost element]],$G251)*($F$188/$F$189),8),
0,1))</f>
        <v>0</v>
      </c>
      <c r="J251" s="94">
        <f>IF(J215="-","-",
IF(
ROUND(J215,8)=
ROUND(SUMIFS(Calc_TUV_ENVGroup_2[Jemena],Calc_TUV_ENVGroup_2[[Cost item]:[Cost item]],$D251,Calc_TUV_ENVGroup_2[[Cost element]:[Cost element]],$G251)*($F$188/$F$189),8),
0,1))</f>
        <v>0</v>
      </c>
      <c r="K251" s="94">
        <f>IF(K215="-","-",
IF(
ROUND(K215,8)=
ROUND(SUMIFS(Calc_TUV_ENVGroup_2[Powercor],Calc_TUV_ENVGroup_2[[Cost item]:[Cost item]],$D251,Calc_TUV_ENVGroup_2[[Cost element]:[Cost element]],$G251)*($F$188/$F$189),8),
0,1))</f>
        <v>0</v>
      </c>
      <c r="L251" s="94">
        <f>IF(L215="-","-",
IF(
ROUND(L215,8)=
ROUND(SUMIFS(Calc_TUV_ENVGroup_2[United Energy],Calc_TUV_ENVGroup_2[[Cost item]:[Cost item]],$D251,Calc_TUV_ENVGroup_2[[Cost element]:[Cost element]],$G251)*($F$188/$F$189),8),
0,1))</f>
        <v>0</v>
      </c>
    </row>
    <row r="252" spans="3:12" ht="15.75" outlineLevel="1" x14ac:dyDescent="0.25">
      <c r="C252" s="60" t="s">
        <v>508</v>
      </c>
      <c r="D252" s="60" t="s">
        <v>533</v>
      </c>
      <c r="E252" s="60" t="s">
        <v>291</v>
      </c>
      <c r="F252" s="60" t="s">
        <v>100</v>
      </c>
      <c r="G252" s="60" t="s">
        <v>160</v>
      </c>
      <c r="H252" s="94" t="str">
        <f>IF(H216="-","-",
IF(
ROUND(H216,8)=
ROUND(SUMIFS(Calc_TUV_ENVGroup_2[Ausnet],Calc_TUV_ENVGroup_2[[Cost item]:[Cost item]],$D252,Calc_TUV_ENVGroup_2[[Cost element]:[Cost element]],$G252)*($F$188/$F$189),8),
0,1))</f>
        <v>-</v>
      </c>
      <c r="I252" s="94">
        <f>IF(I216="-","-",
IF(
ROUND(I216,8)=
ROUND(SUMIFS(Calc_TUV_ENVGroup_2[Citipower],Calc_TUV_ENVGroup_2[[Cost item]:[Cost item]],$D252,Calc_TUV_ENVGroup_2[[Cost element]:[Cost element]],$G252)*($F$188/$F$189),8),
0,1))</f>
        <v>0</v>
      </c>
      <c r="J252" s="94">
        <f>IF(J216="-","-",
IF(
ROUND(J216,8)=
ROUND(SUMIFS(Calc_TUV_ENVGroup_2[Jemena],Calc_TUV_ENVGroup_2[[Cost item]:[Cost item]],$D252,Calc_TUV_ENVGroup_2[[Cost element]:[Cost element]],$G252)*($F$188/$F$189),8),
0,1))</f>
        <v>0</v>
      </c>
      <c r="K252" s="94">
        <f>IF(K216="-","-",
IF(
ROUND(K216,8)=
ROUND(SUMIFS(Calc_TUV_ENVGroup_2[Powercor],Calc_TUV_ENVGroup_2[[Cost item]:[Cost item]],$D252,Calc_TUV_ENVGroup_2[[Cost element]:[Cost element]],$G252)*($F$188/$F$189),8),
0,1))</f>
        <v>0</v>
      </c>
      <c r="L252" s="94">
        <f>IF(L216="-","-",
IF(
ROUND(L216,8)=
ROUND(SUMIFS(Calc_TUV_ENVGroup_2[United Energy],Calc_TUV_ENVGroup_2[[Cost item]:[Cost item]],$D252,Calc_TUV_ENVGroup_2[[Cost element]:[Cost element]],$G252)*($F$188/$F$189),8),
0,1))</f>
        <v>0</v>
      </c>
    </row>
    <row r="253" spans="3:12" ht="15.75" outlineLevel="1" x14ac:dyDescent="0.25">
      <c r="C253" s="60" t="s">
        <v>508</v>
      </c>
      <c r="D253" s="60" t="s">
        <v>533</v>
      </c>
      <c r="E253" s="60" t="s">
        <v>291</v>
      </c>
      <c r="F253" s="60" t="s">
        <v>101</v>
      </c>
      <c r="G253" s="60" t="s">
        <v>160</v>
      </c>
      <c r="H253" s="94" t="str">
        <f>IF(H217="-","-",
IF(
ROUND(H217,8)=
ROUND(SUMIFS(Calc_TUV_ENVGroup_2[Ausnet],Calc_TUV_ENVGroup_2[[Cost item]:[Cost item]],$D253,Calc_TUV_ENVGroup_2[[Cost element]:[Cost element]],$G253)*($F$188/$F$189),8),
0,1))</f>
        <v>-</v>
      </c>
      <c r="I253" s="94">
        <f>IF(I217="-","-",
IF(
ROUND(I217,8)=
ROUND(SUMIFS(Calc_TUV_ENVGroup_2[Citipower],Calc_TUV_ENVGroup_2[[Cost item]:[Cost item]],$D253,Calc_TUV_ENVGroup_2[[Cost element]:[Cost element]],$G253)*($F$188/$F$189),8),
0,1))</f>
        <v>0</v>
      </c>
      <c r="J253" s="94">
        <f>IF(J217="-","-",
IF(
ROUND(J217,8)=
ROUND(SUMIFS(Calc_TUV_ENVGroup_2[Jemena],Calc_TUV_ENVGroup_2[[Cost item]:[Cost item]],$D253,Calc_TUV_ENVGroup_2[[Cost element]:[Cost element]],$G253)*($F$188/$F$189),8),
0,1))</f>
        <v>0</v>
      </c>
      <c r="K253" s="94">
        <f>IF(K217="-","-",
IF(
ROUND(K217,8)=
ROUND(SUMIFS(Calc_TUV_ENVGroup_2[Powercor],Calc_TUV_ENVGroup_2[[Cost item]:[Cost item]],$D253,Calc_TUV_ENVGroup_2[[Cost element]:[Cost element]],$G253)*($F$188/$F$189),8),
0,1))</f>
        <v>0</v>
      </c>
      <c r="L253" s="94">
        <f>IF(L217="-","-",
IF(
ROUND(L217,8)=
ROUND(SUMIFS(Calc_TUV_ENVGroup_2[United Energy],Calc_TUV_ENVGroup_2[[Cost item]:[Cost item]],$D253,Calc_TUV_ENVGroup_2[[Cost element]:[Cost element]],$G253)*($F$188/$F$189),8),
0,1))</f>
        <v>0</v>
      </c>
    </row>
    <row r="254" spans="3:12" ht="15.75" outlineLevel="1" x14ac:dyDescent="0.25">
      <c r="C254" s="60" t="s">
        <v>230</v>
      </c>
      <c r="D254" s="60" t="s">
        <v>533</v>
      </c>
      <c r="E254" s="60" t="s">
        <v>291</v>
      </c>
      <c r="F254" s="60" t="s">
        <v>100</v>
      </c>
      <c r="G254" s="60" t="s">
        <v>160</v>
      </c>
      <c r="H254" s="94">
        <f>IF(H218="-","-",
IF(
ROUND(H218,8)=
ROUND(SUMIFS(Calc_TUV_ENVGroup_2[Ausnet],Calc_TUV_ENVGroup_2[[Cost item]:[Cost item]],$D254,Calc_TUV_ENVGroup_2[[Cost element]:[Cost element]],$G254)*($F$188/$F$189),8),
0,1))</f>
        <v>0</v>
      </c>
      <c r="I254" s="94" t="str">
        <f>IF(I218="-","-",
IF(
ROUND(I218,8)=
ROUND(SUMIFS(Calc_TUV_ENVGroup_2[Citipower],Calc_TUV_ENVGroup_2[[Cost item]:[Cost item]],$D254,Calc_TUV_ENVGroup_2[[Cost element]:[Cost element]],$G254)*($F$188/$F$189),8),
0,1))</f>
        <v>-</v>
      </c>
      <c r="J254" s="94" t="str">
        <f>IF(J218="-","-",
IF(
ROUND(J218,8)=
ROUND(SUMIFS(Calc_TUV_ENVGroup_2[Jemena],Calc_TUV_ENVGroup_2[[Cost item]:[Cost item]],$D254,Calc_TUV_ENVGroup_2[[Cost element]:[Cost element]],$G254)*($F$188/$F$189),8),
0,1))</f>
        <v>-</v>
      </c>
      <c r="K254" s="94" t="str">
        <f>IF(K218="-","-",
IF(
ROUND(K218,8)=
ROUND(SUMIFS(Calc_TUV_ENVGroup_2[Powercor],Calc_TUV_ENVGroup_2[[Cost item]:[Cost item]],$D254,Calc_TUV_ENVGroup_2[[Cost element]:[Cost element]],$G254)*($F$188/$F$189),8),
0,1))</f>
        <v>-</v>
      </c>
      <c r="L254" s="94" t="str">
        <f>IF(L218="-","-",
IF(
ROUND(L218,8)=
ROUND(SUMIFS(Calc_TUV_ENVGroup_2[United Energy],Calc_TUV_ENVGroup_2[[Cost item]:[Cost item]],$D254,Calc_TUV_ENVGroup_2[[Cost element]:[Cost element]],$G254)*($F$188/$F$189),8),
0,1))</f>
        <v>-</v>
      </c>
    </row>
    <row r="255" spans="3:12" ht="15.75" outlineLevel="1" x14ac:dyDescent="0.25">
      <c r="C255" s="60" t="s">
        <v>230</v>
      </c>
      <c r="D255" s="60" t="s">
        <v>533</v>
      </c>
      <c r="E255" s="60" t="s">
        <v>291</v>
      </c>
      <c r="F255" s="60" t="s">
        <v>101</v>
      </c>
      <c r="G255" s="60" t="s">
        <v>160</v>
      </c>
      <c r="H255" s="94">
        <f>IF(H219="-","-",
IF(
ROUND(H219,8)=
ROUND(SUMIFS(Calc_TUV_ENVGroup_2[Ausnet],Calc_TUV_ENVGroup_2[[Cost item]:[Cost item]],$D255,Calc_TUV_ENVGroup_2[[Cost element]:[Cost element]],$G255)*($F$188/$F$189),8),
0,1))</f>
        <v>0</v>
      </c>
      <c r="I255" s="94" t="str">
        <f>IF(I219="-","-",
IF(
ROUND(I219,8)=
ROUND(SUMIFS(Calc_TUV_ENVGroup_2[Citipower],Calc_TUV_ENVGroup_2[[Cost item]:[Cost item]],$D255,Calc_TUV_ENVGroup_2[[Cost element]:[Cost element]],$G255)*($F$188/$F$189),8),
0,1))</f>
        <v>-</v>
      </c>
      <c r="J255" s="94" t="str">
        <f>IF(J219="-","-",
IF(
ROUND(J219,8)=
ROUND(SUMIFS(Calc_TUV_ENVGroup_2[Jemena],Calc_TUV_ENVGroup_2[[Cost item]:[Cost item]],$D255,Calc_TUV_ENVGroup_2[[Cost element]:[Cost element]],$G255)*($F$188/$F$189),8),
0,1))</f>
        <v>-</v>
      </c>
      <c r="K255" s="94" t="str">
        <f>IF(K219="-","-",
IF(
ROUND(K219,8)=
ROUND(SUMIFS(Calc_TUV_ENVGroup_2[Powercor],Calc_TUV_ENVGroup_2[[Cost item]:[Cost item]],$D255,Calc_TUV_ENVGroup_2[[Cost element]:[Cost element]],$G255)*($F$188/$F$189),8),
0,1))</f>
        <v>-</v>
      </c>
      <c r="L255" s="94" t="str">
        <f>IF(L219="-","-",
IF(
ROUND(L219,8)=
ROUND(SUMIFS(Calc_TUV_ENVGroup_2[United Energy],Calc_TUV_ENVGroup_2[[Cost item]:[Cost item]],$D255,Calc_TUV_ENVGroup_2[[Cost element]:[Cost element]],$G255)*($F$188/$F$189),8),
0,1))</f>
        <v>-</v>
      </c>
    </row>
    <row r="256" spans="3:12" ht="15.75" outlineLevel="1" x14ac:dyDescent="0.25">
      <c r="C256" s="60" t="s">
        <v>296</v>
      </c>
      <c r="D256" s="60" t="s">
        <v>533</v>
      </c>
      <c r="E256" s="60" t="s">
        <v>291</v>
      </c>
      <c r="F256" s="60" t="s">
        <v>100</v>
      </c>
      <c r="G256" s="60" t="s">
        <v>160</v>
      </c>
      <c r="H256" s="94">
        <f>IF(H220="-","-",
IF(
ROUND(H220,8)=
ROUND(SUMIFS(Calc_TUV_ENVGroup_2[Ausnet],Calc_TUV_ENVGroup_2[[Cost item]:[Cost item]],$D256,Calc_TUV_ENVGroup_2[[Cost element]:[Cost element]],$G256)*($F$188/$F$189),8),
0,1))</f>
        <v>0</v>
      </c>
      <c r="I256" s="94">
        <f>IF(I220="-","-",
IF(
ROUND(I220,8)=
ROUND(SUMIFS(Calc_TUV_ENVGroup_2[Citipower],Calc_TUV_ENVGroup_2[[Cost item]:[Cost item]],$D256,Calc_TUV_ENVGroup_2[[Cost element]:[Cost element]],$G256)*($F$188/$F$189),8),
0,1))</f>
        <v>0</v>
      </c>
      <c r="J256" s="94">
        <f>IF(J220="-","-",
IF(
ROUND(J220,8)=
ROUND(SUMIFS(Calc_TUV_ENVGroup_2[Jemena],Calc_TUV_ENVGroup_2[[Cost item]:[Cost item]],$D256,Calc_TUV_ENVGroup_2[[Cost element]:[Cost element]],$G256)*($F$188/$F$189),8),
0,1))</f>
        <v>0</v>
      </c>
      <c r="K256" s="94">
        <f>IF(K220="-","-",
IF(
ROUND(K220,8)=
ROUND(SUMIFS(Calc_TUV_ENVGroup_2[Powercor],Calc_TUV_ENVGroup_2[[Cost item]:[Cost item]],$D256,Calc_TUV_ENVGroup_2[[Cost element]:[Cost element]],$G256)*($F$188/$F$189),8),
0,1))</f>
        <v>0</v>
      </c>
      <c r="L256" s="94">
        <f>IF(L220="-","-",
IF(
ROUND(L220,8)=
ROUND(SUMIFS(Calc_TUV_ENVGroup_2[United Energy],Calc_TUV_ENVGroup_2[[Cost item]:[Cost item]],$D256,Calc_TUV_ENVGroup_2[[Cost element]:[Cost element]],$G256)*($F$188/$F$189),8),
0,1))</f>
        <v>0</v>
      </c>
    </row>
    <row r="257" spans="3:12" ht="15.75" outlineLevel="1" x14ac:dyDescent="0.25">
      <c r="C257" s="60" t="s">
        <v>237</v>
      </c>
      <c r="D257" s="60" t="s">
        <v>533</v>
      </c>
      <c r="E257" s="60" t="s">
        <v>291</v>
      </c>
      <c r="F257" s="60" t="s">
        <v>100</v>
      </c>
      <c r="G257" s="60" t="s">
        <v>160</v>
      </c>
      <c r="H257" s="94">
        <f>IF(H221="-","-",
IF(
ROUND(H221,8)=
ROUND(SUMIFS(Calc_TUV_ENVGroup_2[Ausnet],Calc_TUV_ENVGroup_2[[Cost item]:[Cost item]],$D257,Calc_TUV_ENVGroup_2[[Cost element]:[Cost element]],$G257)*($F$188/$F$189),8),
0,1))</f>
        <v>0</v>
      </c>
      <c r="I257" s="94" t="str">
        <f>IF(I221="-","-",
IF(
ROUND(I221,8)=
ROUND(SUMIFS(Calc_TUV_ENVGroup_2[Citipower],Calc_TUV_ENVGroup_2[[Cost item]:[Cost item]],$D257,Calc_TUV_ENVGroup_2[[Cost element]:[Cost element]],$G257)*($F$188/$F$189),8),
0,1))</f>
        <v>-</v>
      </c>
      <c r="J257" s="94" t="str">
        <f>IF(J221="-","-",
IF(
ROUND(J221,8)=
ROUND(SUMIFS(Calc_TUV_ENVGroup_2[Jemena],Calc_TUV_ENVGroup_2[[Cost item]:[Cost item]],$D257,Calc_TUV_ENVGroup_2[[Cost element]:[Cost element]],$G257)*($F$188/$F$189),8),
0,1))</f>
        <v>-</v>
      </c>
      <c r="K257" s="94" t="str">
        <f>IF(K221="-","-",
IF(
ROUND(K221,8)=
ROUND(SUMIFS(Calc_TUV_ENVGroup_2[Powercor],Calc_TUV_ENVGroup_2[[Cost item]:[Cost item]],$D257,Calc_TUV_ENVGroup_2[[Cost element]:[Cost element]],$G257)*($F$188/$F$189),8),
0,1))</f>
        <v>-</v>
      </c>
      <c r="L257" s="94" t="str">
        <f>IF(L221="-","-",
IF(
ROUND(L221,8)=
ROUND(SUMIFS(Calc_TUV_ENVGroup_2[United Energy],Calc_TUV_ENVGroup_2[[Cost item]:[Cost item]],$D257,Calc_TUV_ENVGroup_2[[Cost element]:[Cost element]],$G257)*($F$188/$F$189),8),
0,1))</f>
        <v>-</v>
      </c>
    </row>
    <row r="258" spans="3:12" ht="15.75" outlineLevel="1" x14ac:dyDescent="0.25">
      <c r="C258" s="60" t="s">
        <v>237</v>
      </c>
      <c r="D258" s="60" t="s">
        <v>533</v>
      </c>
      <c r="E258" s="60" t="s">
        <v>291</v>
      </c>
      <c r="F258" s="60" t="s">
        <v>101</v>
      </c>
      <c r="G258" s="60" t="s">
        <v>160</v>
      </c>
      <c r="H258" s="94">
        <f>IF(H222="-","-",
IF(
ROUND(H222,8)=
ROUND(SUMIFS(Calc_TUV_ENVGroup_2[Ausnet],Calc_TUV_ENVGroup_2[[Cost item]:[Cost item]],$D258,Calc_TUV_ENVGroup_2[[Cost element]:[Cost element]],$G258)*($F$188/$F$189),8),
0,1))</f>
        <v>0</v>
      </c>
      <c r="I258" s="94" t="str">
        <f>IF(I222="-","-",
IF(
ROUND(I222,8)=
ROUND(SUMIFS(Calc_TUV_ENVGroup_2[Citipower],Calc_TUV_ENVGroup_2[[Cost item]:[Cost item]],$D258,Calc_TUV_ENVGroup_2[[Cost element]:[Cost element]],$G258)*($F$188/$F$189),8),
0,1))</f>
        <v>-</v>
      </c>
      <c r="J258" s="94" t="str">
        <f>IF(J222="-","-",
IF(
ROUND(J222,8)=
ROUND(SUMIFS(Calc_TUV_ENVGroup_2[Jemena],Calc_TUV_ENVGroup_2[[Cost item]:[Cost item]],$D258,Calc_TUV_ENVGroup_2[[Cost element]:[Cost element]],$G258)*($F$188/$F$189),8),
0,1))</f>
        <v>-</v>
      </c>
      <c r="K258" s="94" t="str">
        <f>IF(K222="-","-",
IF(
ROUND(K222,8)=
ROUND(SUMIFS(Calc_TUV_ENVGroup_2[Powercor],Calc_TUV_ENVGroup_2[[Cost item]:[Cost item]],$D258,Calc_TUV_ENVGroup_2[[Cost element]:[Cost element]],$G258)*($F$188/$F$189),8),
0,1))</f>
        <v>-</v>
      </c>
      <c r="L258" s="94" t="str">
        <f>IF(L222="-","-",
IF(
ROUND(L222,8)=
ROUND(SUMIFS(Calc_TUV_ENVGroup_2[United Energy],Calc_TUV_ENVGroup_2[[Cost item]:[Cost item]],$D258,Calc_TUV_ENVGroup_2[[Cost element]:[Cost element]],$G258)*($F$188/$F$189),8),
0,1))</f>
        <v>-</v>
      </c>
    </row>
    <row r="259" spans="3:12" ht="15.75" outlineLevel="1" x14ac:dyDescent="0.25">
      <c r="C259" s="60" t="s">
        <v>239</v>
      </c>
      <c r="D259" s="60" t="s">
        <v>533</v>
      </c>
      <c r="E259" s="60" t="s">
        <v>291</v>
      </c>
      <c r="F259" s="60" t="s">
        <v>100</v>
      </c>
      <c r="G259" s="60" t="s">
        <v>160</v>
      </c>
      <c r="H259" s="94">
        <f>IF(H223="-","-",
IF(
ROUND(H223,8)=
ROUND(SUMIFS(Calc_TUV_ENVGroup_2[Ausnet],Calc_TUV_ENVGroup_2[[Cost item]:[Cost item]],$D259,Calc_TUV_ENVGroup_2[[Cost element]:[Cost element]],$G259)*($F$188/$F$189),8),
0,1))</f>
        <v>0</v>
      </c>
      <c r="I259" s="94">
        <f>IF(I223="-","-",
IF(
ROUND(I223,8)=
ROUND(SUMIFS(Calc_TUV_ENVGroup_2[Citipower],Calc_TUV_ENVGroup_2[[Cost item]:[Cost item]],$D259,Calc_TUV_ENVGroup_2[[Cost element]:[Cost element]],$G259)*($F$188/$F$189),8),
0,1))</f>
        <v>0</v>
      </c>
      <c r="J259" s="94">
        <f>IF(J223="-","-",
IF(
ROUND(J223,8)=
ROUND(SUMIFS(Calc_TUV_ENVGroup_2[Jemena],Calc_TUV_ENVGroup_2[[Cost item]:[Cost item]],$D259,Calc_TUV_ENVGroup_2[[Cost element]:[Cost element]],$G259)*($F$188/$F$189),8),
0,1))</f>
        <v>0</v>
      </c>
      <c r="K259" s="94">
        <f>IF(K223="-","-",
IF(
ROUND(K223,8)=
ROUND(SUMIFS(Calc_TUV_ENVGroup_2[Powercor],Calc_TUV_ENVGroup_2[[Cost item]:[Cost item]],$D259,Calc_TUV_ENVGroup_2[[Cost element]:[Cost element]],$G259)*($F$188/$F$189),8),
0,1))</f>
        <v>0</v>
      </c>
      <c r="L259" s="94">
        <f>IF(L223="-","-",
IF(
ROUND(L223,8)=
ROUND(SUMIFS(Calc_TUV_ENVGroup_2[United Energy],Calc_TUV_ENVGroup_2[[Cost item]:[Cost item]],$D259,Calc_TUV_ENVGroup_2[[Cost element]:[Cost element]],$G259)*($F$188/$F$189),8),
0,1))</f>
        <v>0</v>
      </c>
    </row>
    <row r="260" spans="3:12" ht="15.75" outlineLevel="1" x14ac:dyDescent="0.25">
      <c r="C260" s="60" t="s">
        <v>239</v>
      </c>
      <c r="D260" s="60" t="s">
        <v>533</v>
      </c>
      <c r="E260" s="60" t="s">
        <v>291</v>
      </c>
      <c r="F260" s="60" t="s">
        <v>101</v>
      </c>
      <c r="G260" s="60" t="s">
        <v>160</v>
      </c>
      <c r="H260" s="94">
        <f>IF(H224="-","-",
IF(
ROUND(H224,8)=
ROUND(SUMIFS(Calc_TUV_ENVGroup_2[Ausnet],Calc_TUV_ENVGroup_2[[Cost item]:[Cost item]],$D260,Calc_TUV_ENVGroup_2[[Cost element]:[Cost element]],$G260)*($F$188/$F$189),8),
0,1))</f>
        <v>0</v>
      </c>
      <c r="I260" s="94">
        <f>IF(I224="-","-",
IF(
ROUND(I224,8)=
ROUND(SUMIFS(Calc_TUV_ENVGroup_2[Citipower],Calc_TUV_ENVGroup_2[[Cost item]:[Cost item]],$D260,Calc_TUV_ENVGroup_2[[Cost element]:[Cost element]],$G260)*($F$188/$F$189),8),
0,1))</f>
        <v>0</v>
      </c>
      <c r="J260" s="94">
        <f>IF(J224="-","-",
IF(
ROUND(J224,8)=
ROUND(SUMIFS(Calc_TUV_ENVGroup_2[Jemena],Calc_TUV_ENVGroup_2[[Cost item]:[Cost item]],$D260,Calc_TUV_ENVGroup_2[[Cost element]:[Cost element]],$G260)*($F$188/$F$189),8),
0,1))</f>
        <v>0</v>
      </c>
      <c r="K260" s="94">
        <f>IF(K224="-","-",
IF(
ROUND(K224,8)=
ROUND(SUMIFS(Calc_TUV_ENVGroup_2[Powercor],Calc_TUV_ENVGroup_2[[Cost item]:[Cost item]],$D260,Calc_TUV_ENVGroup_2[[Cost element]:[Cost element]],$G260)*($F$188/$F$189),8),
0,1))</f>
        <v>0</v>
      </c>
      <c r="L260" s="94">
        <f>IF(L224="-","-",
IF(
ROUND(L224,8)=
ROUND(SUMIFS(Calc_TUV_ENVGroup_2[United Energy],Calc_TUV_ENVGroup_2[[Cost item]:[Cost item]],$D260,Calc_TUV_ENVGroup_2[[Cost element]:[Cost element]],$G260)*($F$188/$F$189),8),
0,1))</f>
        <v>0</v>
      </c>
    </row>
    <row r="261" spans="3:12" ht="15.75" outlineLevel="1" x14ac:dyDescent="0.25">
      <c r="C261" s="60" t="s">
        <v>538</v>
      </c>
      <c r="D261" s="60" t="s">
        <v>533</v>
      </c>
      <c r="E261" s="60" t="s">
        <v>291</v>
      </c>
      <c r="F261" s="60" t="s">
        <v>100</v>
      </c>
      <c r="G261" s="60" t="s">
        <v>160</v>
      </c>
      <c r="H261" s="94">
        <f>IF(H225="-","-",
IF(
ROUND(H225,8)=
ROUND(SUMIFS(Calc_TUV_ENVGroup_2[Ausnet],Calc_TUV_ENVGroup_2[[Cost item]:[Cost item]],$D261,Calc_TUV_ENVGroup_2[[Cost element]:[Cost element]],$G261)*($F$188/$F$189),8),
0,1))</f>
        <v>0</v>
      </c>
      <c r="I261" s="94">
        <f>IF(I225="-","-",
IF(
ROUND(I225,8)=
ROUND(SUMIFS(Calc_TUV_ENVGroup_2[Citipower],Calc_TUV_ENVGroup_2[[Cost item]:[Cost item]],$D261,Calc_TUV_ENVGroup_2[[Cost element]:[Cost element]],$G261)*($F$188/$F$189),8),
0,1))</f>
        <v>0</v>
      </c>
      <c r="J261" s="94">
        <f>IF(J225="-","-",
IF(
ROUND(J225,8)=
ROUND(SUMIFS(Calc_TUV_ENVGroup_2[Jemena],Calc_TUV_ENVGroup_2[[Cost item]:[Cost item]],$D261,Calc_TUV_ENVGroup_2[[Cost element]:[Cost element]],$G261)*($F$188/$F$189),8),
0,1))</f>
        <v>0</v>
      </c>
      <c r="K261" s="94">
        <f>IF(K225="-","-",
IF(
ROUND(K225,8)=
ROUND(SUMIFS(Calc_TUV_ENVGroup_2[Powercor],Calc_TUV_ENVGroup_2[[Cost item]:[Cost item]],$D261,Calc_TUV_ENVGroup_2[[Cost element]:[Cost element]],$G261)*($F$188/$F$189),8),
0,1))</f>
        <v>0</v>
      </c>
      <c r="L261" s="94">
        <f>IF(L225="-","-",
IF(
ROUND(L225,8)=
ROUND(SUMIFS(Calc_TUV_ENVGroup_2[United Energy],Calc_TUV_ENVGroup_2[[Cost item]:[Cost item]],$D261,Calc_TUV_ENVGroup_2[[Cost element]:[Cost element]],$G261)*($F$188/$F$189),8),
0,1))</f>
        <v>0</v>
      </c>
    </row>
    <row r="262" spans="3:12" ht="15.75" outlineLevel="1" x14ac:dyDescent="0.25">
      <c r="C262" s="60" t="s">
        <v>538</v>
      </c>
      <c r="D262" s="60" t="s">
        <v>533</v>
      </c>
      <c r="E262" s="60" t="s">
        <v>291</v>
      </c>
      <c r="F262" s="60" t="s">
        <v>101</v>
      </c>
      <c r="G262" s="60" t="s">
        <v>160</v>
      </c>
      <c r="H262" s="94">
        <f>IF(H226="-","-",
IF(
ROUND(H226,8)=
ROUND(SUMIFS(Calc_TUV_ENVGroup_2[Ausnet],Calc_TUV_ENVGroup_2[[Cost item]:[Cost item]],$D262,Calc_TUV_ENVGroup_2[[Cost element]:[Cost element]],$G262)*($F$188/$F$189),8),
0,1))</f>
        <v>0</v>
      </c>
      <c r="I262" s="94">
        <f>IF(I226="-","-",
IF(
ROUND(I226,8)=
ROUND(SUMIFS(Calc_TUV_ENVGroup_2[Citipower],Calc_TUV_ENVGroup_2[[Cost item]:[Cost item]],$D262,Calc_TUV_ENVGroup_2[[Cost element]:[Cost element]],$G262)*($F$188/$F$189),8),
0,1))</f>
        <v>0</v>
      </c>
      <c r="J262" s="94">
        <f>IF(J226="-","-",
IF(
ROUND(J226,8)=
ROUND(SUMIFS(Calc_TUV_ENVGroup_2[Jemena],Calc_TUV_ENVGroup_2[[Cost item]:[Cost item]],$D262,Calc_TUV_ENVGroup_2[[Cost element]:[Cost element]],$G262)*($F$188/$F$189),8),
0,1))</f>
        <v>0</v>
      </c>
      <c r="K262" s="94">
        <f>IF(K226="-","-",
IF(
ROUND(K226,8)=
ROUND(SUMIFS(Calc_TUV_ENVGroup_2[Powercor],Calc_TUV_ENVGroup_2[[Cost item]:[Cost item]],$D262,Calc_TUV_ENVGroup_2[[Cost element]:[Cost element]],$G262)*($F$188/$F$189),8),
0,1))</f>
        <v>0</v>
      </c>
      <c r="L262" s="94">
        <f>IF(L226="-","-",
IF(
ROUND(L226,8)=
ROUND(SUMIFS(Calc_TUV_ENVGroup_2[United Energy],Calc_TUV_ENVGroup_2[[Cost item]:[Cost item]],$D262,Calc_TUV_ENVGroup_2[[Cost element]:[Cost element]],$G262)*($F$188/$F$189),8),
0,1))</f>
        <v>0</v>
      </c>
    </row>
    <row r="264" spans="3:12" x14ac:dyDescent="0.25">
      <c r="H264" s="79"/>
      <c r="I264" s="79"/>
      <c r="J264" s="79"/>
      <c r="K264" s="79"/>
      <c r="L264" s="79"/>
    </row>
    <row r="267" spans="3:12" x14ac:dyDescent="0.25">
      <c r="H267" s="284"/>
    </row>
  </sheetData>
  <sheetProtection algorithmName="SHA-512" hashValue="tXxOg809/m5wkdaGF5jyBiEWgRs25lLMLkyiHUZre3HnI+lMvc2J1FrJl/S4ic21ZJH1H3+y4LEgVCeG4Lskkw==" saltValue="xetBi2fv79wNRfSBmXXJlQ==" spinCount="100000" sheet="1" objects="1" scenarios="1"/>
  <mergeCells count="1">
    <mergeCell ref="A2:A3"/>
  </mergeCells>
  <phoneticPr fontId="30" type="noConversion"/>
  <pageMargins left="0.7" right="0.7" top="0.75" bottom="0.75" header="0.3" footer="0.3"/>
  <pageSetup paperSize="9" orientation="portrait" r:id="rId1"/>
  <tableParts count="10">
    <tablePart r:id="rId2"/>
    <tablePart r:id="rId3"/>
    <tablePart r:id="rId4"/>
    <tablePart r:id="rId5"/>
    <tablePart r:id="rId6"/>
    <tablePart r:id="rId7"/>
    <tablePart r:id="rId8"/>
    <tablePart r:id="rId9"/>
    <tablePart r:id="rId10"/>
    <tablePart r:id="rId11"/>
  </tableParts>
  <extLst>
    <ext xmlns:x14="http://schemas.microsoft.com/office/spreadsheetml/2009/9/main" uri="{CCE6A557-97BC-4b89-ADB6-D9C93CAAB3DF}">
      <x14:dataValidations xmlns:xm="http://schemas.microsoft.com/office/excel/2006/main" count="3">
        <x14:dataValidation type="list" allowBlank="1" showInputMessage="1" showErrorMessage="1" xr:uid="{6617A46C-B968-43BA-9E13-719722B65CFE}">
          <x14:formula1>
            <xm:f>'Lookup refs'!$G$8:$G$10</xm:f>
          </x14:formula1>
          <xm:sqref>F64:F96 F100:F132 F184:F186 F11:F19 F98 F178:F179 F141:F149 F194:F226 F228 F54:F56 F230:F262 F170:F172 F158:F162 F28:F32 F40:F42</xm:sqref>
        </x14:dataValidation>
        <x14:dataValidation type="list" allowBlank="1" showInputMessage="1" showErrorMessage="1" xr:uid="{24461534-7B65-4CD7-AC66-5EE85C5EAA2D}">
          <x14:formula1>
            <xm:f>'Lookup refs'!$E$8:$E$20</xm:f>
          </x14:formula1>
          <xm:sqref>E184:E186 E100:E132 E64:E96 E11:E19 E98 E178:E179 E141:E149 E230:E262 E194:E226 E228 E54:E56 E170:E172 E158:E162 E28:E32 E40:E42</xm:sqref>
        </x14:dataValidation>
        <x14:dataValidation type="list" allowBlank="1" showInputMessage="1" showErrorMessage="1" xr:uid="{C6CFE2F4-435E-4577-9383-0CE7F7F69F73}">
          <x14:formula1>
            <xm:f>'Lookup refs'!$C$8:$C$10</xm:f>
          </x14:formula1>
          <xm:sqref>D184:D186 D98 D11:D19 D178:D179 D141:D149 D228 D54:D56 D170:D172 D158:D162 D28:D32 D40:D42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736FE-7522-432C-9E07-B6421590DE6E}">
  <sheetPr>
    <tabColor rgb="FFCE0058"/>
  </sheetPr>
  <dimension ref="A1:X175"/>
  <sheetViews>
    <sheetView showGridLines="0" topLeftCell="B1" zoomScale="70" zoomScaleNormal="70" workbookViewId="0">
      <pane ySplit="3" topLeftCell="A4" activePane="bottomLeft" state="frozen"/>
      <selection pane="bottomLeft" activeCell="W105" sqref="W105"/>
    </sheetView>
  </sheetViews>
  <sheetFormatPr defaultColWidth="9.140625" defaultRowHeight="15" outlineLevelRow="2" outlineLevelCol="1" x14ac:dyDescent="0.25"/>
  <cols>
    <col min="1" max="1" width="100.7109375" hidden="1" customWidth="1" outlineLevel="1"/>
    <col min="2" max="2" width="10.7109375" style="6" customWidth="1" collapsed="1"/>
    <col min="3" max="3" width="30.5703125" customWidth="1"/>
    <col min="4" max="4" width="15.5703125" customWidth="1"/>
    <col min="5" max="5" width="16.28515625" customWidth="1"/>
    <col min="6" max="12" width="15.5703125" customWidth="1"/>
    <col min="13" max="13" width="30.5703125" customWidth="1"/>
    <col min="14" max="14" width="15.5703125" customWidth="1"/>
    <col min="15" max="15" width="16.28515625" customWidth="1"/>
    <col min="16" max="22" width="15.5703125" customWidth="1"/>
  </cols>
  <sheetData>
    <row r="1" spans="1:22" ht="15" customHeight="1" x14ac:dyDescent="0.25">
      <c r="A1" s="1" t="s">
        <v>27</v>
      </c>
      <c r="B1" s="22"/>
      <c r="C1" s="23"/>
      <c r="D1" s="23"/>
      <c r="E1" s="23"/>
      <c r="F1" s="125" t="s">
        <v>422</v>
      </c>
      <c r="G1" s="97"/>
      <c r="H1" s="23"/>
      <c r="I1" s="23"/>
      <c r="J1" s="23"/>
      <c r="K1" s="23"/>
      <c r="L1" s="23"/>
      <c r="M1" s="23"/>
      <c r="N1" s="23"/>
      <c r="O1" s="23"/>
      <c r="P1" s="23"/>
      <c r="Q1" s="23"/>
      <c r="R1" s="23"/>
      <c r="S1" s="23"/>
      <c r="T1" s="23"/>
      <c r="U1" s="23"/>
      <c r="V1" s="23"/>
    </row>
    <row r="2" spans="1:22" s="4" customFormat="1" ht="50.1" customHeight="1" x14ac:dyDescent="0.25">
      <c r="A2" s="293" t="s">
        <v>28</v>
      </c>
      <c r="B2" s="26"/>
      <c r="C2" s="26" t="str">
        <f>Disclaimer!$B$1</f>
        <v>VDO calculation model</v>
      </c>
      <c r="D2" s="26"/>
      <c r="E2" s="26"/>
      <c r="F2" s="202" t="str">
        <f>Calc_Rates!$D$5</f>
        <v>VDO 2021 - Variation final</v>
      </c>
      <c r="G2" s="202" t="str">
        <f>Calc_Rates!$D$251</f>
        <v>VDO 2022 - Final</v>
      </c>
      <c r="H2" s="26"/>
      <c r="I2" s="26"/>
      <c r="J2" s="26"/>
      <c r="K2" s="26"/>
      <c r="L2" s="26"/>
      <c r="M2" s="26"/>
      <c r="N2" s="26"/>
      <c r="O2" s="26"/>
      <c r="P2" s="26"/>
      <c r="Q2" s="26"/>
      <c r="R2" s="26"/>
      <c r="S2" s="26"/>
      <c r="T2" s="26"/>
      <c r="U2" s="26"/>
      <c r="V2" s="26"/>
    </row>
    <row r="3" spans="1:22" s="4" customFormat="1" ht="30" customHeight="1" x14ac:dyDescent="0.25">
      <c r="A3" s="293"/>
      <c r="B3" s="28">
        <f ca="1">_xlfn.SHEET()</f>
        <v>15</v>
      </c>
      <c r="C3" s="27" t="str">
        <f>"VDO rates"</f>
        <v>VDO rates</v>
      </c>
      <c r="D3" s="27"/>
      <c r="E3" s="27"/>
      <c r="F3" s="96">
        <f>SUM(G55:K62,Q55:U62,G44:K51,Q44:U51,G66:K74,Q66:U74)</f>
        <v>0</v>
      </c>
      <c r="G3" s="96">
        <f>SUM(G130:K137,Q130:U137,G119:K126,Q119:U126,G141:K149,Q141:U149)</f>
        <v>0</v>
      </c>
      <c r="H3" s="27"/>
      <c r="I3" s="27"/>
      <c r="J3" s="27"/>
      <c r="K3" s="27"/>
      <c r="L3" s="27"/>
      <c r="M3" s="27"/>
      <c r="N3" s="27"/>
      <c r="O3" s="27"/>
      <c r="P3" s="27"/>
      <c r="Q3" s="27"/>
      <c r="R3" s="27"/>
      <c r="S3" s="27"/>
      <c r="T3" s="27"/>
      <c r="U3" s="27"/>
      <c r="V3" s="27"/>
    </row>
    <row r="4" spans="1:22" x14ac:dyDescent="0.25">
      <c r="B4"/>
    </row>
    <row r="5" spans="1:22" ht="16.5" hidden="1" thickBot="1" x14ac:dyDescent="0.3">
      <c r="A5" s="1" t="s">
        <v>30</v>
      </c>
      <c r="B5" s="9">
        <f ca="1">MAX(B$3:B4)+0.1</f>
        <v>15.1</v>
      </c>
      <c r="C5" s="29" t="str">
        <f>"VDO rates - "&amp;Calc_Rates!$D$5</f>
        <v>VDO rates - VDO 2021 - Variation final</v>
      </c>
      <c r="D5" s="29"/>
      <c r="E5" s="29"/>
      <c r="F5" s="29"/>
      <c r="G5" s="29"/>
      <c r="H5" s="29"/>
      <c r="I5" s="29"/>
      <c r="J5" s="29"/>
      <c r="K5" s="29"/>
      <c r="L5" s="29"/>
      <c r="M5" s="29"/>
      <c r="N5" s="29"/>
      <c r="O5" s="29"/>
      <c r="P5" s="29"/>
      <c r="Q5" s="29"/>
      <c r="R5" s="29"/>
      <c r="S5" s="29"/>
      <c r="T5" s="29"/>
      <c r="U5" s="29"/>
      <c r="V5" s="29"/>
    </row>
    <row r="6" spans="1:22" hidden="1" x14ac:dyDescent="0.25"/>
    <row r="7" spans="1:22" ht="15.75" hidden="1" x14ac:dyDescent="0.25">
      <c r="C7" s="30" t="s">
        <v>554</v>
      </c>
      <c r="M7" s="30" t="s">
        <v>555</v>
      </c>
      <c r="P7" s="88"/>
      <c r="Q7" s="88"/>
      <c r="R7" s="88"/>
    </row>
    <row r="8" spans="1:22" ht="15.75" hidden="1" x14ac:dyDescent="0.25">
      <c r="C8" s="141" t="s">
        <v>340</v>
      </c>
      <c r="D8" s="141" t="s">
        <v>111</v>
      </c>
      <c r="E8" s="141" t="s">
        <v>99</v>
      </c>
      <c r="F8" s="141" t="s">
        <v>11</v>
      </c>
      <c r="G8" s="142" t="s">
        <v>277</v>
      </c>
      <c r="H8" s="142" t="s">
        <v>278</v>
      </c>
      <c r="I8" s="142" t="s">
        <v>279</v>
      </c>
      <c r="J8" s="142" t="s">
        <v>280</v>
      </c>
      <c r="K8" s="142" t="s">
        <v>281</v>
      </c>
      <c r="M8" s="141" t="s">
        <v>340</v>
      </c>
      <c r="N8" s="141" t="s">
        <v>111</v>
      </c>
      <c r="O8" s="141" t="s">
        <v>99</v>
      </c>
      <c r="P8" s="141" t="s">
        <v>11</v>
      </c>
      <c r="Q8" s="142" t="s">
        <v>277</v>
      </c>
      <c r="R8" s="142" t="s">
        <v>278</v>
      </c>
      <c r="S8" s="142" t="s">
        <v>279</v>
      </c>
      <c r="T8" s="142" t="s">
        <v>280</v>
      </c>
      <c r="U8" s="142" t="s">
        <v>281</v>
      </c>
    </row>
    <row r="9" spans="1:22" hidden="1" x14ac:dyDescent="0.25">
      <c r="C9" s="24" t="s">
        <v>509</v>
      </c>
      <c r="D9" s="24" t="s">
        <v>118</v>
      </c>
      <c r="E9" s="24" t="s">
        <v>100</v>
      </c>
      <c r="F9" s="24" t="s">
        <v>11</v>
      </c>
      <c r="G9" s="170" cm="1">
        <f t="array" ref="G9">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1.1937</v>
      </c>
      <c r="H9" s="170" cm="1">
        <f t="array" ref="H9">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1.1126</v>
      </c>
      <c r="I9" s="170" cm="1">
        <f t="array" ref="I9">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1.071</v>
      </c>
      <c r="J9" s="170" cm="1">
        <f t="array" ref="J9">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1.2678</v>
      </c>
      <c r="K9" s="170" cm="1">
        <f t="array" ref="K9">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1.0279</v>
      </c>
      <c r="M9" s="24" t="s">
        <v>509</v>
      </c>
      <c r="N9" s="24" t="s">
        <v>118</v>
      </c>
      <c r="O9" s="24" t="s">
        <v>101</v>
      </c>
      <c r="P9" s="24" t="s">
        <v>11</v>
      </c>
      <c r="Q9" s="170" cm="1">
        <f t="array" ref="Q9">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1.1937</v>
      </c>
      <c r="R9" s="170" cm="1">
        <f t="array" ref="R9">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1.3363</v>
      </c>
      <c r="S9" s="170" cm="1">
        <f t="array" ref="S9">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1.238</v>
      </c>
      <c r="T9" s="170" cm="1">
        <f t="array" ref="T9">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1.3956</v>
      </c>
      <c r="U9" s="170" cm="1">
        <f t="array" ref="U9">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1.1557999999999999</v>
      </c>
    </row>
    <row r="10" spans="1:22" hidden="1" x14ac:dyDescent="0.25">
      <c r="C10" s="24" t="s">
        <v>230</v>
      </c>
      <c r="D10" s="24" t="s">
        <v>291</v>
      </c>
      <c r="E10" s="24" t="s">
        <v>100</v>
      </c>
      <c r="F10" s="24" t="s">
        <v>11</v>
      </c>
      <c r="G10" s="170" cm="1">
        <f t="array" ref="G10">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0.28100000000000003</v>
      </c>
      <c r="H10" s="170" cm="1">
        <f t="array" ref="H10">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I10" s="170" cm="1">
        <f t="array" ref="I10">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J10" s="170" cm="1">
        <f t="array" ref="J10">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K10" s="170" cm="1">
        <f t="array" ref="K10">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M10" s="24" t="s">
        <v>230</v>
      </c>
      <c r="N10" s="24" t="s">
        <v>291</v>
      </c>
      <c r="O10" s="24" t="s">
        <v>101</v>
      </c>
      <c r="P10" s="24" t="s">
        <v>11</v>
      </c>
      <c r="Q10" s="170" cm="1">
        <f t="array" ref="Q10">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0.31390000000000001</v>
      </c>
      <c r="R10" s="170" cm="1">
        <f t="array" ref="R10">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S10" s="170" cm="1">
        <f t="array" ref="S10">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T10" s="170" cm="1">
        <f t="array" ref="T10">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U10" s="170" cm="1">
        <f t="array" ref="U10">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row>
    <row r="11" spans="1:22" hidden="1" x14ac:dyDescent="0.25">
      <c r="C11" s="24" t="s">
        <v>237</v>
      </c>
      <c r="D11" s="24" t="s">
        <v>291</v>
      </c>
      <c r="E11" s="24" t="s">
        <v>100</v>
      </c>
      <c r="F11" s="24" t="s">
        <v>11</v>
      </c>
      <c r="G11" s="170" cm="1">
        <f t="array" ref="G11">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0.29720000000000002</v>
      </c>
      <c r="H11" s="170" cm="1">
        <f t="array" ref="H11">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I11" s="170" cm="1">
        <f t="array" ref="I11">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J11" s="170" cm="1">
        <f t="array" ref="J11">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K11" s="170" cm="1">
        <f t="array" ref="K11">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M11" s="24" t="s">
        <v>237</v>
      </c>
      <c r="N11" s="24" t="s">
        <v>291</v>
      </c>
      <c r="O11" s="24" t="s">
        <v>101</v>
      </c>
      <c r="P11" s="24" t="s">
        <v>11</v>
      </c>
      <c r="Q11" s="170" cm="1">
        <f t="array" ref="Q11">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0.34570000000000001</v>
      </c>
      <c r="R11" s="170" cm="1">
        <f t="array" ref="R11">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S11" s="170" cm="1">
        <f t="array" ref="S11">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T11" s="170" cm="1">
        <f t="array" ref="T11">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U11" s="170" cm="1">
        <f t="array" ref="U11">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row>
    <row r="12" spans="1:22" hidden="1" x14ac:dyDescent="0.25">
      <c r="C12" s="24" t="s">
        <v>508</v>
      </c>
      <c r="D12" s="24" t="s">
        <v>291</v>
      </c>
      <c r="E12" s="24" t="s">
        <v>100</v>
      </c>
      <c r="F12" s="24" t="s">
        <v>11</v>
      </c>
      <c r="G12" s="170" cm="1">
        <f t="array" ref="G12">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H12" s="170" cm="1">
        <f t="array" ref="H12">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0.2324</v>
      </c>
      <c r="I12" s="170" cm="1">
        <f t="array" ref="I12">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0.249</v>
      </c>
      <c r="J12" s="170" cm="1">
        <f t="array" ref="J12">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0.24049999999999999</v>
      </c>
      <c r="K12" s="170" cm="1">
        <f t="array" ref="K12">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0.2437</v>
      </c>
      <c r="M12" s="24" t="s">
        <v>508</v>
      </c>
      <c r="N12" s="24" t="s">
        <v>291</v>
      </c>
      <c r="O12" s="24" t="s">
        <v>101</v>
      </c>
      <c r="P12" s="24" t="s">
        <v>11</v>
      </c>
      <c r="Q12" s="170" cm="1">
        <f t="array" ref="Q12">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R12" s="170" cm="1">
        <f t="array" ref="R12">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0.2296</v>
      </c>
      <c r="S12" s="170" cm="1">
        <f t="array" ref="S12">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0.25969999999999999</v>
      </c>
      <c r="T12" s="170" cm="1">
        <f t="array" ref="T12">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0.2387</v>
      </c>
      <c r="U12" s="170" cm="1">
        <f t="array" ref="U12">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0.23880000000000001</v>
      </c>
    </row>
    <row r="13" spans="1:22" hidden="1" x14ac:dyDescent="0.25">
      <c r="C13" s="24" t="s">
        <v>510</v>
      </c>
      <c r="D13" s="24" t="s">
        <v>118</v>
      </c>
      <c r="E13" s="24" t="s">
        <v>100</v>
      </c>
      <c r="F13" s="24" t="s">
        <v>11</v>
      </c>
      <c r="G13" s="170" cm="1">
        <f t="array" ref="G13">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1.1937</v>
      </c>
      <c r="H13" s="170" cm="1">
        <f t="array" ref="H13">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1.1126</v>
      </c>
      <c r="I13" s="170" cm="1">
        <f t="array" ref="I13">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1.071</v>
      </c>
      <c r="J13" s="170" cm="1">
        <f t="array" ref="J13">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1.2678</v>
      </c>
      <c r="K13" s="170" cm="1">
        <f t="array" ref="K13">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1.0279</v>
      </c>
      <c r="M13" s="24" t="s">
        <v>510</v>
      </c>
      <c r="N13" s="24" t="s">
        <v>118</v>
      </c>
      <c r="O13" s="24" t="s">
        <v>101</v>
      </c>
      <c r="P13" s="24" t="s">
        <v>11</v>
      </c>
      <c r="Q13" s="170" cm="1">
        <f t="array" ref="Q13">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1.1937</v>
      </c>
      <c r="R13" s="170" cm="1">
        <f t="array" ref="R13">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1.3363</v>
      </c>
      <c r="S13" s="170" cm="1">
        <f t="array" ref="S13">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1.5820000000000001</v>
      </c>
      <c r="T13" s="170" cm="1">
        <f t="array" ref="T13">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1.3956</v>
      </c>
      <c r="U13" s="170" cm="1">
        <f t="array" ref="U13">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1.1557999999999999</v>
      </c>
    </row>
    <row r="14" spans="1:22" hidden="1" x14ac:dyDescent="0.25">
      <c r="C14" s="24" t="s">
        <v>239</v>
      </c>
      <c r="D14" s="24" t="s">
        <v>291</v>
      </c>
      <c r="E14" s="24" t="s">
        <v>100</v>
      </c>
      <c r="F14" s="24" t="s">
        <v>11</v>
      </c>
      <c r="G14" s="170" cm="1">
        <f t="array" ref="G14">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0.3906</v>
      </c>
      <c r="H14" s="170" cm="1">
        <f t="array" ref="H14">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0.32440000000000002</v>
      </c>
      <c r="I14" s="170" cm="1">
        <f t="array" ref="I14">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0.30530000000000002</v>
      </c>
      <c r="J14" s="170" cm="1">
        <f t="array" ref="J14">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0.33050000000000002</v>
      </c>
      <c r="K14" s="170" cm="1">
        <f t="array" ref="K14">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0.3347</v>
      </c>
      <c r="M14" s="24" t="s">
        <v>239</v>
      </c>
      <c r="N14" s="24" t="s">
        <v>291</v>
      </c>
      <c r="O14" s="24" t="s">
        <v>101</v>
      </c>
      <c r="P14" s="24" t="s">
        <v>11</v>
      </c>
      <c r="Q14" s="170" cm="1">
        <f t="array" ref="Q14">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0.33679999999999999</v>
      </c>
      <c r="R14" s="170" cm="1">
        <f t="array" ref="R14">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0.28570000000000001</v>
      </c>
      <c r="S14" s="170" cm="1">
        <f t="array" ref="S14">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0.2989</v>
      </c>
      <c r="T14" s="170" cm="1">
        <f t="array" ref="T14">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0.3024</v>
      </c>
      <c r="U14" s="170" cm="1">
        <f t="array" ref="U14">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0.2994</v>
      </c>
    </row>
    <row r="15" spans="1:22" hidden="1" x14ac:dyDescent="0.25">
      <c r="C15" s="24" t="s">
        <v>538</v>
      </c>
      <c r="D15" s="24" t="s">
        <v>291</v>
      </c>
      <c r="E15" s="24" t="s">
        <v>100</v>
      </c>
      <c r="F15" s="24" t="s">
        <v>11</v>
      </c>
      <c r="G15" s="170" cm="1">
        <f t="array" ref="G15">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0.1981</v>
      </c>
      <c r="H15" s="170" cm="1">
        <f t="array" ref="H15">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0.18490000000000001</v>
      </c>
      <c r="I15" s="170" cm="1">
        <f t="array" ref="I15">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0.1933</v>
      </c>
      <c r="J15" s="170" cm="1">
        <f t="array" ref="J15">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0.19159999999999999</v>
      </c>
      <c r="K15" s="170" cm="1">
        <f t="array" ref="K15">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0.1966</v>
      </c>
      <c r="M15" s="24" t="s">
        <v>538</v>
      </c>
      <c r="N15" s="24" t="s">
        <v>291</v>
      </c>
      <c r="O15" s="24" t="s">
        <v>101</v>
      </c>
      <c r="P15" s="24" t="s">
        <v>11</v>
      </c>
      <c r="Q15" s="170" cm="1">
        <f t="array" ref="Q15">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0.18240000000000001</v>
      </c>
      <c r="R15" s="170" cm="1">
        <f t="array" ref="R15">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0.16750000000000001</v>
      </c>
      <c r="S15" s="170" cm="1">
        <f t="array" ref="S15">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0.1673</v>
      </c>
      <c r="T15" s="170" cm="1">
        <f t="array" ref="T15">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0.1686</v>
      </c>
      <c r="U15" s="170" cm="1">
        <f t="array" ref="U15">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0.17249999999999999</v>
      </c>
    </row>
    <row r="16" spans="1:22" hidden="1" x14ac:dyDescent="0.25">
      <c r="C16" s="24" t="s">
        <v>296</v>
      </c>
      <c r="D16" s="24" t="s">
        <v>291</v>
      </c>
      <c r="E16" s="24" t="s">
        <v>100</v>
      </c>
      <c r="F16" s="24" t="s">
        <v>11</v>
      </c>
      <c r="G16" s="170" cm="1">
        <f t="array" ref="G16">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0.1971</v>
      </c>
      <c r="H16" s="170" cm="1">
        <f t="array" ref="H16">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0.1673</v>
      </c>
      <c r="I16" s="170" cm="1">
        <f t="array" ref="I16">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0.18990000000000001</v>
      </c>
      <c r="J16" s="170" cm="1">
        <f t="array" ref="J16">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0.17330000000000001</v>
      </c>
      <c r="K16" s="170" cm="1">
        <f t="array" ref="K16">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0.17580000000000001</v>
      </c>
      <c r="M16" s="45"/>
      <c r="N16" s="45"/>
      <c r="O16" s="24"/>
      <c r="P16" s="60" t="s">
        <v>11</v>
      </c>
      <c r="Q16" s="170" cm="1">
        <f t="array" ref="Q16">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R16" s="170" cm="1">
        <f t="array" ref="R16">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S16" s="170" cm="1">
        <f t="array" ref="S16">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T16" s="170" cm="1">
        <f t="array" ref="T16">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U16" s="170" cm="1">
        <f t="array" ref="U16">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row>
    <row r="17" spans="3:21" hidden="1" x14ac:dyDescent="0.25"/>
    <row r="18" spans="3:21" ht="15.75" hidden="1" x14ac:dyDescent="0.25">
      <c r="C18" s="30" t="s">
        <v>601</v>
      </c>
      <c r="H18" s="88"/>
      <c r="M18" s="30" t="s">
        <v>602</v>
      </c>
      <c r="R18" s="88"/>
    </row>
    <row r="19" spans="3:21" ht="15.75" hidden="1" x14ac:dyDescent="0.25">
      <c r="C19" s="44" t="s">
        <v>340</v>
      </c>
      <c r="D19" s="44" t="s">
        <v>111</v>
      </c>
      <c r="E19" s="44" t="s">
        <v>99</v>
      </c>
      <c r="F19" s="44" t="s">
        <v>11</v>
      </c>
      <c r="G19" s="61" t="s">
        <v>277</v>
      </c>
      <c r="H19" s="61" t="s">
        <v>278</v>
      </c>
      <c r="I19" s="61" t="s">
        <v>279</v>
      </c>
      <c r="J19" s="61" t="s">
        <v>280</v>
      </c>
      <c r="K19" s="86" t="s">
        <v>281</v>
      </c>
      <c r="M19" s="44" t="s">
        <v>340</v>
      </c>
      <c r="N19" s="44" t="s">
        <v>111</v>
      </c>
      <c r="O19" s="44" t="s">
        <v>99</v>
      </c>
      <c r="P19" s="44" t="s">
        <v>11</v>
      </c>
      <c r="Q19" s="61" t="s">
        <v>277</v>
      </c>
      <c r="R19" s="61" t="s">
        <v>278</v>
      </c>
      <c r="S19" s="61" t="s">
        <v>279</v>
      </c>
      <c r="T19" s="61" t="s">
        <v>280</v>
      </c>
      <c r="U19" s="86" t="s">
        <v>281</v>
      </c>
    </row>
    <row r="20" spans="3:21" hidden="1" x14ac:dyDescent="0.25">
      <c r="C20" s="24" t="s">
        <v>509</v>
      </c>
      <c r="D20" s="24" t="s">
        <v>118</v>
      </c>
      <c r="E20" s="24" t="s">
        <v>100</v>
      </c>
      <c r="F20" s="60" t="s">
        <v>11</v>
      </c>
      <c r="G20" s="63">
        <f>SUMIFS(Calc_Rates!G$17:G$47,Calc_Rates!$C$17:$C$47,OP_Rates!$C20,Calc_Rates!$F$17:$F$47,OP_Rates!$E20)</f>
        <v>1.1937465898036663</v>
      </c>
      <c r="H20" s="63">
        <f>SUMIFS(Calc_Rates!H$17:H$47,Calc_Rates!$C$17:$C$47,OP_Rates!$C20,Calc_Rates!$F$17:$F$47,OP_Rates!$E20)</f>
        <v>1.1125719529817484</v>
      </c>
      <c r="I20" s="63">
        <f>SUMIFS(Calc_Rates!I$17:I$47,Calc_Rates!$C$17:$C$47,OP_Rates!$C20,Calc_Rates!$F$17:$F$47,OP_Rates!$E20)</f>
        <v>1.0709540129269539</v>
      </c>
      <c r="J20" s="63">
        <f>SUMIFS(Calc_Rates!J$17:J$47,Calc_Rates!$C$17:$C$47,OP_Rates!$C20,Calc_Rates!$F$17:$F$47,OP_Rates!$E20)</f>
        <v>1.2677835725433924</v>
      </c>
      <c r="K20" s="95">
        <f>SUMIFS(Calc_Rates!K$17:K$47,Calc_Rates!$C$17:$C$47,OP_Rates!$C20,Calc_Rates!$F$17:$F$47,OP_Rates!$E20)</f>
        <v>1.0279459320502415</v>
      </c>
      <c r="M20" s="24" t="s">
        <v>509</v>
      </c>
      <c r="N20" s="24" t="s">
        <v>118</v>
      </c>
      <c r="O20" s="24" t="s">
        <v>101</v>
      </c>
      <c r="P20" s="60" t="s">
        <v>11</v>
      </c>
      <c r="Q20" s="63">
        <f>IF(SUMIFS(Calc_Rates!G$17:G$47,Calc_Rates!$C$17:$C$47,OP_Rates!$M20,Calc_Rates!$F$17:$F$47,OP_Rates!$O20)=0,"-",SUMIFS(Calc_Rates!G$17:G$47,Calc_Rates!$C$17:$C$47,OP_Rates!$M20,Calc_Rates!$F$17:$F$47,OP_Rates!$O20))</f>
        <v>1.1937465898036663</v>
      </c>
      <c r="R20" s="63">
        <f>IF(SUMIFS(Calc_Rates!H$17:H$47,Calc_Rates!$C$17:$C$47,OP_Rates!$M20,Calc_Rates!$F$17:$F$47,OP_Rates!$O20)=0,"-",SUMIFS(Calc_Rates!H$17:H$47,Calc_Rates!$C$17:$C$47,OP_Rates!$M20,Calc_Rates!$F$17:$F$47,OP_Rates!$O20))</f>
        <v>1.3362951449817482</v>
      </c>
      <c r="S20" s="63">
        <f>IF(SUMIFS(Calc_Rates!I$17:I$47,Calc_Rates!$C$17:$C$47,OP_Rates!$M20,Calc_Rates!$F$17:$F$47,OP_Rates!$O20)=0,"-",SUMIFS(Calc_Rates!I$17:I$47,Calc_Rates!$C$17:$C$47,OP_Rates!$M20,Calc_Rates!$F$17:$F$47,OP_Rates!$O20))</f>
        <v>1.2379946123790087</v>
      </c>
      <c r="T20" s="63">
        <f>IF(SUMIFS(Calc_Rates!J$17:J$47,Calc_Rates!$C$17:$C$47,OP_Rates!$M20,Calc_Rates!$F$17:$F$47,OP_Rates!$O20)=0,"-",SUMIFS(Calc_Rates!J$17:J$47,Calc_Rates!$C$17:$C$47,OP_Rates!$M20,Calc_Rates!$F$17:$F$47,OP_Rates!$O20))</f>
        <v>1.3956253965433922</v>
      </c>
      <c r="U20" s="63">
        <f>IF(SUMIFS(Calc_Rates!K$17:K$47,Calc_Rates!$C$17:$C$47,OP_Rates!$M20,Calc_Rates!$F$17:$F$47,OP_Rates!$O20)=0,"-",SUMIFS(Calc_Rates!K$17:K$47,Calc_Rates!$C$17:$C$47,OP_Rates!$M20,Calc_Rates!$F$17:$F$47,OP_Rates!$O20))</f>
        <v>1.1557877560502414</v>
      </c>
    </row>
    <row r="21" spans="3:21" hidden="1" x14ac:dyDescent="0.25">
      <c r="C21" s="24" t="s">
        <v>230</v>
      </c>
      <c r="D21" s="24" t="s">
        <v>291</v>
      </c>
      <c r="E21" s="24" t="s">
        <v>100</v>
      </c>
      <c r="F21" s="60" t="s">
        <v>11</v>
      </c>
      <c r="G21" s="63">
        <f>IF(SUMIFS(Calc_Rates!G$61:G$139,Calc_Rates!$C$61:$C$139,OP_Rates!$C21&amp;" charge",Calc_Rates!$F$61:$F$139,OP_Rates!$E21)=0,"-",SUMIFS(Calc_Rates!G$61:G$139,Calc_Rates!$C$61:$C$139,OP_Rates!$C21&amp;" charge",Calc_Rates!$F$61:$F$139,OP_Rates!$E21))</f>
        <v>0.28096607505702398</v>
      </c>
      <c r="H21" s="63" t="str">
        <f>IF(SUMIFS(Calc_Rates!H$61:H$139,Calc_Rates!$C$61:$C$139,OP_Rates!$C21&amp;" charge",Calc_Rates!$F$61:$F$139,OP_Rates!$E21)=0,"-",SUMIFS(Calc_Rates!H$61:H$139,Calc_Rates!$C$61:$C$139,OP_Rates!$C21&amp;" charge",Calc_Rates!$F$61:$F$139,OP_Rates!$E21))</f>
        <v>-</v>
      </c>
      <c r="I21" s="63" t="str">
        <f>IF(SUMIFS(Calc_Rates!I$61:I$139,Calc_Rates!$C$61:$C$139,OP_Rates!$C21&amp;" charge",Calc_Rates!$F$61:$F$139,OP_Rates!$E21)=0,"-",SUMIFS(Calc_Rates!I$61:I$139,Calc_Rates!$C$61:$C$139,OP_Rates!$C21&amp;" charge",Calc_Rates!$F$61:$F$139,OP_Rates!$E21))</f>
        <v>-</v>
      </c>
      <c r="J21" s="63" t="str">
        <f>IF(SUMIFS(Calc_Rates!J$61:J$139,Calc_Rates!$C$61:$C$139,OP_Rates!$C21&amp;" charge",Calc_Rates!$F$61:$F$139,OP_Rates!$E21)=0,"-",SUMIFS(Calc_Rates!J$61:J$139,Calc_Rates!$C$61:$C$139,OP_Rates!$C21&amp;" charge",Calc_Rates!$F$61:$F$139,OP_Rates!$E21))</f>
        <v>-</v>
      </c>
      <c r="K21" s="63" t="str">
        <f>IF(SUMIFS(Calc_Rates!K$61:K$139,Calc_Rates!$C$61:$C$139,OP_Rates!$C21&amp;" charge",Calc_Rates!$F$61:$F$139,OP_Rates!$E21)=0,"-",SUMIFS(Calc_Rates!K$61:K$139,Calc_Rates!$C$61:$C$139,OP_Rates!$C21&amp;" charge",Calc_Rates!$F$61:$F$139,OP_Rates!$E21))</f>
        <v>-</v>
      </c>
      <c r="M21" s="24" t="s">
        <v>230</v>
      </c>
      <c r="N21" s="24" t="s">
        <v>291</v>
      </c>
      <c r="O21" s="24" t="s">
        <v>101</v>
      </c>
      <c r="P21" s="60" t="s">
        <v>11</v>
      </c>
      <c r="Q21" s="63">
        <f>IF(SUMIFS(Calc_Rates!G$61:G$139,Calc_Rates!$C$61:$C$139,OP_Rates!$M21&amp;" charge",Calc_Rates!$F$61:$F$139,OP_Rates!$O21)=0,"-",SUMIFS(Calc_Rates!G$61:G$139,Calc_Rates!$C$61:$C$139,OP_Rates!$M21&amp;" charge",Calc_Rates!$F$61:$F$139,OP_Rates!$O21))</f>
        <v>0.3138673094273246</v>
      </c>
      <c r="R21" s="63" t="str">
        <f>IF(SUMIFS(Calc_Rates!H$61:H$139,Calc_Rates!$C$61:$C$139,OP_Rates!$M21&amp;" charge",Calc_Rates!$F$61:$F$139,OP_Rates!$O21)=0,"-",SUMIFS(Calc_Rates!H$61:H$139,Calc_Rates!$C$61:$C$139,OP_Rates!$M21&amp;" charge",Calc_Rates!$F$61:$F$139,OP_Rates!$O21))</f>
        <v>-</v>
      </c>
      <c r="S21" s="63" t="str">
        <f>IF(SUMIFS(Calc_Rates!I$61:I$139,Calc_Rates!$C$61:$C$139,OP_Rates!$M21&amp;" charge",Calc_Rates!$F$61:$F$139,OP_Rates!$O21)=0,"-",SUMIFS(Calc_Rates!I$61:I$139,Calc_Rates!$C$61:$C$139,OP_Rates!$M21&amp;" charge",Calc_Rates!$F$61:$F$139,OP_Rates!$O21))</f>
        <v>-</v>
      </c>
      <c r="T21" s="63" t="str">
        <f>IF(SUMIFS(Calc_Rates!J$61:J$139,Calc_Rates!$C$61:$C$139,OP_Rates!$M21&amp;" charge",Calc_Rates!$F$61:$F$139,OP_Rates!$O21)=0,"-",SUMIFS(Calc_Rates!J$61:J$139,Calc_Rates!$C$61:$C$139,OP_Rates!$M21&amp;" charge",Calc_Rates!$F$61:$F$139,OP_Rates!$O21))</f>
        <v>-</v>
      </c>
      <c r="U21" s="63" t="str">
        <f>IF(SUMIFS(Calc_Rates!K$61:K$139,Calc_Rates!$C$61:$C$139,OP_Rates!$M21&amp;" charge",Calc_Rates!$F$61:$F$139,OP_Rates!$O21)=0,"-",SUMIFS(Calc_Rates!K$61:K$139,Calc_Rates!$C$61:$C$139,OP_Rates!$M21&amp;" charge",Calc_Rates!$F$61:$F$139,OP_Rates!$O21))</f>
        <v>-</v>
      </c>
    </row>
    <row r="22" spans="3:21" hidden="1" x14ac:dyDescent="0.25">
      <c r="C22" s="24" t="s">
        <v>237</v>
      </c>
      <c r="D22" s="24" t="s">
        <v>291</v>
      </c>
      <c r="E22" s="24" t="s">
        <v>100</v>
      </c>
      <c r="F22" s="60" t="s">
        <v>11</v>
      </c>
      <c r="G22" s="63">
        <f>IF(SUMIFS(Calc_Rates!G$61:G$139,Calc_Rates!$C$61:$C$139,OP_Rates!$C22&amp;" charge",Calc_Rates!$F$61:$F$139,OP_Rates!$E22)=0,"-",SUMIFS(Calc_Rates!G$61:G$139,Calc_Rates!$C$61:$C$139,OP_Rates!$C22&amp;" charge",Calc_Rates!$F$61:$F$139,OP_Rates!$E22))</f>
        <v>0.29715509581702393</v>
      </c>
      <c r="H22" s="63" t="str">
        <f>IF(SUMIFS(Calc_Rates!H$61:H$139,Calc_Rates!$C$61:$C$139,OP_Rates!$C22&amp;" charge",Calc_Rates!$F$61:$F$139,OP_Rates!$E22)=0,"-",SUMIFS(Calc_Rates!H$61:H$139,Calc_Rates!$C$61:$C$139,OP_Rates!$C22&amp;" charge",Calc_Rates!$F$61:$F$139,OP_Rates!$E22))</f>
        <v>-</v>
      </c>
      <c r="I22" s="63" t="str">
        <f>IF(SUMIFS(Calc_Rates!I$61:I$139,Calc_Rates!$C$61:$C$139,OP_Rates!$C22&amp;" charge",Calc_Rates!$F$61:$F$139,OP_Rates!$E22)=0,"-",SUMIFS(Calc_Rates!I$61:I$139,Calc_Rates!$C$61:$C$139,OP_Rates!$C22&amp;" charge",Calc_Rates!$F$61:$F$139,OP_Rates!$E22))</f>
        <v>-</v>
      </c>
      <c r="J22" s="63" t="str">
        <f>IF(SUMIFS(Calc_Rates!J$61:J$139,Calc_Rates!$C$61:$C$139,OP_Rates!$C22&amp;" charge",Calc_Rates!$F$61:$F$139,OP_Rates!$E22)=0,"-",SUMIFS(Calc_Rates!J$61:J$139,Calc_Rates!$C$61:$C$139,OP_Rates!$C22&amp;" charge",Calc_Rates!$F$61:$F$139,OP_Rates!$E22))</f>
        <v>-</v>
      </c>
      <c r="K22" s="63" t="str">
        <f>IF(SUMIFS(Calc_Rates!K$61:K$139,Calc_Rates!$C$61:$C$139,OP_Rates!$C22&amp;" charge",Calc_Rates!$F$61:$F$139,OP_Rates!$E22)=0,"-",SUMIFS(Calc_Rates!K$61:K$139,Calc_Rates!$C$61:$C$139,OP_Rates!$C22&amp;" charge",Calc_Rates!$F$61:$F$139,OP_Rates!$E22))</f>
        <v>-</v>
      </c>
      <c r="M22" s="24" t="s">
        <v>237</v>
      </c>
      <c r="N22" s="24" t="s">
        <v>291</v>
      </c>
      <c r="O22" s="24" t="s">
        <v>101</v>
      </c>
      <c r="P22" s="60" t="s">
        <v>11</v>
      </c>
      <c r="Q22" s="63">
        <f>IF(SUMIFS(Calc_Rates!G$61:G$139,Calc_Rates!$C$61:$C$139,OP_Rates!$M22&amp;" charge",Calc_Rates!$F$61:$F$139,OP_Rates!$O22)=0,"-",SUMIFS(Calc_Rates!G$61:G$139,Calc_Rates!$C$61:$C$139,OP_Rates!$M22&amp;" charge",Calc_Rates!$F$61:$F$139,OP_Rates!$O22))</f>
        <v>0.34568895906732455</v>
      </c>
      <c r="R22" s="63" t="str">
        <f>IF(SUMIFS(Calc_Rates!H$61:H$139,Calc_Rates!$C$61:$C$139,OP_Rates!$M22&amp;" charge",Calc_Rates!$F$61:$F$139,OP_Rates!$O22)=0,"-",SUMIFS(Calc_Rates!H$61:H$139,Calc_Rates!$C$61:$C$139,OP_Rates!$M22&amp;" charge",Calc_Rates!$F$61:$F$139,OP_Rates!$O22))</f>
        <v>-</v>
      </c>
      <c r="S22" s="63" t="str">
        <f>IF(SUMIFS(Calc_Rates!I$61:I$139,Calc_Rates!$C$61:$C$139,OP_Rates!$M22&amp;" charge",Calc_Rates!$F$61:$F$139,OP_Rates!$O22)=0,"-",SUMIFS(Calc_Rates!I$61:I$139,Calc_Rates!$C$61:$C$139,OP_Rates!$M22&amp;" charge",Calc_Rates!$F$61:$F$139,OP_Rates!$O22))</f>
        <v>-</v>
      </c>
      <c r="T22" s="63" t="str">
        <f>IF(SUMIFS(Calc_Rates!J$61:J$139,Calc_Rates!$C$61:$C$139,OP_Rates!$M22&amp;" charge",Calc_Rates!$F$61:$F$139,OP_Rates!$O22)=0,"-",SUMIFS(Calc_Rates!J$61:J$139,Calc_Rates!$C$61:$C$139,OP_Rates!$M22&amp;" charge",Calc_Rates!$F$61:$F$139,OP_Rates!$O22))</f>
        <v>-</v>
      </c>
      <c r="U22" s="63" t="str">
        <f>IF(SUMIFS(Calc_Rates!K$61:K$139,Calc_Rates!$C$61:$C$139,OP_Rates!$M22&amp;" charge",Calc_Rates!$F$61:$F$139,OP_Rates!$O22)=0,"-",SUMIFS(Calc_Rates!K$61:K$139,Calc_Rates!$C$61:$C$139,OP_Rates!$M22&amp;" charge",Calc_Rates!$F$61:$F$139,OP_Rates!$O22))</f>
        <v>-</v>
      </c>
    </row>
    <row r="23" spans="3:21" hidden="1" x14ac:dyDescent="0.25">
      <c r="C23" s="24" t="s">
        <v>508</v>
      </c>
      <c r="D23" s="24" t="s">
        <v>291</v>
      </c>
      <c r="E23" s="24" t="s">
        <v>100</v>
      </c>
      <c r="F23" s="60" t="s">
        <v>11</v>
      </c>
      <c r="G23" s="63" t="str">
        <f>IF(SUMIFS(Calc_Rates!G$61:G$139,Calc_Rates!$C$61:$C$139,OP_Rates!$C23&amp;" charge",Calc_Rates!$F$61:$F$139,OP_Rates!$E23)=0,"-",SUMIFS(Calc_Rates!G$61:G$139,Calc_Rates!$C$61:$C$139,OP_Rates!$C23&amp;" charge",Calc_Rates!$F$61:$F$139,OP_Rates!$E23))</f>
        <v>-</v>
      </c>
      <c r="H23" s="63">
        <f>IF(SUMIFS(Calc_Rates!H$61:H$139,Calc_Rates!$C$61:$C$139,OP_Rates!$C23&amp;" charge",Calc_Rates!$F$61:$F$139,OP_Rates!$E23)=0,"-",SUMIFS(Calc_Rates!H$61:H$139,Calc_Rates!$C$61:$C$139,OP_Rates!$C23&amp;" charge",Calc_Rates!$F$61:$F$139,OP_Rates!$E23))</f>
        <v>0.23240770183227571</v>
      </c>
      <c r="I23" s="63">
        <f>IF(SUMIFS(Calc_Rates!I$61:I$139,Calc_Rates!$C$61:$C$139,OP_Rates!$C23&amp;" charge",Calc_Rates!$F$61:$F$139,OP_Rates!$E23)=0,"-",SUMIFS(Calc_Rates!I$61:I$139,Calc_Rates!$C$61:$C$139,OP_Rates!$C23&amp;" charge",Calc_Rates!$F$61:$F$139,OP_Rates!$E23))</f>
        <v>0.24901325243406419</v>
      </c>
      <c r="J23" s="63">
        <f>IF(SUMIFS(Calc_Rates!J$61:J$139,Calc_Rates!$C$61:$C$139,OP_Rates!$C23&amp;" charge",Calc_Rates!$F$61:$F$139,OP_Rates!$E23)=0,"-",SUMIFS(Calc_Rates!J$61:J$139,Calc_Rates!$C$61:$C$139,OP_Rates!$C23&amp;" charge",Calc_Rates!$F$61:$F$139,OP_Rates!$E23))</f>
        <v>0.24046692946340739</v>
      </c>
      <c r="K23" s="63">
        <f>IF(SUMIFS(Calc_Rates!K$61:K$139,Calc_Rates!$C$61:$C$139,OP_Rates!$C23&amp;" charge",Calc_Rates!$F$61:$F$139,OP_Rates!$E23)=0,"-",SUMIFS(Calc_Rates!K$61:K$139,Calc_Rates!$C$61:$C$139,OP_Rates!$C23&amp;" charge",Calc_Rates!$F$61:$F$139,OP_Rates!$E23))</f>
        <v>0.24370329238905025</v>
      </c>
      <c r="M23" s="24" t="s">
        <v>508</v>
      </c>
      <c r="N23" s="24" t="s">
        <v>291</v>
      </c>
      <c r="O23" s="24" t="s">
        <v>101</v>
      </c>
      <c r="P23" s="60" t="s">
        <v>11</v>
      </c>
      <c r="Q23" s="63" t="str">
        <f>IF(SUMIFS(Calc_Rates!G$61:G$139,Calc_Rates!$C$61:$C$139,OP_Rates!$M23&amp;" charge",Calc_Rates!$F$61:$F$139,OP_Rates!$O23)=0,"-",SUMIFS(Calc_Rates!G$61:G$139,Calc_Rates!$C$61:$C$139,OP_Rates!$M23&amp;" charge",Calc_Rates!$F$61:$F$139,OP_Rates!$O23))</f>
        <v>-</v>
      </c>
      <c r="R23" s="63">
        <f>IF(SUMIFS(Calc_Rates!H$61:H$139,Calc_Rates!$C$61:$C$139,OP_Rates!$M23&amp;" charge",Calc_Rates!$F$61:$F$139,OP_Rates!$O23)=0,"-",SUMIFS(Calc_Rates!H$61:H$139,Calc_Rates!$C$61:$C$139,OP_Rates!$M23&amp;" charge",Calc_Rates!$F$61:$F$139,OP_Rates!$O23))</f>
        <v>0.22958942839519708</v>
      </c>
      <c r="S23" s="63">
        <f>IF(SUMIFS(Calc_Rates!I$61:I$139,Calc_Rates!$C$61:$C$139,OP_Rates!$M23&amp;" charge",Calc_Rates!$F$61:$F$139,OP_Rates!$O23)=0,"-",SUMIFS(Calc_Rates!I$61:I$139,Calc_Rates!$C$61:$C$139,OP_Rates!$M23&amp;" charge",Calc_Rates!$F$61:$F$139,OP_Rates!$O23))</f>
        <v>0.25968188088215716</v>
      </c>
      <c r="T23" s="63">
        <f>IF(SUMIFS(Calc_Rates!J$61:J$139,Calc_Rates!$C$61:$C$139,OP_Rates!$M23&amp;" charge",Calc_Rates!$F$61:$F$139,OP_Rates!$O23)=0,"-",SUMIFS(Calc_Rates!J$61:J$139,Calc_Rates!$C$61:$C$139,OP_Rates!$M23&amp;" charge",Calc_Rates!$F$61:$F$139,OP_Rates!$O23))</f>
        <v>0.23873463228956526</v>
      </c>
      <c r="U23" s="63">
        <f>IF(SUMIFS(Calc_Rates!K$61:K$139,Calc_Rates!$C$61:$C$139,OP_Rates!$M23&amp;" charge",Calc_Rates!$F$61:$F$139,OP_Rates!$O23)=0,"-",SUMIFS(Calc_Rates!K$61:K$139,Calc_Rates!$C$61:$C$139,OP_Rates!$M23&amp;" charge",Calc_Rates!$F$61:$F$139,OP_Rates!$O23))</f>
        <v>0.2387579555033354</v>
      </c>
    </row>
    <row r="24" spans="3:21" hidden="1" x14ac:dyDescent="0.25">
      <c r="C24" s="24" t="s">
        <v>510</v>
      </c>
      <c r="D24" s="24" t="s">
        <v>118</v>
      </c>
      <c r="E24" s="24" t="s">
        <v>100</v>
      </c>
      <c r="F24" s="60" t="s">
        <v>11</v>
      </c>
      <c r="G24" s="63">
        <f>IF(SUMIFS(Calc_Rates!G$17:G$47,Calc_Rates!$C$17:$C$47,OP_Rates!$C24,Calc_Rates!$F$17:$F$47,OP_Rates!$E24)=0,"-",SUMIFS(Calc_Rates!G$17:G$47,Calc_Rates!$C$17:$C$47,OP_Rates!$C24,Calc_Rates!$F$17:$F$47,OP_Rates!$E24))</f>
        <v>1.1937465898036663</v>
      </c>
      <c r="H24" s="63">
        <f>IF(SUMIFS(Calc_Rates!H$17:H$47,Calc_Rates!$C$17:$C$47,OP_Rates!$C24,Calc_Rates!$F$17:$F$47,OP_Rates!$E24)=0,"-",SUMIFS(Calc_Rates!H$17:H$47,Calc_Rates!$C$17:$C$47,OP_Rates!$C24,Calc_Rates!$F$17:$F$47,OP_Rates!$E24))</f>
        <v>1.1125719529817484</v>
      </c>
      <c r="I24" s="63">
        <f>IF(SUMIFS(Calc_Rates!I$17:I$47,Calc_Rates!$C$17:$C$47,OP_Rates!$C24,Calc_Rates!$F$17:$F$47,OP_Rates!$E24)=0,"-",SUMIFS(Calc_Rates!I$17:I$47,Calc_Rates!$C$17:$C$47,OP_Rates!$C24,Calc_Rates!$F$17:$F$47,OP_Rates!$E24))</f>
        <v>1.0709540129269539</v>
      </c>
      <c r="J24" s="63">
        <f>IF(SUMIFS(Calc_Rates!J$17:J$47,Calc_Rates!$C$17:$C$47,OP_Rates!$C24,Calc_Rates!$F$17:$F$47,OP_Rates!$E24)=0,"-",SUMIFS(Calc_Rates!J$17:J$47,Calc_Rates!$C$17:$C$47,OP_Rates!$C24,Calc_Rates!$F$17:$F$47,OP_Rates!$E24))</f>
        <v>1.2677835725433924</v>
      </c>
      <c r="K24" s="63">
        <f>IF(SUMIFS(Calc_Rates!K$17:K$47,Calc_Rates!$C$17:$C$47,OP_Rates!$C24,Calc_Rates!$F$17:$F$47,OP_Rates!$E24)=0,"-",SUMIFS(Calc_Rates!K$17:K$47,Calc_Rates!$C$17:$C$47,OP_Rates!$C24,Calc_Rates!$F$17:$F$47,OP_Rates!$E24))</f>
        <v>1.0279459320502415</v>
      </c>
      <c r="M24" s="24" t="s">
        <v>510</v>
      </c>
      <c r="N24" s="24" t="s">
        <v>118</v>
      </c>
      <c r="O24" s="24" t="s">
        <v>101</v>
      </c>
      <c r="P24" s="60" t="s">
        <v>11</v>
      </c>
      <c r="Q24" s="63">
        <f>IF(SUMIFS(Calc_Rates!G$17:G$47,Calc_Rates!$C$17:$C$47,OP_Rates!$M24,Calc_Rates!$F$17:$F$47,OP_Rates!$O24)=0,"-",SUMIFS(Calc_Rates!G$17:G$47,Calc_Rates!$C$17:$C$47,OP_Rates!$M24,Calc_Rates!$F$17:$F$47,OP_Rates!$O24))</f>
        <v>1.1937465898036663</v>
      </c>
      <c r="R24" s="63">
        <f>IF(SUMIFS(Calc_Rates!H$17:H$47,Calc_Rates!$C$17:$C$47,OP_Rates!$M24,Calc_Rates!$F$17:$F$47,OP_Rates!$O24)=0,"-",SUMIFS(Calc_Rates!H$17:H$47,Calc_Rates!$C$17:$C$47,OP_Rates!$M24,Calc_Rates!$F$17:$F$47,OP_Rates!$O24))</f>
        <v>1.3362951449817482</v>
      </c>
      <c r="S24" s="63">
        <f>IF(SUMIFS(Calc_Rates!I$17:I$47,Calc_Rates!$C$17:$C$47,OP_Rates!$M24,Calc_Rates!$F$17:$F$47,OP_Rates!$O24)=0,"-",SUMIFS(Calc_Rates!I$17:I$47,Calc_Rates!$C$17:$C$47,OP_Rates!$M24,Calc_Rates!$F$17:$F$47,OP_Rates!$O24))</f>
        <v>1.5820400850365428</v>
      </c>
      <c r="T24" s="63">
        <f>IF(SUMIFS(Calc_Rates!J$17:J$47,Calc_Rates!$C$17:$C$47,OP_Rates!$M24,Calc_Rates!$F$17:$F$47,OP_Rates!$O24)=0,"-",SUMIFS(Calc_Rates!J$17:J$47,Calc_Rates!$C$17:$C$47,OP_Rates!$M24,Calc_Rates!$F$17:$F$47,OP_Rates!$O24))</f>
        <v>1.3956253965433922</v>
      </c>
      <c r="U24" s="63">
        <f>IF(SUMIFS(Calc_Rates!K$17:K$47,Calc_Rates!$C$17:$C$47,OP_Rates!$M24,Calc_Rates!$F$17:$F$47,OP_Rates!$O24)=0,"-",SUMIFS(Calc_Rates!K$17:K$47,Calc_Rates!$C$17:$C$47,OP_Rates!$M24,Calc_Rates!$F$17:$F$47,OP_Rates!$O24))</f>
        <v>1.1557877560502414</v>
      </c>
    </row>
    <row r="25" spans="3:21" hidden="1" x14ac:dyDescent="0.25">
      <c r="C25" s="24" t="s">
        <v>239</v>
      </c>
      <c r="D25" s="24" t="s">
        <v>291</v>
      </c>
      <c r="E25" s="24" t="s">
        <v>100</v>
      </c>
      <c r="F25" s="60" t="s">
        <v>11</v>
      </c>
      <c r="G25" s="63">
        <f>IF(SUMIFS(Calc_Rates!G$61:G$139,Calc_Rates!$C$61:$C$139,OP_Rates!$C25&amp;" charge",Calc_Rates!$F$61:$F$139,OP_Rates!$E25)=0,"-",SUMIFS(Calc_Rates!G$61:G$139,Calc_Rates!$C$61:$C$139,OP_Rates!$C25&amp;" charge",Calc_Rates!$F$61:$F$139,OP_Rates!$E25))</f>
        <v>0.39064526181702397</v>
      </c>
      <c r="H25" s="63">
        <f>IF(SUMIFS(Calc_Rates!H$61:H$139,Calc_Rates!$C$61:$C$139,OP_Rates!$C25&amp;" charge",Calc_Rates!$F$61:$F$139,OP_Rates!$E25)=0,"-",SUMIFS(Calc_Rates!H$61:H$139,Calc_Rates!$C$61:$C$139,OP_Rates!$C25&amp;" charge",Calc_Rates!$F$61:$F$139,OP_Rates!$E25))</f>
        <v>0.32443981783227571</v>
      </c>
      <c r="I25" s="63">
        <f>IF(SUMIFS(Calc_Rates!I$61:I$139,Calc_Rates!$C$61:$C$139,OP_Rates!$C25&amp;" charge",Calc_Rates!$F$61:$F$139,OP_Rates!$E25)=0,"-",SUMIFS(Calc_Rates!I$61:I$139,Calc_Rates!$C$61:$C$139,OP_Rates!$C25&amp;" charge",Calc_Rates!$F$61:$F$139,OP_Rates!$E25))</f>
        <v>0.30525898923406425</v>
      </c>
      <c r="J25" s="63">
        <f>IF(SUMIFS(Calc_Rates!J$61:J$139,Calc_Rates!$C$61:$C$139,OP_Rates!$C25&amp;" charge",Calc_Rates!$F$61:$F$139,OP_Rates!$E25)=0,"-",SUMIFS(Calc_Rates!J$61:J$139,Calc_Rates!$C$61:$C$139,OP_Rates!$C25&amp;" charge",Calc_Rates!$F$61:$F$139,OP_Rates!$E25))</f>
        <v>0.33051609746340732</v>
      </c>
      <c r="K25" s="63">
        <f>IF(SUMIFS(Calc_Rates!K$61:K$139,Calc_Rates!$C$61:$C$139,OP_Rates!$C25&amp;" charge",Calc_Rates!$F$61:$F$139,OP_Rates!$E25)=0,"-",SUMIFS(Calc_Rates!K$61:K$139,Calc_Rates!$C$61:$C$139,OP_Rates!$C25&amp;" charge",Calc_Rates!$F$61:$F$139,OP_Rates!$E25))</f>
        <v>0.3346856123890502</v>
      </c>
      <c r="M25" s="24" t="s">
        <v>239</v>
      </c>
      <c r="N25" s="24" t="s">
        <v>291</v>
      </c>
      <c r="O25" s="24" t="s">
        <v>101</v>
      </c>
      <c r="P25" s="60" t="s">
        <v>11</v>
      </c>
      <c r="Q25" s="63">
        <f>IF(SUMIFS(Calc_Rates!G$61:G$139,Calc_Rates!$C$61:$C$139,OP_Rates!$M25&amp;" charge",Calc_Rates!$F$61:$F$139,OP_Rates!$O25)=0,"-",SUMIFS(Calc_Rates!G$61:G$139,Calc_Rates!$C$61:$C$139,OP_Rates!$M25&amp;" charge",Calc_Rates!$F$61:$F$139,OP_Rates!$O25))</f>
        <v>0.33684734386732462</v>
      </c>
      <c r="R25" s="63">
        <f>IF(SUMIFS(Calc_Rates!H$61:H$139,Calc_Rates!$C$61:$C$139,OP_Rates!$M25&amp;" charge",Calc_Rates!$F$61:$F$139,OP_Rates!$O25)=0,"-",SUMIFS(Calc_Rates!H$61:H$139,Calc_Rates!$C$61:$C$139,OP_Rates!$M25&amp;" charge",Calc_Rates!$F$61:$F$139,OP_Rates!$O25))</f>
        <v>0.28569519239519703</v>
      </c>
      <c r="S25" s="63">
        <f>IF(SUMIFS(Calc_Rates!I$61:I$139,Calc_Rates!$C$61:$C$139,OP_Rates!$M25&amp;" charge",Calc_Rates!$F$61:$F$139,OP_Rates!$O25)=0,"-",SUMIFS(Calc_Rates!I$61:I$139,Calc_Rates!$C$61:$C$139,OP_Rates!$M25&amp;" charge",Calc_Rates!$F$61:$F$139,OP_Rates!$O25))</f>
        <v>0.29885093608215718</v>
      </c>
      <c r="T25" s="63">
        <f>IF(SUMIFS(Calc_Rates!J$61:J$139,Calc_Rates!$C$61:$C$139,OP_Rates!$M25&amp;" charge",Calc_Rates!$F$61:$F$139,OP_Rates!$O25)=0,"-",SUMIFS(Calc_Rates!J$61:J$139,Calc_Rates!$C$61:$C$139,OP_Rates!$M25&amp;" charge",Calc_Rates!$F$61:$F$139,OP_Rates!$O25))</f>
        <v>0.30242225628956532</v>
      </c>
      <c r="U25" s="63">
        <f>IF(SUMIFS(Calc_Rates!K$61:K$139,Calc_Rates!$C$61:$C$139,OP_Rates!$M25&amp;" charge",Calc_Rates!$F$61:$F$139,OP_Rates!$O25)=0,"-",SUMIFS(Calc_Rates!K$61:K$139,Calc_Rates!$C$61:$C$139,OP_Rates!$M25&amp;" charge",Calc_Rates!$F$61:$F$139,OP_Rates!$O25))</f>
        <v>0.29941283550333542</v>
      </c>
    </row>
    <row r="26" spans="3:21" hidden="1" x14ac:dyDescent="0.25">
      <c r="C26" s="24" t="s">
        <v>538</v>
      </c>
      <c r="D26" s="24" t="s">
        <v>291</v>
      </c>
      <c r="E26" s="24" t="s">
        <v>100</v>
      </c>
      <c r="F26" s="60" t="s">
        <v>11</v>
      </c>
      <c r="G26" s="63">
        <f>IF(SUMIFS(Calc_Rates!G$61:G$139,Calc_Rates!$C$61:$C$139,OP_Rates!$C26&amp;" charge",Calc_Rates!$F$61:$F$139,OP_Rates!$E26)=0,"-",SUMIFS(Calc_Rates!G$61:G$139,Calc_Rates!$C$61:$C$139,OP_Rates!$C26&amp;" charge",Calc_Rates!$F$61:$F$139,OP_Rates!$E26))</f>
        <v>0.19805085409702394</v>
      </c>
      <c r="H26" s="63">
        <f>IF(SUMIFS(Calc_Rates!H$61:H$139,Calc_Rates!$C$61:$C$139,OP_Rates!$C26&amp;" charge",Calc_Rates!$F$61:$F$139,OP_Rates!$E26)=0,"-",SUMIFS(Calc_Rates!H$61:H$139,Calc_Rates!$C$61:$C$139,OP_Rates!$C26&amp;" charge",Calc_Rates!$F$61:$F$139,OP_Rates!$E26))</f>
        <v>0.18493359383227576</v>
      </c>
      <c r="I26" s="63">
        <f>IF(SUMIFS(Calc_Rates!I$61:I$139,Calc_Rates!$C$61:$C$139,OP_Rates!$C26&amp;" charge",Calc_Rates!$F$61:$F$139,OP_Rates!$E26)=0,"-",SUMIFS(Calc_Rates!I$61:I$139,Calc_Rates!$C$61:$C$139,OP_Rates!$C26&amp;" charge",Calc_Rates!$F$61:$F$139,OP_Rates!$E26))</f>
        <v>0.19325742043406419</v>
      </c>
      <c r="J26" s="63">
        <f>IF(SUMIFS(Calc_Rates!J$61:J$139,Calc_Rates!$C$61:$C$139,OP_Rates!$C26&amp;" charge",Calc_Rates!$F$61:$F$139,OP_Rates!$E26)=0,"-",SUMIFS(Calc_Rates!J$61:J$139,Calc_Rates!$C$61:$C$139,OP_Rates!$C26&amp;" charge",Calc_Rates!$F$61:$F$139,OP_Rates!$E26))</f>
        <v>0.19159309346340736</v>
      </c>
      <c r="K26" s="63">
        <f>IF(SUMIFS(Calc_Rates!K$61:K$139,Calc_Rates!$C$61:$C$139,OP_Rates!$C26&amp;" charge",Calc_Rates!$F$61:$F$139,OP_Rates!$E26)=0,"-",SUMIFS(Calc_Rates!K$61:K$139,Calc_Rates!$C$61:$C$139,OP_Rates!$C26&amp;" charge",Calc_Rates!$F$61:$F$139,OP_Rates!$E26))</f>
        <v>0.19657911638905026</v>
      </c>
      <c r="M26" s="24" t="s">
        <v>538</v>
      </c>
      <c r="N26" s="24" t="s">
        <v>291</v>
      </c>
      <c r="O26" s="24" t="s">
        <v>101</v>
      </c>
      <c r="P26" s="60" t="s">
        <v>11</v>
      </c>
      <c r="Q26" s="63">
        <f>IF(SUMIFS(Calc_Rates!G$61:G$139,Calc_Rates!$C$61:$C$139,OP_Rates!$M26&amp;" charge",Calc_Rates!$F$61:$F$139,OP_Rates!$O26)=0,"-",SUMIFS(Calc_Rates!G$61:G$139,Calc_Rates!$C$61:$C$139,OP_Rates!$M26&amp;" charge",Calc_Rates!$F$61:$F$139,OP_Rates!$O26))</f>
        <v>0.18237452822732461</v>
      </c>
      <c r="R26" s="63">
        <f>IF(SUMIFS(Calc_Rates!H$61:H$139,Calc_Rates!$C$61:$C$139,OP_Rates!$M26&amp;" charge",Calc_Rates!$F$61:$F$139,OP_Rates!$O26)=0,"-",SUMIFS(Calc_Rates!H$61:H$139,Calc_Rates!$C$61:$C$139,OP_Rates!$M26&amp;" charge",Calc_Rates!$F$61:$F$139,OP_Rates!$O26))</f>
        <v>0.16753482039519704</v>
      </c>
      <c r="S26" s="63">
        <f>IF(SUMIFS(Calc_Rates!I$61:I$139,Calc_Rates!$C$61:$C$139,OP_Rates!$M26&amp;" charge",Calc_Rates!$F$61:$F$139,OP_Rates!$O26)=0,"-",SUMIFS(Calc_Rates!I$61:I$139,Calc_Rates!$C$61:$C$139,OP_Rates!$M26&amp;" charge",Calc_Rates!$F$61:$F$139,OP_Rates!$O26))</f>
        <v>0.16728816848215716</v>
      </c>
      <c r="T26" s="63">
        <f>IF(SUMIFS(Calc_Rates!J$61:J$139,Calc_Rates!$C$61:$C$139,OP_Rates!$M26&amp;" charge",Calc_Rates!$F$61:$F$139,OP_Rates!$O26)=0,"-",SUMIFS(Calc_Rates!J$61:J$139,Calc_Rates!$C$61:$C$139,OP_Rates!$M26&amp;" charge",Calc_Rates!$F$61:$F$139,OP_Rates!$O26))</f>
        <v>0.16863158828956526</v>
      </c>
      <c r="U26" s="63">
        <f>IF(SUMIFS(Calc_Rates!K$61:K$139,Calc_Rates!$C$61:$C$139,OP_Rates!$M26&amp;" charge",Calc_Rates!$F$61:$F$139,OP_Rates!$O26)=0,"-",SUMIFS(Calc_Rates!K$61:K$139,Calc_Rates!$C$61:$C$139,OP_Rates!$M26&amp;" charge",Calc_Rates!$F$61:$F$139,OP_Rates!$O26))</f>
        <v>0.17250416350333539</v>
      </c>
    </row>
    <row r="27" spans="3:21" hidden="1" x14ac:dyDescent="0.25">
      <c r="C27" s="24" t="s">
        <v>296</v>
      </c>
      <c r="D27" s="24" t="s">
        <v>291</v>
      </c>
      <c r="E27" s="24" t="s">
        <v>100</v>
      </c>
      <c r="F27" s="60" t="s">
        <v>11</v>
      </c>
      <c r="G27" s="63">
        <f>IF(SUMIFS(Calc_Rates!G$61:G$139,Calc_Rates!$C$61:$C$139,OP_Rates!$C27&amp;" charge",Calc_Rates!$F$61:$F$139,OP_Rates!$E27)=0,"-",SUMIFS(Calc_Rates!G$61:G$139,Calc_Rates!$C$61:$C$139,OP_Rates!$C27&amp;" charge",Calc_Rates!$F$61:$F$139,OP_Rates!$E27))</f>
        <v>0.19712236785702394</v>
      </c>
      <c r="H27" s="63">
        <f>IF(SUMIFS(Calc_Rates!H$61:H$139,Calc_Rates!$C$61:$C$139,OP_Rates!$C27&amp;" charge",Calc_Rates!$F$61:$F$139,OP_Rates!$E27)=0,"-",SUMIFS(Calc_Rates!H$61:H$139,Calc_Rates!$C$61:$C$139,OP_Rates!$C27&amp;" charge",Calc_Rates!$F$61:$F$139,OP_Rates!$E27))</f>
        <v>0.16732034983227576</v>
      </c>
      <c r="I27" s="63">
        <f>IF(SUMIFS(Calc_Rates!I$61:I$139,Calc_Rates!$C$61:$C$139,OP_Rates!$C27&amp;" charge",Calc_Rates!$F$61:$F$139,OP_Rates!$E27)=0,"-",SUMIFS(Calc_Rates!I$61:I$139,Calc_Rates!$C$61:$C$139,OP_Rates!$C27&amp;" charge",Calc_Rates!$F$61:$F$139,OP_Rates!$E27))</f>
        <v>0.18986308003406419</v>
      </c>
      <c r="J27" s="63">
        <f>IF(SUMIFS(Calc_Rates!J$61:J$139,Calc_Rates!$C$61:$C$139,OP_Rates!$C27&amp;" charge",Calc_Rates!$F$61:$F$139,OP_Rates!$E27)=0,"-",SUMIFS(Calc_Rates!J$61:J$139,Calc_Rates!$C$61:$C$139,OP_Rates!$C27&amp;" charge",Calc_Rates!$F$61:$F$139,OP_Rates!$E27))</f>
        <v>0.17327998546340737</v>
      </c>
      <c r="K27" s="63">
        <f>IF(SUMIFS(Calc_Rates!K$61:K$139,Calc_Rates!$C$61:$C$139,OP_Rates!$C27&amp;" charge",Calc_Rates!$F$61:$F$139,OP_Rates!$E27)=0,"-",SUMIFS(Calc_Rates!K$61:K$139,Calc_Rates!$C$61:$C$139,OP_Rates!$C27&amp;" charge",Calc_Rates!$F$61:$F$139,OP_Rates!$E27))</f>
        <v>0.17581648438905023</v>
      </c>
      <c r="M27" s="24"/>
      <c r="N27" s="24"/>
      <c r="O27" s="24"/>
      <c r="P27" s="60" t="s">
        <v>11</v>
      </c>
      <c r="Q27" s="63"/>
      <c r="R27" s="63"/>
      <c r="S27" s="63"/>
      <c r="T27" s="63"/>
      <c r="U27" s="63"/>
    </row>
    <row r="28" spans="3:21" hidden="1" x14ac:dyDescent="0.25"/>
    <row r="29" spans="3:21" ht="15.75" hidden="1" x14ac:dyDescent="0.25">
      <c r="C29" s="30" t="s">
        <v>600</v>
      </c>
      <c r="M29" s="30" t="s">
        <v>603</v>
      </c>
    </row>
    <row r="30" spans="3:21" ht="15.75" hidden="1" x14ac:dyDescent="0.25">
      <c r="C30" s="44" t="s">
        <v>340</v>
      </c>
      <c r="D30" s="44" t="s">
        <v>111</v>
      </c>
      <c r="E30" s="44" t="s">
        <v>99</v>
      </c>
      <c r="F30" s="44" t="s">
        <v>53</v>
      </c>
      <c r="G30" s="61" t="s">
        <v>277</v>
      </c>
      <c r="H30" s="61" t="s">
        <v>278</v>
      </c>
      <c r="I30" s="61" t="s">
        <v>279</v>
      </c>
      <c r="J30" s="61" t="s">
        <v>280</v>
      </c>
      <c r="K30" s="86" t="s">
        <v>281</v>
      </c>
      <c r="M30" s="44" t="s">
        <v>340</v>
      </c>
      <c r="N30" s="44" t="s">
        <v>111</v>
      </c>
      <c r="O30" s="44" t="s">
        <v>99</v>
      </c>
      <c r="P30" s="44" t="s">
        <v>53</v>
      </c>
      <c r="Q30" s="61" t="s">
        <v>277</v>
      </c>
      <c r="R30" s="61" t="s">
        <v>278</v>
      </c>
      <c r="S30" s="61" t="s">
        <v>279</v>
      </c>
      <c r="T30" s="61" t="s">
        <v>280</v>
      </c>
      <c r="U30" s="86" t="s">
        <v>281</v>
      </c>
    </row>
    <row r="31" spans="3:21" hidden="1" x14ac:dyDescent="0.25">
      <c r="C31" s="60" t="s">
        <v>515</v>
      </c>
      <c r="D31" s="60" t="s">
        <v>118</v>
      </c>
      <c r="E31" s="60" t="s">
        <v>100</v>
      </c>
      <c r="F31" s="24" t="s">
        <v>130</v>
      </c>
      <c r="G31" s="200" t="str" cm="1">
        <f t="array" ref="G3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v>
      </c>
      <c r="H31" s="200" t="str" cm="1">
        <f t="array" ref="H3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v>
      </c>
      <c r="I31" s="200" t="str" cm="1">
        <f t="array" ref="I3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v>
      </c>
      <c r="J31" s="200" t="str" cm="1">
        <f t="array" ref="J3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v>
      </c>
      <c r="K31" s="200" t="str" cm="1">
        <f t="array" ref="K3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v>
      </c>
      <c r="M31" s="60" t="s">
        <v>515</v>
      </c>
      <c r="N31" s="60" t="s">
        <v>118</v>
      </c>
      <c r="O31" s="60" t="s">
        <v>101</v>
      </c>
      <c r="P31" s="24" t="s">
        <v>130</v>
      </c>
      <c r="Q31" s="200" t="str" cm="1">
        <f t="array" ref="Q3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v>
      </c>
      <c r="R31" s="200" t="str" cm="1">
        <f t="array" ref="R3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v>
      </c>
      <c r="S31" s="200" t="str" cm="1">
        <f t="array" ref="S3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v>
      </c>
      <c r="T31" s="200" t="str" cm="1">
        <f t="array" ref="T3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v>
      </c>
      <c r="U31" s="200" t="str" cm="1">
        <f t="array" ref="U3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v>
      </c>
    </row>
    <row r="32" spans="3:21" hidden="1" x14ac:dyDescent="0.25">
      <c r="C32" s="60" t="s">
        <v>516</v>
      </c>
      <c r="D32" s="60" t="s">
        <v>118</v>
      </c>
      <c r="E32" s="60" t="s">
        <v>100</v>
      </c>
      <c r="F32" s="24" t="s">
        <v>130</v>
      </c>
      <c r="G32" s="200" t="str" cm="1">
        <f t="array" ref="G32">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v>
      </c>
      <c r="H32" s="200" t="str" cm="1">
        <f t="array" ref="H32">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v>
      </c>
      <c r="I32" s="200" t="str" cm="1">
        <f t="array" ref="I32">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v>
      </c>
      <c r="J32" s="200" t="str" cm="1">
        <f t="array" ref="J32">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v>
      </c>
      <c r="K32" s="200" t="str" cm="1">
        <f t="array" ref="K32">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v>
      </c>
      <c r="M32" s="60" t="s">
        <v>516</v>
      </c>
      <c r="N32" s="60" t="s">
        <v>118</v>
      </c>
      <c r="O32" s="60" t="s">
        <v>101</v>
      </c>
      <c r="P32" s="24" t="s">
        <v>130</v>
      </c>
      <c r="Q32" s="200" t="str" cm="1">
        <f t="array" ref="Q32">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v>
      </c>
      <c r="R32" s="200" t="str" cm="1">
        <f t="array" ref="R32">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v>
      </c>
      <c r="S32" s="200" t="str" cm="1">
        <f t="array" ref="S32">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v>
      </c>
      <c r="T32" s="200" t="str" cm="1">
        <f t="array" ref="T32">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v>
      </c>
      <c r="U32" s="200" t="str" cm="1">
        <f t="array" ref="U32">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v>
      </c>
    </row>
    <row r="33" spans="3:21" hidden="1" x14ac:dyDescent="0.25">
      <c r="C33" s="60" t="s">
        <v>296</v>
      </c>
      <c r="D33" s="60" t="s">
        <v>291</v>
      </c>
      <c r="E33" s="60" t="s">
        <v>100</v>
      </c>
      <c r="F33" s="24" t="s">
        <v>130</v>
      </c>
      <c r="G33" s="200" t="str" cm="1">
        <f t="array" ref="G33">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v>
      </c>
      <c r="H33" s="200" t="str" cm="1">
        <f t="array" ref="H33">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v>
      </c>
      <c r="I33" s="200" t="str" cm="1">
        <f t="array" ref="I33">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v>
      </c>
      <c r="J33" s="200" t="str" cm="1">
        <f t="array" ref="J33">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v>
      </c>
      <c r="K33" s="200" t="str" cm="1">
        <f t="array" ref="K33">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v>
      </c>
      <c r="M33" s="60"/>
      <c r="N33" s="60"/>
      <c r="O33" s="60"/>
      <c r="P33" s="24"/>
      <c r="Q33" s="200" t="str" cm="1">
        <f t="array" ref="Q33">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v>
      </c>
      <c r="R33" s="200" t="str" cm="1">
        <f t="array" ref="R33">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v>
      </c>
      <c r="S33" s="200" t="str" cm="1">
        <f t="array" ref="S33">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v>
      </c>
      <c r="T33" s="200" t="str" cm="1">
        <f t="array" ref="T33">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v>
      </c>
      <c r="U33" s="200" t="str" cm="1">
        <f t="array" ref="U33">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v>
      </c>
    </row>
    <row r="34" spans="3:21" hidden="1" x14ac:dyDescent="0.25">
      <c r="C34" s="60" t="s">
        <v>230</v>
      </c>
      <c r="D34" s="60" t="s">
        <v>291</v>
      </c>
      <c r="E34" s="60" t="s">
        <v>100</v>
      </c>
      <c r="F34" s="24" t="s">
        <v>160</v>
      </c>
      <c r="G34" s="200" cm="1">
        <f t="array" ref="G34">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0</v>
      </c>
      <c r="H34" s="200" cm="1">
        <f t="array" ref="H34">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0</v>
      </c>
      <c r="I34" s="200" cm="1">
        <f t="array" ref="I34">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0</v>
      </c>
      <c r="J34" s="200" cm="1">
        <f t="array" ref="J34">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0</v>
      </c>
      <c r="K34" s="200" cm="1">
        <f t="array" ref="K34">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0</v>
      </c>
      <c r="M34" s="60" t="s">
        <v>230</v>
      </c>
      <c r="N34" s="60" t="s">
        <v>291</v>
      </c>
      <c r="O34" s="60" t="s">
        <v>101</v>
      </c>
      <c r="P34" s="24" t="s">
        <v>160</v>
      </c>
      <c r="Q34" s="200" cm="1">
        <f t="array" ref="Q34">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0</v>
      </c>
      <c r="R34" s="200" cm="1">
        <f t="array" ref="R34">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0</v>
      </c>
      <c r="S34" s="200" cm="1">
        <f t="array" ref="S34">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0</v>
      </c>
      <c r="T34" s="200" cm="1">
        <f t="array" ref="T34">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0</v>
      </c>
      <c r="U34" s="200" cm="1">
        <f t="array" ref="U34">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0</v>
      </c>
    </row>
    <row r="35" spans="3:21" hidden="1" x14ac:dyDescent="0.25">
      <c r="C35" s="60" t="s">
        <v>237</v>
      </c>
      <c r="D35" s="60" t="s">
        <v>291</v>
      </c>
      <c r="E35" s="60" t="s">
        <v>100</v>
      </c>
      <c r="F35" s="24" t="s">
        <v>160</v>
      </c>
      <c r="G35" s="200" cm="1">
        <f t="array" ref="G35">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0</v>
      </c>
      <c r="H35" s="200" cm="1">
        <f t="array" ref="H35">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0</v>
      </c>
      <c r="I35" s="200" cm="1">
        <f t="array" ref="I35">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0</v>
      </c>
      <c r="J35" s="200" cm="1">
        <f t="array" ref="J35">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0</v>
      </c>
      <c r="K35" s="200" cm="1">
        <f t="array" ref="K35">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0</v>
      </c>
      <c r="M35" s="60" t="s">
        <v>237</v>
      </c>
      <c r="N35" s="60" t="s">
        <v>291</v>
      </c>
      <c r="O35" s="60" t="s">
        <v>101</v>
      </c>
      <c r="P35" s="24" t="s">
        <v>160</v>
      </c>
      <c r="Q35" s="200" cm="1">
        <f t="array" ref="Q35">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0</v>
      </c>
      <c r="R35" s="200" cm="1">
        <f t="array" ref="R35">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0</v>
      </c>
      <c r="S35" s="200" cm="1">
        <f t="array" ref="S35">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0</v>
      </c>
      <c r="T35" s="200" cm="1">
        <f t="array" ref="T35">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0</v>
      </c>
      <c r="U35" s="200" cm="1">
        <f t="array" ref="U35">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0</v>
      </c>
    </row>
    <row r="36" spans="3:21" hidden="1" x14ac:dyDescent="0.25">
      <c r="C36" s="60" t="s">
        <v>508</v>
      </c>
      <c r="D36" s="60" t="s">
        <v>291</v>
      </c>
      <c r="E36" s="60" t="s">
        <v>100</v>
      </c>
      <c r="F36" s="24" t="s">
        <v>160</v>
      </c>
      <c r="G36" s="200" cm="1">
        <f t="array" ref="G36">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0</v>
      </c>
      <c r="H36" s="200" cm="1">
        <f t="array" ref="H36">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0</v>
      </c>
      <c r="I36" s="200" cm="1">
        <f t="array" ref="I36">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0</v>
      </c>
      <c r="J36" s="200" cm="1">
        <f t="array" ref="J36">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0</v>
      </c>
      <c r="K36" s="200" cm="1">
        <f t="array" ref="K36">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0</v>
      </c>
      <c r="M36" s="60" t="s">
        <v>508</v>
      </c>
      <c r="N36" s="60" t="s">
        <v>291</v>
      </c>
      <c r="O36" s="60" t="s">
        <v>101</v>
      </c>
      <c r="P36" s="24" t="s">
        <v>160</v>
      </c>
      <c r="Q36" s="200" cm="1">
        <f t="array" ref="Q36">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0</v>
      </c>
      <c r="R36" s="200" cm="1">
        <f t="array" ref="R36">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0</v>
      </c>
      <c r="S36" s="200" cm="1">
        <f t="array" ref="S36">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0</v>
      </c>
      <c r="T36" s="200" cm="1">
        <f t="array" ref="T36">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0</v>
      </c>
      <c r="U36" s="200" cm="1">
        <f t="array" ref="U36">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0</v>
      </c>
    </row>
    <row r="37" spans="3:21" hidden="1" x14ac:dyDescent="0.25">
      <c r="C37" s="60" t="s">
        <v>239</v>
      </c>
      <c r="D37" s="60" t="s">
        <v>291</v>
      </c>
      <c r="E37" s="60" t="s">
        <v>100</v>
      </c>
      <c r="F37" s="24" t="s">
        <v>160</v>
      </c>
      <c r="G37" s="200" cm="1">
        <f t="array" ref="G37">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0</v>
      </c>
      <c r="H37" s="200" cm="1">
        <f t="array" ref="H37">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0</v>
      </c>
      <c r="I37" s="200" cm="1">
        <f t="array" ref="I37">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0</v>
      </c>
      <c r="J37" s="200" cm="1">
        <f t="array" ref="J37">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0</v>
      </c>
      <c r="K37" s="200" cm="1">
        <f t="array" ref="K37">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0</v>
      </c>
      <c r="M37" s="60" t="s">
        <v>239</v>
      </c>
      <c r="N37" s="60" t="s">
        <v>291</v>
      </c>
      <c r="O37" s="60" t="s">
        <v>101</v>
      </c>
      <c r="P37" s="24" t="s">
        <v>160</v>
      </c>
      <c r="Q37" s="200" cm="1">
        <f t="array" ref="Q37">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0</v>
      </c>
      <c r="R37" s="200" cm="1">
        <f t="array" ref="R37">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0</v>
      </c>
      <c r="S37" s="200" cm="1">
        <f t="array" ref="S37">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0</v>
      </c>
      <c r="T37" s="200" cm="1">
        <f t="array" ref="T37">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0</v>
      </c>
      <c r="U37" s="200" cm="1">
        <f t="array" ref="U37">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0</v>
      </c>
    </row>
    <row r="38" spans="3:21" hidden="1" x14ac:dyDescent="0.25">
      <c r="C38" s="60" t="s">
        <v>538</v>
      </c>
      <c r="D38" s="60" t="s">
        <v>291</v>
      </c>
      <c r="E38" s="60" t="s">
        <v>100</v>
      </c>
      <c r="F38" s="24" t="s">
        <v>160</v>
      </c>
      <c r="G38" s="200" cm="1">
        <f t="array" ref="G38">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0</v>
      </c>
      <c r="H38" s="200" cm="1">
        <f t="array" ref="H38">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0</v>
      </c>
      <c r="I38" s="200" cm="1">
        <f t="array" ref="I38">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0</v>
      </c>
      <c r="J38" s="200" cm="1">
        <f t="array" ref="J38">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0</v>
      </c>
      <c r="K38" s="200" cm="1">
        <f t="array" ref="K38">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0</v>
      </c>
      <c r="M38" s="60" t="s">
        <v>538</v>
      </c>
      <c r="N38" s="60" t="s">
        <v>291</v>
      </c>
      <c r="O38" s="60" t="s">
        <v>101</v>
      </c>
      <c r="P38" s="24" t="s">
        <v>160</v>
      </c>
      <c r="Q38" s="200" cm="1">
        <f t="array" ref="Q38">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0</v>
      </c>
      <c r="R38" s="200" cm="1">
        <f t="array" ref="R38">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0</v>
      </c>
      <c r="S38" s="200" cm="1">
        <f t="array" ref="S38">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0</v>
      </c>
      <c r="T38" s="200" cm="1">
        <f t="array" ref="T38">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0</v>
      </c>
      <c r="U38" s="200" cm="1">
        <f t="array" ref="U38">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0</v>
      </c>
    </row>
    <row r="39" spans="3:21" hidden="1" x14ac:dyDescent="0.25">
      <c r="C39" s="60" t="s">
        <v>296</v>
      </c>
      <c r="D39" s="60" t="s">
        <v>291</v>
      </c>
      <c r="E39" s="60" t="s">
        <v>100</v>
      </c>
      <c r="F39" s="24" t="s">
        <v>160</v>
      </c>
      <c r="G39" s="200" cm="1">
        <f t="array" ref="G39">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0</v>
      </c>
      <c r="H39" s="200" cm="1">
        <f t="array" ref="H39">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0</v>
      </c>
      <c r="I39" s="200" cm="1">
        <f t="array" ref="I39">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0</v>
      </c>
      <c r="J39" s="200" cm="1">
        <f t="array" ref="J39">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0</v>
      </c>
      <c r="K39" s="200" cm="1">
        <f t="array" ref="K39">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0</v>
      </c>
      <c r="M39" s="60"/>
      <c r="N39" s="60"/>
      <c r="O39" s="60"/>
      <c r="P39" s="24"/>
      <c r="Q39" s="200" t="str" cm="1">
        <f t="array" ref="Q39">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v>
      </c>
      <c r="R39" s="200" t="str" cm="1">
        <f t="array" ref="R39">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v>
      </c>
      <c r="S39" s="200" t="str" cm="1">
        <f t="array" ref="S39">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v>
      </c>
      <c r="T39" s="200" t="str" cm="1">
        <f t="array" ref="T39">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v>
      </c>
      <c r="U39" s="200" t="str" cm="1">
        <f t="array" ref="U39">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v>
      </c>
    </row>
    <row r="40" spans="3:21" hidden="1" x14ac:dyDescent="0.25"/>
    <row r="41" spans="3:21" ht="15.75" hidden="1" x14ac:dyDescent="0.25">
      <c r="C41" s="82" t="s">
        <v>25</v>
      </c>
    </row>
    <row r="42" spans="3:21" ht="15.75" hidden="1" x14ac:dyDescent="0.25">
      <c r="C42" s="30" t="str">
        <f>C$7&amp;" - checks"</f>
        <v>VDO residential rates - checks</v>
      </c>
      <c r="M42" s="30" t="str">
        <f>M$7&amp;" - checks"</f>
        <v>VDO small business rates - checks</v>
      </c>
    </row>
    <row r="43" spans="3:21" ht="15.75" hidden="1" x14ac:dyDescent="0.25">
      <c r="C43" s="43" t="s">
        <v>340</v>
      </c>
      <c r="D43" s="43" t="s">
        <v>111</v>
      </c>
      <c r="E43" s="43" t="s">
        <v>99</v>
      </c>
      <c r="G43" s="51" t="s">
        <v>277</v>
      </c>
      <c r="H43" s="51" t="s">
        <v>278</v>
      </c>
      <c r="I43" s="51" t="s">
        <v>279</v>
      </c>
      <c r="J43" s="51" t="s">
        <v>280</v>
      </c>
      <c r="K43" s="51" t="s">
        <v>281</v>
      </c>
      <c r="M43" s="43" t="s">
        <v>340</v>
      </c>
      <c r="N43" s="43" t="s">
        <v>111</v>
      </c>
      <c r="O43" s="43" t="s">
        <v>99</v>
      </c>
      <c r="Q43" s="51" t="s">
        <v>277</v>
      </c>
      <c r="R43" s="51" t="s">
        <v>278</v>
      </c>
      <c r="S43" s="51" t="s">
        <v>279</v>
      </c>
      <c r="T43" s="51" t="s">
        <v>280</v>
      </c>
      <c r="U43" s="51" t="s">
        <v>281</v>
      </c>
    </row>
    <row r="44" spans="3:21" ht="15.75" hidden="1" x14ac:dyDescent="0.25">
      <c r="C44" s="60" t="s">
        <v>509</v>
      </c>
      <c r="D44" s="60" t="s">
        <v>118</v>
      </c>
      <c r="E44" s="60" t="s">
        <v>100</v>
      </c>
      <c r="G44" s="94">
        <f>IF(ROUND(G9,4)=ROUND(
SUMIFS(OP_Rates_RES_1[Ausnet],OP_Rates_RES_1[[Rate name]:[Rate name]],$C44)+
SUMIFS(OP_RatesTU_RES_1[Ausnet],OP_RatesTU_RES_1[[Rate name]:[Rate name]],
IF($D44&lt;&gt;"$",$C44,LEFT($C44,LEN($C44)-FIND(" - supply",$C44)-1))),4),
0,1)</f>
        <v>0</v>
      </c>
      <c r="H44" s="94">
        <f>IF(ROUND(H9,4)=ROUND(
SUMIFS(OP_Rates_RES_1[Citipower],OP_Rates_RES_1[[Rate name]:[Rate name]],$C44)+
SUMIFS(OP_RatesTU_RES_1[Citipower],OP_RatesTU_RES_1[[Rate name]:[Rate name]],
IF($D44&lt;&gt;"$",$C44,LEFT($C44,LEN($C44)-FIND(" - supply",$C44)-1))),4),
0,1)</f>
        <v>0</v>
      </c>
      <c r="I44" s="94">
        <f>IF(ROUND(I9,4)=ROUND(
SUMIFS(OP_Rates_RES_1[Jemena],OP_Rates_RES_1[[Rate name]:[Rate name]],$C44)+
SUMIFS(OP_RatesTU_RES_1[Jemena],OP_RatesTU_RES_1[[Rate name]:[Rate name]],
IF($D44&lt;&gt;"$",$C44,LEFT($C44,LEN($C44)-FIND(" - supply",$C44)-1))),4),
0,1)</f>
        <v>0</v>
      </c>
      <c r="J44" s="94">
        <f>IF(ROUND(J9,4)=ROUND(
SUMIFS(OP_Rates_RES_1[Powercor],OP_Rates_RES_1[[Rate name]:[Rate name]],$C44)+
SUMIFS(OP_RatesTU_RES_1[Powercor],OP_RatesTU_RES_1[[Rate name]:[Rate name]],
IF($D44&lt;&gt;"$",$C44,LEFT($C44,LEN($C44)-FIND(" - supply",$C44)-1))),4),
0,1)</f>
        <v>0</v>
      </c>
      <c r="K44" s="94">
        <f>IF(ROUND(K9,4)=ROUND(
SUMIFS(OP_Rates_RES_1[United Energy],OP_Rates_RES_1[[Rate name]:[Rate name]],$C44)+
SUMIFS(OP_RatesTU_RES_1[United Energy],OP_RatesTU_RES_1[[Rate name]:[Rate name]],
IF($D44&lt;&gt;"$",$C44,LEFT($C44,LEN($C44)-FIND(" - supply",$C44)-1))),4),
0,1)</f>
        <v>0</v>
      </c>
      <c r="M44" s="60" t="s">
        <v>509</v>
      </c>
      <c r="N44" s="60" t="s">
        <v>118</v>
      </c>
      <c r="O44" s="60" t="s">
        <v>101</v>
      </c>
      <c r="Q44" s="94">
        <f>IF(ROUND(Q9,4)=ROUND(
SUMIFS(OP_Rates_SME_1[Ausnet],OP_Rates_SME_1[[Rate name]:[Rate name]],$C44)+
SUMIFS(OP_RatesTU_SME_1[Ausnet],OP_RatesTU_SME_1[[Rate name]:[Rate name]],
IF($D44&lt;&gt;"$",$C44,LEFT($C44,LEN($C44)-FIND(" - supply",$C44)-1))),4),
0,1)</f>
        <v>0</v>
      </c>
      <c r="R44" s="94">
        <f>IF(ROUND(R9,4)=ROUND(
SUMIFS(OP_Rates_SME_1[Citipower],OP_Rates_SME_1[[Rate name]:[Rate name]],$C44)+
SUMIFS(OP_RatesTU_SME_1[Citipower],OP_RatesTU_SME_1[[Rate name]:[Rate name]],
IF($D44&lt;&gt;"$",$C44,LEFT($C44,LEN($C44)-FIND(" - supply",$C44)-1))),4),
0,1)</f>
        <v>0</v>
      </c>
      <c r="S44" s="94">
        <f>IF(ROUND(S9,4)=ROUND(
SUMIFS(OP_Rates_SME_1[Jemena],OP_Rates_SME_1[[Rate name]:[Rate name]],$C44)+
SUMIFS(OP_RatesTU_SME_1[Jemena],OP_RatesTU_SME_1[[Rate name]:[Rate name]],
IF($D44&lt;&gt;"$",$C44,LEFT($C44,LEN($C44)-FIND(" - supply",$C44)-1))),4),
0,1)</f>
        <v>0</v>
      </c>
      <c r="T44" s="94">
        <f>IF(ROUND(T9,4)=ROUND(
SUMIFS(OP_Rates_SME_1[Powercor],OP_Rates_SME_1[[Rate name]:[Rate name]],$C44)+
SUMIFS(OP_RatesTU_SME_1[Powercor],OP_RatesTU_SME_1[[Rate name]:[Rate name]],
IF($D44&lt;&gt;"$",$C44,LEFT($C44,LEN($C44)-FIND(" - supply",$C44)-1))),4),
0,1)</f>
        <v>0</v>
      </c>
      <c r="U44" s="94">
        <f>IF(ROUND(U9,4)=ROUND(
SUMIFS(OP_Rates_SME_1[United Energy],OP_Rates_SME_1[[Rate name]:[Rate name]],$C44)+
SUMIFS(OP_RatesTU_SME_1[United Energy],OP_RatesTU_SME_1[[Rate name]:[Rate name]],
IF($D44&lt;&gt;"$",$C44,LEFT($C44,LEN($C44)-FIND(" - supply",$C44)-1))),4),
0,1)</f>
        <v>0</v>
      </c>
    </row>
    <row r="45" spans="3:21" ht="15.75" hidden="1" x14ac:dyDescent="0.25">
      <c r="C45" s="60" t="s">
        <v>230</v>
      </c>
      <c r="D45" s="60" t="s">
        <v>291</v>
      </c>
      <c r="E45" s="60" t="s">
        <v>100</v>
      </c>
      <c r="G45" s="94">
        <f>IF(ROUND(G10,4)=ROUND(
SUMIFS(OP_Rates_RES_1[Ausnet],OP_Rates_RES_1[[Rate name]:[Rate name]],$C45)+
SUMIFS(OP_RatesTU_RES_1[Ausnet],OP_RatesTU_RES_1[[Rate name]:[Rate name]],
IF($D45&lt;&gt;"$",$C45,LEFT($C45,LEN($C45)-FIND(" - supply",$C45)-1))),4),
0,1)</f>
        <v>0</v>
      </c>
      <c r="H45" s="94">
        <f>IF(ROUND(H10,4)=ROUND(
SUMIFS(OP_Rates_RES_1[Citipower],OP_Rates_RES_1[[Rate name]:[Rate name]],$C45)+
SUMIFS(OP_RatesTU_RES_1[Citipower],OP_RatesTU_RES_1[[Rate name]:[Rate name]],
IF($D45&lt;&gt;"$",$C45,LEFT($C45,LEN($C45)-FIND(" - supply",$C45)-1))),4),
0,1)</f>
        <v>0</v>
      </c>
      <c r="I45" s="94">
        <f>IF(ROUND(I10,4)=ROUND(
SUMIFS(OP_Rates_RES_1[Jemena],OP_Rates_RES_1[[Rate name]:[Rate name]],$C45)+
SUMIFS(OP_RatesTU_RES_1[Jemena],OP_RatesTU_RES_1[[Rate name]:[Rate name]],
IF($D45&lt;&gt;"$",$C45,LEFT($C45,LEN($C45)-FIND(" - supply",$C45)-1))),4),
0,1)</f>
        <v>0</v>
      </c>
      <c r="J45" s="94">
        <f>IF(ROUND(J10,4)=ROUND(
SUMIFS(OP_Rates_RES_1[Powercor],OP_Rates_RES_1[[Rate name]:[Rate name]],$C45)+
SUMIFS(OP_RatesTU_RES_1[Powercor],OP_RatesTU_RES_1[[Rate name]:[Rate name]],
IF($D45&lt;&gt;"$",$C45,LEFT($C45,LEN($C45)-FIND(" - supply",$C45)-1))),4),
0,1)</f>
        <v>0</v>
      </c>
      <c r="K45" s="94">
        <f>IF(ROUND(K10,4)=ROUND(
SUMIFS(OP_Rates_RES_1[United Energy],OP_Rates_RES_1[[Rate name]:[Rate name]],$C45)+
SUMIFS(OP_RatesTU_RES_1[United Energy],OP_RatesTU_RES_1[[Rate name]:[Rate name]],
IF($D45&lt;&gt;"$",$C45,LEFT($C45,LEN($C45)-FIND(" - supply",$C45)-1))),4),
0,1)</f>
        <v>0</v>
      </c>
      <c r="M45" s="60" t="s">
        <v>230</v>
      </c>
      <c r="N45" s="60" t="s">
        <v>291</v>
      </c>
      <c r="O45" s="60" t="s">
        <v>101</v>
      </c>
      <c r="Q45" s="94">
        <f>IF(ROUND(Q10,4)=ROUND(
SUMIFS(OP_Rates_SME_1[Ausnet],OP_Rates_SME_1[[Rate name]:[Rate name]],$C45)+
SUMIFS(OP_RatesTU_SME_1[Ausnet],OP_RatesTU_SME_1[[Rate name]:[Rate name]],
IF($D45&lt;&gt;"$",$C45,LEFT($C45,LEN($C45)-FIND(" - supply",$C45)-1))),4),
0,1)</f>
        <v>0</v>
      </c>
      <c r="R45" s="94">
        <f>IF(ROUND(R10,4)=ROUND(
SUMIFS(OP_Rates_SME_1[Citipower],OP_Rates_SME_1[[Rate name]:[Rate name]],$C45)+
SUMIFS(OP_RatesTU_SME_1[Citipower],OP_RatesTU_SME_1[[Rate name]:[Rate name]],
IF($D45&lt;&gt;"$",$C45,LEFT($C45,LEN($C45)-FIND(" - supply",$C45)-1))),4),
0,1)</f>
        <v>0</v>
      </c>
      <c r="S45" s="94">
        <f>IF(ROUND(S10,4)=ROUND(
SUMIFS(OP_Rates_SME_1[Jemena],OP_Rates_SME_1[[Rate name]:[Rate name]],$C45)+
SUMIFS(OP_RatesTU_SME_1[Jemena],OP_RatesTU_SME_1[[Rate name]:[Rate name]],
IF($D45&lt;&gt;"$",$C45,LEFT($C45,LEN($C45)-FIND(" - supply",$C45)-1))),4),
0,1)</f>
        <v>0</v>
      </c>
      <c r="T45" s="94">
        <f>IF(ROUND(T10,4)=ROUND(
SUMIFS(OP_Rates_SME_1[Powercor],OP_Rates_SME_1[[Rate name]:[Rate name]],$C45)+
SUMIFS(OP_RatesTU_SME_1[Powercor],OP_RatesTU_SME_1[[Rate name]:[Rate name]],
IF($D45&lt;&gt;"$",$C45,LEFT($C45,LEN($C45)-FIND(" - supply",$C45)-1))),4),
0,1)</f>
        <v>0</v>
      </c>
      <c r="U45" s="94">
        <f>IF(ROUND(U10,4)=ROUND(
SUMIFS(OP_Rates_SME_1[United Energy],OP_Rates_SME_1[[Rate name]:[Rate name]],$C45)+
SUMIFS(OP_RatesTU_SME_1[United Energy],OP_RatesTU_SME_1[[Rate name]:[Rate name]],
IF($D45&lt;&gt;"$",$C45,LEFT($C45,LEN($C45)-FIND(" - supply",$C45)-1))),4),
0,1)</f>
        <v>0</v>
      </c>
    </row>
    <row r="46" spans="3:21" ht="15.75" hidden="1" x14ac:dyDescent="0.25">
      <c r="C46" s="60" t="s">
        <v>237</v>
      </c>
      <c r="D46" s="60" t="s">
        <v>291</v>
      </c>
      <c r="E46" s="60" t="s">
        <v>100</v>
      </c>
      <c r="G46" s="94">
        <f>IF(ROUND(G11,4)=ROUND(
SUMIFS(OP_Rates_RES_1[Ausnet],OP_Rates_RES_1[[Rate name]:[Rate name]],$C46)+
SUMIFS(OP_RatesTU_RES_1[Ausnet],OP_RatesTU_RES_1[[Rate name]:[Rate name]],
IF($D46&lt;&gt;"$",$C46,LEFT($C46,LEN($C46)-FIND(" - supply",$C46)-1))),4),
0,1)</f>
        <v>0</v>
      </c>
      <c r="H46" s="94">
        <f>IF(ROUND(H11,4)=ROUND(
SUMIFS(OP_Rates_RES_1[Citipower],OP_Rates_RES_1[[Rate name]:[Rate name]],$C46)+
SUMIFS(OP_RatesTU_RES_1[Citipower],OP_RatesTU_RES_1[[Rate name]:[Rate name]],
IF($D46&lt;&gt;"$",$C46,LEFT($C46,LEN($C46)-FIND(" - supply",$C46)-1))),4),
0,1)</f>
        <v>0</v>
      </c>
      <c r="I46" s="94">
        <f>IF(ROUND(I11,4)=ROUND(
SUMIFS(OP_Rates_RES_1[Jemena],OP_Rates_RES_1[[Rate name]:[Rate name]],$C46)+
SUMIFS(OP_RatesTU_RES_1[Jemena],OP_RatesTU_RES_1[[Rate name]:[Rate name]],
IF($D46&lt;&gt;"$",$C46,LEFT($C46,LEN($C46)-FIND(" - supply",$C46)-1))),4),
0,1)</f>
        <v>0</v>
      </c>
      <c r="J46" s="94">
        <f>IF(ROUND(J11,4)=ROUND(
SUMIFS(OP_Rates_RES_1[Powercor],OP_Rates_RES_1[[Rate name]:[Rate name]],$C46)+
SUMIFS(OP_RatesTU_RES_1[Powercor],OP_RatesTU_RES_1[[Rate name]:[Rate name]],
IF($D46&lt;&gt;"$",$C46,LEFT($C46,LEN($C46)-FIND(" - supply",$C46)-1))),4),
0,1)</f>
        <v>0</v>
      </c>
      <c r="K46" s="94">
        <f>IF(ROUND(K11,4)=ROUND(
SUMIFS(OP_Rates_RES_1[United Energy],OP_Rates_RES_1[[Rate name]:[Rate name]],$C46)+
SUMIFS(OP_RatesTU_RES_1[United Energy],OP_RatesTU_RES_1[[Rate name]:[Rate name]],
IF($D46&lt;&gt;"$",$C46,LEFT($C46,LEN($C46)-FIND(" - supply",$C46)-1))),4),
0,1)</f>
        <v>0</v>
      </c>
      <c r="M46" s="60" t="s">
        <v>237</v>
      </c>
      <c r="N46" s="60" t="s">
        <v>291</v>
      </c>
      <c r="O46" s="60" t="s">
        <v>101</v>
      </c>
      <c r="Q46" s="94">
        <f>IF(ROUND(Q11,4)=ROUND(
SUMIFS(OP_Rates_SME_1[Ausnet],OP_Rates_SME_1[[Rate name]:[Rate name]],$C46)+
SUMIFS(OP_RatesTU_SME_1[Ausnet],OP_RatesTU_SME_1[[Rate name]:[Rate name]],
IF($D46&lt;&gt;"$",$C46,LEFT($C46,LEN($C46)-FIND(" - supply",$C46)-1))),4),
0,1)</f>
        <v>0</v>
      </c>
      <c r="R46" s="94">
        <f>IF(ROUND(R11,4)=ROUND(
SUMIFS(OP_Rates_SME_1[Citipower],OP_Rates_SME_1[[Rate name]:[Rate name]],$C46)+
SUMIFS(OP_RatesTU_SME_1[Citipower],OP_RatesTU_SME_1[[Rate name]:[Rate name]],
IF($D46&lt;&gt;"$",$C46,LEFT($C46,LEN($C46)-FIND(" - supply",$C46)-1))),4),
0,1)</f>
        <v>0</v>
      </c>
      <c r="S46" s="94">
        <f>IF(ROUND(S11,4)=ROUND(
SUMIFS(OP_Rates_SME_1[Jemena],OP_Rates_SME_1[[Rate name]:[Rate name]],$C46)+
SUMIFS(OP_RatesTU_SME_1[Jemena],OP_RatesTU_SME_1[[Rate name]:[Rate name]],
IF($D46&lt;&gt;"$",$C46,LEFT($C46,LEN($C46)-FIND(" - supply",$C46)-1))),4),
0,1)</f>
        <v>0</v>
      </c>
      <c r="T46" s="94">
        <f>IF(ROUND(T11,4)=ROUND(
SUMIFS(OP_Rates_SME_1[Powercor],OP_Rates_SME_1[[Rate name]:[Rate name]],$C46)+
SUMIFS(OP_RatesTU_SME_1[Powercor],OP_RatesTU_SME_1[[Rate name]:[Rate name]],
IF($D46&lt;&gt;"$",$C46,LEFT($C46,LEN($C46)-FIND(" - supply",$C46)-1))),4),
0,1)</f>
        <v>0</v>
      </c>
      <c r="U46" s="94">
        <f>IF(ROUND(U11,4)=ROUND(
SUMIFS(OP_Rates_SME_1[United Energy],OP_Rates_SME_1[[Rate name]:[Rate name]],$C46)+
SUMIFS(OP_RatesTU_SME_1[United Energy],OP_RatesTU_SME_1[[Rate name]:[Rate name]],
IF($D46&lt;&gt;"$",$C46,LEFT($C46,LEN($C46)-FIND(" - supply",$C46)-1))),4),
0,1)</f>
        <v>0</v>
      </c>
    </row>
    <row r="47" spans="3:21" ht="15.75" hidden="1" x14ac:dyDescent="0.25">
      <c r="C47" s="60" t="s">
        <v>508</v>
      </c>
      <c r="D47" s="60" t="s">
        <v>291</v>
      </c>
      <c r="E47" s="60" t="s">
        <v>100</v>
      </c>
      <c r="G47" s="94">
        <f>IF(ROUND(G12,4)=ROUND(
SUMIFS(OP_Rates_RES_1[Ausnet],OP_Rates_RES_1[[Rate name]:[Rate name]],$C47)+
SUMIFS(OP_RatesTU_RES_1[Ausnet],OP_RatesTU_RES_1[[Rate name]:[Rate name]],
IF($D47&lt;&gt;"$",$C47,LEFT($C47,LEN($C47)-FIND(" - supply",$C47)-1))),4),
0,1)</f>
        <v>0</v>
      </c>
      <c r="H47" s="94">
        <f>IF(ROUND(H12,4)=ROUND(
SUMIFS(OP_Rates_RES_1[Citipower],OP_Rates_RES_1[[Rate name]:[Rate name]],$C47)+
SUMIFS(OP_RatesTU_RES_1[Citipower],OP_RatesTU_RES_1[[Rate name]:[Rate name]],
IF($D47&lt;&gt;"$",$C47,LEFT($C47,LEN($C47)-FIND(" - supply",$C47)-1))),4),
0,1)</f>
        <v>0</v>
      </c>
      <c r="I47" s="94">
        <f>IF(ROUND(I12,4)=ROUND(
SUMIFS(OP_Rates_RES_1[Jemena],OP_Rates_RES_1[[Rate name]:[Rate name]],$C47)+
SUMIFS(OP_RatesTU_RES_1[Jemena],OP_RatesTU_RES_1[[Rate name]:[Rate name]],
IF($D47&lt;&gt;"$",$C47,LEFT($C47,LEN($C47)-FIND(" - supply",$C47)-1))),4),
0,1)</f>
        <v>0</v>
      </c>
      <c r="J47" s="94">
        <f>IF(ROUND(J12,4)=ROUND(
SUMIFS(OP_Rates_RES_1[Powercor],OP_Rates_RES_1[[Rate name]:[Rate name]],$C47)+
SUMIFS(OP_RatesTU_RES_1[Powercor],OP_RatesTU_RES_1[[Rate name]:[Rate name]],
IF($D47&lt;&gt;"$",$C47,LEFT($C47,LEN($C47)-FIND(" - supply",$C47)-1))),4),
0,1)</f>
        <v>0</v>
      </c>
      <c r="K47" s="94">
        <f>IF(ROUND(K12,4)=ROUND(
SUMIFS(OP_Rates_RES_1[United Energy],OP_Rates_RES_1[[Rate name]:[Rate name]],$C47)+
SUMIFS(OP_RatesTU_RES_1[United Energy],OP_RatesTU_RES_1[[Rate name]:[Rate name]],
IF($D47&lt;&gt;"$",$C47,LEFT($C47,LEN($C47)-FIND(" - supply",$C47)-1))),4),
0,1)</f>
        <v>0</v>
      </c>
      <c r="M47" s="60" t="s">
        <v>508</v>
      </c>
      <c r="N47" s="60" t="s">
        <v>291</v>
      </c>
      <c r="O47" s="60" t="s">
        <v>101</v>
      </c>
      <c r="Q47" s="94">
        <f>IF(ROUND(Q12,4)=ROUND(
SUMIFS(OP_Rates_SME_1[Ausnet],OP_Rates_SME_1[[Rate name]:[Rate name]],$C47)+
SUMIFS(OP_RatesTU_SME_1[Ausnet],OP_RatesTU_SME_1[[Rate name]:[Rate name]],
IF($D47&lt;&gt;"$",$C47,LEFT($C47,LEN($C47)-FIND(" - supply",$C47)-1))),4),
0,1)</f>
        <v>0</v>
      </c>
      <c r="R47" s="94">
        <f>IF(ROUND(R12,4)=ROUND(
SUMIFS(OP_Rates_SME_1[Citipower],OP_Rates_SME_1[[Rate name]:[Rate name]],$C47)+
SUMIFS(OP_RatesTU_SME_1[Citipower],OP_RatesTU_SME_1[[Rate name]:[Rate name]],
IF($D47&lt;&gt;"$",$C47,LEFT($C47,LEN($C47)-FIND(" - supply",$C47)-1))),4),
0,1)</f>
        <v>0</v>
      </c>
      <c r="S47" s="94">
        <f>IF(ROUND(S12,4)=ROUND(
SUMIFS(OP_Rates_SME_1[Jemena],OP_Rates_SME_1[[Rate name]:[Rate name]],$C47)+
SUMIFS(OP_RatesTU_SME_1[Jemena],OP_RatesTU_SME_1[[Rate name]:[Rate name]],
IF($D47&lt;&gt;"$",$C47,LEFT($C47,LEN($C47)-FIND(" - supply",$C47)-1))),4),
0,1)</f>
        <v>0</v>
      </c>
      <c r="T47" s="94">
        <f>IF(ROUND(T12,4)=ROUND(
SUMIFS(OP_Rates_SME_1[Powercor],OP_Rates_SME_1[[Rate name]:[Rate name]],$C47)+
SUMIFS(OP_RatesTU_SME_1[Powercor],OP_RatesTU_SME_1[[Rate name]:[Rate name]],
IF($D47&lt;&gt;"$",$C47,LEFT($C47,LEN($C47)-FIND(" - supply",$C47)-1))),4),
0,1)</f>
        <v>0</v>
      </c>
      <c r="U47" s="94">
        <f>IF(ROUND(U12,4)=ROUND(
SUMIFS(OP_Rates_SME_1[United Energy],OP_Rates_SME_1[[Rate name]:[Rate name]],$C47)+
SUMIFS(OP_RatesTU_SME_1[United Energy],OP_RatesTU_SME_1[[Rate name]:[Rate name]],
IF($D47&lt;&gt;"$",$C47,LEFT($C47,LEN($C47)-FIND(" - supply",$C47)-1))),4),
0,1)</f>
        <v>0</v>
      </c>
    </row>
    <row r="48" spans="3:21" ht="15.75" hidden="1" x14ac:dyDescent="0.25">
      <c r="C48" s="60" t="s">
        <v>510</v>
      </c>
      <c r="D48" s="60" t="s">
        <v>118</v>
      </c>
      <c r="E48" s="60" t="s">
        <v>100</v>
      </c>
      <c r="G48" s="94">
        <f>IF(ROUND(G13,4)=ROUND(
SUMIFS(OP_Rates_RES_1[Ausnet],OP_Rates_RES_1[[Rate name]:[Rate name]],$C48)+
SUMIFS(OP_RatesTU_RES_1[Ausnet],OP_RatesTU_RES_1[[Rate name]:[Rate name]],
IF($D48&lt;&gt;"$",$C48,LEFT($C48,LEN($C48)-FIND(" - supply",$C48)-1))),4),
0,1)</f>
        <v>0</v>
      </c>
      <c r="H48" s="94">
        <f>IF(ROUND(H13,4)=ROUND(
SUMIFS(OP_Rates_RES_1[Citipower],OP_Rates_RES_1[[Rate name]:[Rate name]],$C48)+
SUMIFS(OP_RatesTU_RES_1[Citipower],OP_RatesTU_RES_1[[Rate name]:[Rate name]],
IF($D48&lt;&gt;"$",$C48,LEFT($C48,LEN($C48)-FIND(" - supply",$C48)-1))),4),
0,1)</f>
        <v>0</v>
      </c>
      <c r="I48" s="94">
        <f>IF(ROUND(I13,4)=ROUND(
SUMIFS(OP_Rates_RES_1[Jemena],OP_Rates_RES_1[[Rate name]:[Rate name]],$C48)+
SUMIFS(OP_RatesTU_RES_1[Jemena],OP_RatesTU_RES_1[[Rate name]:[Rate name]],
IF($D48&lt;&gt;"$",$C48,LEFT($C48,LEN($C48)-FIND(" - supply",$C48)-1))),4),
0,1)</f>
        <v>0</v>
      </c>
      <c r="J48" s="94">
        <f>IF(ROUND(J13,4)=ROUND(
SUMIFS(OP_Rates_RES_1[Powercor],OP_Rates_RES_1[[Rate name]:[Rate name]],$C48)+
SUMIFS(OP_RatesTU_RES_1[Powercor],OP_RatesTU_RES_1[[Rate name]:[Rate name]],
IF($D48&lt;&gt;"$",$C48,LEFT($C48,LEN($C48)-FIND(" - supply",$C48)-1))),4),
0,1)</f>
        <v>0</v>
      </c>
      <c r="K48" s="94">
        <f>IF(ROUND(K13,4)=ROUND(
SUMIFS(OP_Rates_RES_1[United Energy],OP_Rates_RES_1[[Rate name]:[Rate name]],$C48)+
SUMIFS(OP_RatesTU_RES_1[United Energy],OP_RatesTU_RES_1[[Rate name]:[Rate name]],
IF($D48&lt;&gt;"$",$C48,LEFT($C48,LEN($C48)-FIND(" - supply",$C48)-1))),4),
0,1)</f>
        <v>0</v>
      </c>
      <c r="M48" s="60" t="s">
        <v>510</v>
      </c>
      <c r="N48" s="60" t="s">
        <v>118</v>
      </c>
      <c r="O48" s="60" t="s">
        <v>101</v>
      </c>
      <c r="Q48" s="94">
        <f>IF(ROUND(Q13,4)=ROUND(
SUMIFS(OP_Rates_SME_1[Ausnet],OP_Rates_SME_1[[Rate name]:[Rate name]],$C48)+
SUMIFS(OP_RatesTU_SME_1[Ausnet],OP_RatesTU_SME_1[[Rate name]:[Rate name]],
IF($D48&lt;&gt;"$",$C48,LEFT($C48,LEN($C48)-FIND(" - supply",$C48)-1))),4),
0,1)</f>
        <v>0</v>
      </c>
      <c r="R48" s="94">
        <f>IF(ROUND(R13,4)=ROUND(
SUMIFS(OP_Rates_SME_1[Citipower],OP_Rates_SME_1[[Rate name]:[Rate name]],$C48)+
SUMIFS(OP_RatesTU_SME_1[Citipower],OP_RatesTU_SME_1[[Rate name]:[Rate name]],
IF($D48&lt;&gt;"$",$C48,LEFT($C48,LEN($C48)-FIND(" - supply",$C48)-1))),4),
0,1)</f>
        <v>0</v>
      </c>
      <c r="S48" s="94">
        <f>IF(ROUND(S13,4)=ROUND(
SUMIFS(OP_Rates_SME_1[Jemena],OP_Rates_SME_1[[Rate name]:[Rate name]],$C48)+
SUMIFS(OP_RatesTU_SME_1[Jemena],OP_RatesTU_SME_1[[Rate name]:[Rate name]],
IF($D48&lt;&gt;"$",$C48,LEFT($C48,LEN($C48)-FIND(" - supply",$C48)-1))),4),
0,1)</f>
        <v>0</v>
      </c>
      <c r="T48" s="94">
        <f>IF(ROUND(T13,4)=ROUND(
SUMIFS(OP_Rates_SME_1[Powercor],OP_Rates_SME_1[[Rate name]:[Rate name]],$C48)+
SUMIFS(OP_RatesTU_SME_1[Powercor],OP_RatesTU_SME_1[[Rate name]:[Rate name]],
IF($D48&lt;&gt;"$",$C48,LEFT($C48,LEN($C48)-FIND(" - supply",$C48)-1))),4),
0,1)</f>
        <v>0</v>
      </c>
      <c r="U48" s="94">
        <f>IF(ROUND(U13,4)=ROUND(
SUMIFS(OP_Rates_SME_1[United Energy],OP_Rates_SME_1[[Rate name]:[Rate name]],$C48)+
SUMIFS(OP_RatesTU_SME_1[United Energy],OP_RatesTU_SME_1[[Rate name]:[Rate name]],
IF($D48&lt;&gt;"$",$C48,LEFT($C48,LEN($C48)-FIND(" - supply",$C48)-1))),4),
0,1)</f>
        <v>0</v>
      </c>
    </row>
    <row r="49" spans="3:21" ht="15.75" hidden="1" x14ac:dyDescent="0.25">
      <c r="C49" s="60" t="s">
        <v>239</v>
      </c>
      <c r="D49" s="60" t="s">
        <v>291</v>
      </c>
      <c r="E49" s="60" t="s">
        <v>100</v>
      </c>
      <c r="G49" s="94">
        <f>IF(ROUND(G14,4)=ROUND(
SUMIFS(OP_Rates_RES_1[Ausnet],OP_Rates_RES_1[[Rate name]:[Rate name]],$C49)+
SUMIFS(OP_RatesTU_RES_1[Ausnet],OP_RatesTU_RES_1[[Rate name]:[Rate name]],
IF($D49&lt;&gt;"$",$C49,LEFT($C49,LEN($C49)-FIND(" - supply",$C49)-1))),4),
0,1)</f>
        <v>0</v>
      </c>
      <c r="H49" s="94">
        <f>IF(ROUND(H14,4)=ROUND(
SUMIFS(OP_Rates_RES_1[Citipower],OP_Rates_RES_1[[Rate name]:[Rate name]],$C49)+
SUMIFS(OP_RatesTU_RES_1[Citipower],OP_RatesTU_RES_1[[Rate name]:[Rate name]],
IF($D49&lt;&gt;"$",$C49,LEFT($C49,LEN($C49)-FIND(" - supply",$C49)-1))),4),
0,1)</f>
        <v>0</v>
      </c>
      <c r="I49" s="94">
        <f>IF(ROUND(I14,4)=ROUND(
SUMIFS(OP_Rates_RES_1[Jemena],OP_Rates_RES_1[[Rate name]:[Rate name]],$C49)+
SUMIFS(OP_RatesTU_RES_1[Jemena],OP_RatesTU_RES_1[[Rate name]:[Rate name]],
IF($D49&lt;&gt;"$",$C49,LEFT($C49,LEN($C49)-FIND(" - supply",$C49)-1))),4),
0,1)</f>
        <v>0</v>
      </c>
      <c r="J49" s="94">
        <f>IF(ROUND(J14,4)=ROUND(
SUMIFS(OP_Rates_RES_1[Powercor],OP_Rates_RES_1[[Rate name]:[Rate name]],$C49)+
SUMIFS(OP_RatesTU_RES_1[Powercor],OP_RatesTU_RES_1[[Rate name]:[Rate name]],
IF($D49&lt;&gt;"$",$C49,LEFT($C49,LEN($C49)-FIND(" - supply",$C49)-1))),4),
0,1)</f>
        <v>0</v>
      </c>
      <c r="K49" s="94">
        <f>IF(ROUND(K14,4)=ROUND(
SUMIFS(OP_Rates_RES_1[United Energy],OP_Rates_RES_1[[Rate name]:[Rate name]],$C49)+
SUMIFS(OP_RatesTU_RES_1[United Energy],OP_RatesTU_RES_1[[Rate name]:[Rate name]],
IF($D49&lt;&gt;"$",$C49,LEFT($C49,LEN($C49)-FIND(" - supply",$C49)-1))),4),
0,1)</f>
        <v>0</v>
      </c>
      <c r="M49" s="60" t="s">
        <v>239</v>
      </c>
      <c r="N49" s="60" t="s">
        <v>291</v>
      </c>
      <c r="O49" s="60" t="s">
        <v>101</v>
      </c>
      <c r="Q49" s="94">
        <f>IF(ROUND(Q14,4)=ROUND(
SUMIFS(OP_Rates_SME_1[Ausnet],OP_Rates_SME_1[[Rate name]:[Rate name]],$C49)+
SUMIFS(OP_RatesTU_SME_1[Ausnet],OP_RatesTU_SME_1[[Rate name]:[Rate name]],
IF($D49&lt;&gt;"$",$C49,LEFT($C49,LEN($C49)-FIND(" - supply",$C49)-1))),4),
0,1)</f>
        <v>0</v>
      </c>
      <c r="R49" s="94">
        <f>IF(ROUND(R14,4)=ROUND(
SUMIFS(OP_Rates_SME_1[Citipower],OP_Rates_SME_1[[Rate name]:[Rate name]],$C49)+
SUMIFS(OP_RatesTU_SME_1[Citipower],OP_RatesTU_SME_1[[Rate name]:[Rate name]],
IF($D49&lt;&gt;"$",$C49,LEFT($C49,LEN($C49)-FIND(" - supply",$C49)-1))),4),
0,1)</f>
        <v>0</v>
      </c>
      <c r="S49" s="94">
        <f>IF(ROUND(S14,4)=ROUND(
SUMIFS(OP_Rates_SME_1[Jemena],OP_Rates_SME_1[[Rate name]:[Rate name]],$C49)+
SUMIFS(OP_RatesTU_SME_1[Jemena],OP_RatesTU_SME_1[[Rate name]:[Rate name]],
IF($D49&lt;&gt;"$",$C49,LEFT($C49,LEN($C49)-FIND(" - supply",$C49)-1))),4),
0,1)</f>
        <v>0</v>
      </c>
      <c r="T49" s="94">
        <f>IF(ROUND(T14,4)=ROUND(
SUMIFS(OP_Rates_SME_1[Powercor],OP_Rates_SME_1[[Rate name]:[Rate name]],$C49)+
SUMIFS(OP_RatesTU_SME_1[Powercor],OP_RatesTU_SME_1[[Rate name]:[Rate name]],
IF($D49&lt;&gt;"$",$C49,LEFT($C49,LEN($C49)-FIND(" - supply",$C49)-1))),4),
0,1)</f>
        <v>0</v>
      </c>
      <c r="U49" s="94">
        <f>IF(ROUND(U14,4)=ROUND(
SUMIFS(OP_Rates_SME_1[United Energy],OP_Rates_SME_1[[Rate name]:[Rate name]],$C49)+
SUMIFS(OP_RatesTU_SME_1[United Energy],OP_RatesTU_SME_1[[Rate name]:[Rate name]],
IF($D49&lt;&gt;"$",$C49,LEFT($C49,LEN($C49)-FIND(" - supply",$C49)-1))),4),
0,1)</f>
        <v>0</v>
      </c>
    </row>
    <row r="50" spans="3:21" ht="15.75" hidden="1" x14ac:dyDescent="0.25">
      <c r="C50" s="60" t="s">
        <v>538</v>
      </c>
      <c r="D50" s="60" t="s">
        <v>291</v>
      </c>
      <c r="E50" s="60" t="s">
        <v>100</v>
      </c>
      <c r="G50" s="94">
        <f>IF(ROUND(G15,4)=ROUND(
SUMIFS(OP_Rates_RES_1[Ausnet],OP_Rates_RES_1[[Rate name]:[Rate name]],$C50)+
SUMIFS(OP_RatesTU_RES_1[Ausnet],OP_RatesTU_RES_1[[Rate name]:[Rate name]],
IF($D50&lt;&gt;"$",$C50,LEFT($C50,LEN($C50)-FIND(" - supply",$C50)-1))),4),
0,1)</f>
        <v>0</v>
      </c>
      <c r="H50" s="94">
        <f>IF(ROUND(H15,4)=ROUND(
SUMIFS(OP_Rates_RES_1[Citipower],OP_Rates_RES_1[[Rate name]:[Rate name]],$C50)+
SUMIFS(OP_RatesTU_RES_1[Citipower],OP_RatesTU_RES_1[[Rate name]:[Rate name]],
IF($D50&lt;&gt;"$",$C50,LEFT($C50,LEN($C50)-FIND(" - supply",$C50)-1))),4),
0,1)</f>
        <v>0</v>
      </c>
      <c r="I50" s="94">
        <f>IF(ROUND(I15,4)=ROUND(
SUMIFS(OP_Rates_RES_1[Jemena],OP_Rates_RES_1[[Rate name]:[Rate name]],$C50)+
SUMIFS(OP_RatesTU_RES_1[Jemena],OP_RatesTU_RES_1[[Rate name]:[Rate name]],
IF($D50&lt;&gt;"$",$C50,LEFT($C50,LEN($C50)-FIND(" - supply",$C50)-1))),4),
0,1)</f>
        <v>0</v>
      </c>
      <c r="J50" s="94">
        <f>IF(ROUND(J15,4)=ROUND(
SUMIFS(OP_Rates_RES_1[Powercor],OP_Rates_RES_1[[Rate name]:[Rate name]],$C50)+
SUMIFS(OP_RatesTU_RES_1[Powercor],OP_RatesTU_RES_1[[Rate name]:[Rate name]],
IF($D50&lt;&gt;"$",$C50,LEFT($C50,LEN($C50)-FIND(" - supply",$C50)-1))),4),
0,1)</f>
        <v>0</v>
      </c>
      <c r="K50" s="94">
        <f>IF(ROUND(K15,4)=ROUND(
SUMIFS(OP_Rates_RES_1[United Energy],OP_Rates_RES_1[[Rate name]:[Rate name]],$C50)+
SUMIFS(OP_RatesTU_RES_1[United Energy],OP_RatesTU_RES_1[[Rate name]:[Rate name]],
IF($D50&lt;&gt;"$",$C50,LEFT($C50,LEN($C50)-FIND(" - supply",$C50)-1))),4),
0,1)</f>
        <v>0</v>
      </c>
      <c r="M50" s="60" t="s">
        <v>538</v>
      </c>
      <c r="N50" s="60" t="s">
        <v>291</v>
      </c>
      <c r="O50" s="60" t="s">
        <v>101</v>
      </c>
      <c r="Q50" s="94">
        <f>IF(ROUND(Q15,4)=ROUND(
SUMIFS(OP_Rates_SME_1[Ausnet],OP_Rates_SME_1[[Rate name]:[Rate name]],$C50)+
SUMIFS(OP_RatesTU_SME_1[Ausnet],OP_RatesTU_SME_1[[Rate name]:[Rate name]],
IF($D50&lt;&gt;"$",$C50,LEFT($C50,LEN($C50)-FIND(" - supply",$C50)-1))),4),
0,1)</f>
        <v>0</v>
      </c>
      <c r="R50" s="94">
        <f>IF(ROUND(R15,4)=ROUND(
SUMIFS(OP_Rates_SME_1[Citipower],OP_Rates_SME_1[[Rate name]:[Rate name]],$C50)+
SUMIFS(OP_RatesTU_SME_1[Citipower],OP_RatesTU_SME_1[[Rate name]:[Rate name]],
IF($D50&lt;&gt;"$",$C50,LEFT($C50,LEN($C50)-FIND(" - supply",$C50)-1))),4),
0,1)</f>
        <v>0</v>
      </c>
      <c r="S50" s="94">
        <f>IF(ROUND(S15,4)=ROUND(
SUMIFS(OP_Rates_SME_1[Jemena],OP_Rates_SME_1[[Rate name]:[Rate name]],$C50)+
SUMIFS(OP_RatesTU_SME_1[Jemena],OP_RatesTU_SME_1[[Rate name]:[Rate name]],
IF($D50&lt;&gt;"$",$C50,LEFT($C50,LEN($C50)-FIND(" - supply",$C50)-1))),4),
0,1)</f>
        <v>0</v>
      </c>
      <c r="T50" s="94">
        <f>IF(ROUND(T15,4)=ROUND(
SUMIFS(OP_Rates_SME_1[Powercor],OP_Rates_SME_1[[Rate name]:[Rate name]],$C50)+
SUMIFS(OP_RatesTU_SME_1[Powercor],OP_RatesTU_SME_1[[Rate name]:[Rate name]],
IF($D50&lt;&gt;"$",$C50,LEFT($C50,LEN($C50)-FIND(" - supply",$C50)-1))),4),
0,1)</f>
        <v>0</v>
      </c>
      <c r="U50" s="94">
        <f>IF(ROUND(U15,4)=ROUND(
SUMIFS(OP_Rates_SME_1[United Energy],OP_Rates_SME_1[[Rate name]:[Rate name]],$C50)+
SUMIFS(OP_RatesTU_SME_1[United Energy],OP_RatesTU_SME_1[[Rate name]:[Rate name]],
IF($D50&lt;&gt;"$",$C50,LEFT($C50,LEN($C50)-FIND(" - supply",$C50)-1))),4),
0,1)</f>
        <v>0</v>
      </c>
    </row>
    <row r="51" spans="3:21" ht="15.75" hidden="1" x14ac:dyDescent="0.25">
      <c r="C51" s="60" t="s">
        <v>296</v>
      </c>
      <c r="D51" s="60" t="s">
        <v>291</v>
      </c>
      <c r="E51" s="60" t="s">
        <v>100</v>
      </c>
      <c r="G51" s="94">
        <f>IF(ROUND(G16,4)=ROUND(
SUMIFS(OP_Rates_RES_1[Ausnet],OP_Rates_RES_1[[Rate name]:[Rate name]],$C51)+
SUMIFS(OP_RatesTU_RES_1[Ausnet],OP_RatesTU_RES_1[[Rate name]:[Rate name]],
IF($D51&lt;&gt;"$",$C51,LEFT($C51,LEN($C51)-FIND(" - supply",$C51)-1))),4),
0,1)</f>
        <v>0</v>
      </c>
      <c r="H51" s="94">
        <f>IF(ROUND(H16,4)=ROUND(
SUMIFS(OP_Rates_RES_1[Citipower],OP_Rates_RES_1[[Rate name]:[Rate name]],$C51)+
SUMIFS(OP_RatesTU_RES_1[Citipower],OP_RatesTU_RES_1[[Rate name]:[Rate name]],
IF($D51&lt;&gt;"$",$C51,LEFT($C51,LEN($C51)-FIND(" - supply",$C51)-1))),4),
0,1)</f>
        <v>0</v>
      </c>
      <c r="I51" s="94">
        <f>IF(ROUND(I16,4)=ROUND(
SUMIFS(OP_Rates_RES_1[Jemena],OP_Rates_RES_1[[Rate name]:[Rate name]],$C51)+
SUMIFS(OP_RatesTU_RES_1[Jemena],OP_RatesTU_RES_1[[Rate name]:[Rate name]],
IF($D51&lt;&gt;"$",$C51,LEFT($C51,LEN($C51)-FIND(" - supply",$C51)-1))),4),
0,1)</f>
        <v>0</v>
      </c>
      <c r="J51" s="94">
        <f>IF(ROUND(J16,4)=ROUND(
SUMIFS(OP_Rates_RES_1[Powercor],OP_Rates_RES_1[[Rate name]:[Rate name]],$C51)+
SUMIFS(OP_RatesTU_RES_1[Powercor],OP_RatesTU_RES_1[[Rate name]:[Rate name]],
IF($D51&lt;&gt;"$",$C51,LEFT($C51,LEN($C51)-FIND(" - supply",$C51)-1))),4),
0,1)</f>
        <v>0</v>
      </c>
      <c r="K51" s="94">
        <f>IF(ROUND(K16,4)=ROUND(
SUMIFS(OP_Rates_RES_1[United Energy],OP_Rates_RES_1[[Rate name]:[Rate name]],$C51)+
SUMIFS(OP_RatesTU_RES_1[United Energy],OP_RatesTU_RES_1[[Rate name]:[Rate name]],
IF($D51&lt;&gt;"$",$C51,LEFT($C51,LEN($C51)-FIND(" - supply",$C51)-1))),4),
0,1)</f>
        <v>0</v>
      </c>
      <c r="M51" s="60"/>
      <c r="N51" s="60"/>
      <c r="O51" s="60"/>
      <c r="Q51" s="94"/>
      <c r="R51" s="94"/>
      <c r="S51" s="94"/>
      <c r="T51" s="94"/>
      <c r="U51" s="94"/>
    </row>
    <row r="52" spans="3:21" hidden="1" x14ac:dyDescent="0.25"/>
    <row r="53" spans="3:21" ht="15.75" hidden="1" x14ac:dyDescent="0.25">
      <c r="C53" s="30" t="str">
        <f>C$18&amp;" - checks"</f>
        <v>Residential calculated rate - checks</v>
      </c>
      <c r="M53" s="30" t="str">
        <f>M$18&amp;" - checks"</f>
        <v>Small business calculated rate - checks</v>
      </c>
    </row>
    <row r="54" spans="3:21" ht="15.75" hidden="1" x14ac:dyDescent="0.25">
      <c r="C54" s="43" t="s">
        <v>340</v>
      </c>
      <c r="D54" s="43" t="s">
        <v>111</v>
      </c>
      <c r="E54" s="43" t="s">
        <v>99</v>
      </c>
      <c r="G54" s="51" t="s">
        <v>277</v>
      </c>
      <c r="H54" s="51" t="s">
        <v>278</v>
      </c>
      <c r="I54" s="51" t="s">
        <v>279</v>
      </c>
      <c r="J54" s="51" t="s">
        <v>280</v>
      </c>
      <c r="K54" s="51" t="s">
        <v>281</v>
      </c>
      <c r="M54" s="43" t="s">
        <v>340</v>
      </c>
      <c r="N54" s="43" t="s">
        <v>111</v>
      </c>
      <c r="O54" s="43" t="s">
        <v>99</v>
      </c>
      <c r="Q54" s="51" t="s">
        <v>277</v>
      </c>
      <c r="R54" s="51" t="s">
        <v>278</v>
      </c>
      <c r="S54" s="51" t="s">
        <v>279</v>
      </c>
      <c r="T54" s="51" t="s">
        <v>280</v>
      </c>
      <c r="U54" s="51" t="s">
        <v>281</v>
      </c>
    </row>
    <row r="55" spans="3:21" ht="15.75" hidden="1" x14ac:dyDescent="0.25">
      <c r="C55" s="24" t="s">
        <v>509</v>
      </c>
      <c r="D55" s="24" t="s">
        <v>118</v>
      </c>
      <c r="E55" s="24" t="s">
        <v>100</v>
      </c>
      <c r="G55" s="94" cm="1">
        <f t="array" ref="G55">IF(G20="-","-",
IF(ROUND(G20,8)=
ROUND(((
(SUMIFS(Calc_NetworkF_1[Ausnet],Calc_NetworkF_1[[Cost item]:[Cost item]],$C55,Calc_NetworkF_1[[Customer type]:[Customer type]],$E55)+
SUMIFS(Calc_Fixed_1[Ausnet],Calc_Fixed_1[[Customer type]:[Customer type]],"All")+
SUMIFS(Calc_Fixed_1[Ausnet],Calc_Fixed_1[[Customer type]:[Customer type]],$E55))/DiY)*(1+Calc_ROM_1[Ausnet]))*(1+GST),8),0,1))</f>
        <v>0</v>
      </c>
      <c r="H55" s="94" cm="1">
        <f t="array" ref="H55">IF(H20="-","-",
IF(ROUND(H20,8)=
ROUND(((
(SUMIFS(Calc_NetworkF_1[Citipower],Calc_NetworkF_1[[Cost item]:[Cost item]],$C55,Calc_NetworkF_1[[Customer type]:[Customer type]],$E55)+
SUMIFS(Calc_Fixed_1[Citipower],Calc_Fixed_1[[Customer type]:[Customer type]],"All")+
SUMIFS(Calc_Fixed_1[Citipower],Calc_Fixed_1[[Customer type]:[Customer type]],$E55))/DiY)*(1+Calc_ROM_1[Citipower]))*(1+GST),8),0,1))</f>
        <v>0</v>
      </c>
      <c r="I55" s="94" cm="1">
        <f t="array" ref="I55">IF(I20="-","-",
IF(ROUND(I20,8)=
ROUND(((
(SUMIFS(Calc_NetworkF_1[Jemena],Calc_NetworkF_1[[Cost item]:[Cost item]],$C55,Calc_NetworkF_1[[Customer type]:[Customer type]],$E55)+
SUMIFS(Calc_Fixed_1[Jemena],Calc_Fixed_1[[Customer type]:[Customer type]],"All")+
SUMIFS(Calc_Fixed_1[Jemena],Calc_Fixed_1[[Customer type]:[Customer type]],$E55))/DiY)*(1+Calc_ROM_1[Jemena]))*(1+GST),8),0,1))</f>
        <v>0</v>
      </c>
      <c r="J55" s="94" cm="1">
        <f t="array" ref="J55">IF(J20="-","-",
IF(ROUND(J20,8)=
ROUND(((
(SUMIFS(Calc_NetworkF_1[Powercor],Calc_NetworkF_1[[Cost item]:[Cost item]],$C55,Calc_NetworkF_1[[Customer type]:[Customer type]],$E55)+
SUMIFS(Calc_Fixed_1[Powercor],Calc_Fixed_1[[Customer type]:[Customer type]],"All")+
SUMIFS(Calc_Fixed_1[Powercor],Calc_Fixed_1[[Customer type]:[Customer type]],$E55))/DiY)*(1+Calc_ROM_1[Powercor]))*(1+GST),8),0,1))</f>
        <v>0</v>
      </c>
      <c r="K55" s="94" cm="1">
        <f t="array" ref="K55">IF(K20="-","-",
IF(ROUND(K20,8)=
ROUND(((
(SUMIFS(Calc_NetworkF_1[United Energy],Calc_NetworkF_1[[Cost item]:[Cost item]],$C55,Calc_NetworkF_1[[Customer type]:[Customer type]],$E55)+
SUMIFS(Calc_Fixed_1[United Energy],Calc_Fixed_1[[Customer type]:[Customer type]],"All")+
SUMIFS(Calc_Fixed_1[United Energy],Calc_Fixed_1[[Customer type]:[Customer type]],$E55))/DiY)*(1+Calc_ROM_1[United Energy]))*(1+GST),8),0,1))</f>
        <v>0</v>
      </c>
      <c r="M55" s="24" t="s">
        <v>509</v>
      </c>
      <c r="N55" s="24" t="s">
        <v>118</v>
      </c>
      <c r="O55" s="24" t="s">
        <v>101</v>
      </c>
      <c r="Q55" s="94" cm="1">
        <f t="array" ref="Q55">IF(Q20="-","-",
IF(ROUND(Q20,8)=
ROUND(((
(SUMIFS(Calc_NetworkF_1[Ausnet],Calc_NetworkF_1[[Cost item]:[Cost item]],$M55,Calc_NetworkF_1[[Customer type]:[Customer type]],$O55)+
SUMIFS(Calc_Fixed_1[Ausnet],Calc_Fixed_1[[Customer type]:[Customer type]],"All")+
SUMIFS(Calc_Fixed_1[Ausnet],Calc_Fixed_1[[Customer type]:[Customer type]],$O55))/DiY)*(1+Calc_ROM_1[Ausnet]))*(1+GST),8),0,1))</f>
        <v>0</v>
      </c>
      <c r="R55" s="94" cm="1">
        <f t="array" ref="R55">IF(R20="-","-",
IF(ROUND(R20,8)=
ROUND(((
(SUMIFS(Calc_NetworkF_1[Citipower],Calc_NetworkF_1[[Cost item]:[Cost item]],$M55,Calc_NetworkF_1[[Customer type]:[Customer type]],$O55)+
SUMIFS(Calc_Fixed_1[Citipower],Calc_Fixed_1[[Customer type]:[Customer type]],"All")+
SUMIFS(Calc_Fixed_1[Citipower],Calc_Fixed_1[[Customer type]:[Customer type]],$O55))/DiY)*(1+Calc_ROM_1[Citipower]))*(1+GST),8),0,1))</f>
        <v>0</v>
      </c>
      <c r="S55" s="94" cm="1">
        <f t="array" ref="S55">IF(S20="-","-",
IF(ROUND(S20,8)=
ROUND(((
(SUMIFS(Calc_NetworkF_1[Jemena],Calc_NetworkF_1[[Cost item]:[Cost item]],$M55,Calc_NetworkF_1[[Customer type]:[Customer type]],$O55)+
SUMIFS(Calc_Fixed_1[Jemena],Calc_Fixed_1[[Customer type]:[Customer type]],"All")+
SUMIFS(Calc_Fixed_1[Jemena],Calc_Fixed_1[[Customer type]:[Customer type]],$O55))/DiY)*(1+Calc_ROM_1[Jemena]))*(1+GST),8),0,1))</f>
        <v>0</v>
      </c>
      <c r="T55" s="94" cm="1">
        <f t="array" ref="T55">IF(T20="-","-",
IF(ROUND(T20,8)=
ROUND(((
(SUMIFS(Calc_NetworkF_1[Powercor],Calc_NetworkF_1[[Cost item]:[Cost item]],$M55,Calc_NetworkF_1[[Customer type]:[Customer type]],$O55)+
SUMIFS(Calc_Fixed_1[Powercor],Calc_Fixed_1[[Customer type]:[Customer type]],"All")+
SUMIFS(Calc_Fixed_1[Powercor],Calc_Fixed_1[[Customer type]:[Customer type]],$O55))/DiY)*(1+Calc_ROM_1[Powercor]))*(1+GST),8),0,1))</f>
        <v>0</v>
      </c>
      <c r="U55" s="94" cm="1">
        <f t="array" ref="U55">IF(U20="-","-",
IF(ROUND(U20,8)=
ROUND(((
(SUMIFS(Calc_NetworkF_1[United Energy],Calc_NetworkF_1[[Cost item]:[Cost item]],$M55,Calc_NetworkF_1[[Customer type]:[Customer type]],$O55)+
SUMIFS(Calc_Fixed_1[United Energy],Calc_Fixed_1[[Customer type]:[Customer type]],"All")+
SUMIFS(Calc_Fixed_1[United Energy],Calc_Fixed_1[[Customer type]:[Customer type]],$O55))/DiY)*(1+Calc_ROM_1[United Energy]))*(1+GST),8),0,1))</f>
        <v>0</v>
      </c>
    </row>
    <row r="56" spans="3:21" ht="15.75" hidden="1" x14ac:dyDescent="0.25">
      <c r="C56" s="24" t="s">
        <v>230</v>
      </c>
      <c r="D56" s="24" t="s">
        <v>291</v>
      </c>
      <c r="E56" s="24" t="s">
        <v>100</v>
      </c>
      <c r="G56" s="94" cm="1">
        <f t="array" ref="G56">IF(G21="-","-",
IF(ROUND(G21,8)=ROUND(
((SUMIFS(Calc_Variable_1[Ausnet],Calc_Variable_1[[Customer type]:[Customer type]],"All")+
SUMIFS(Calc_Variable_1[Ausnet],Calc_Variable_1[[Customer type]:[Customer type]],OP_Rates!$E56)+
SUMIFS(Calc_NetworkV_1[Ausnet],Calc_NetworkV_1[[Customer type]:[Customer type]],OP_Rates!$E56,Calc_NetworkV_1[[Cost item]:[Cost item]],OP_Rates!$C56))*(1+Calc_ROM_1[Ausnet]))*(1+GST),8),0,1))</f>
        <v>0</v>
      </c>
      <c r="H56" s="94" t="str" cm="1">
        <f t="array" ref="H56">IF(H21="-","-",
IF(ROUND(H21,8)=ROUND(
((SUMIFS(Calc_Variable_1[Citipower],Calc_Variable_1[[Customer type]:[Customer type]],"All")+
SUMIFS(Calc_Variable_1[Citipower],Calc_Variable_1[[Customer type]:[Customer type]],OP_Rates!$E56)+
SUMIFS(Calc_NetworkV_1[Citipower],Calc_NetworkV_1[[Customer type]:[Customer type]],OP_Rates!$E56,Calc_NetworkV_1[[Cost item]:[Cost item]],OP_Rates!$C56))*(1+Calc_ROM_1[Citipower]))*(1+GST),8),0,1))</f>
        <v>-</v>
      </c>
      <c r="I56" s="94" t="str" cm="1">
        <f t="array" ref="I56">IF(I21="-","-",
IF(ROUND(I21,8)=ROUND(
((SUMIFS(Calc_Variable_1[Jemena],Calc_Variable_1[[Customer type]:[Customer type]],"All")+
SUMIFS(Calc_Variable_1[Jemena],Calc_Variable_1[[Customer type]:[Customer type]],OP_Rates!$E56)+
SUMIFS(Calc_NetworkV_1[Jemena],Calc_NetworkV_1[[Customer type]:[Customer type]],OP_Rates!$E56,Calc_NetworkV_1[[Cost item]:[Cost item]],OP_Rates!$C56))*(1+Calc_ROM_1[Jemena]))*(1+GST),8),0,1))</f>
        <v>-</v>
      </c>
      <c r="J56" s="94" t="str" cm="1">
        <f t="array" ref="J56">IF(J21="-","-",
IF(ROUND(J21,8)=ROUND(
((SUMIFS(Calc_Variable_1[Powercor],Calc_Variable_1[[Customer type]:[Customer type]],"All")+
SUMIFS(Calc_Variable_1[Powercor],Calc_Variable_1[[Customer type]:[Customer type]],OP_Rates!$E56)+
SUMIFS(Calc_NetworkV_1[Powercor],Calc_NetworkV_1[[Customer type]:[Customer type]],OP_Rates!$E56,Calc_NetworkV_1[[Cost item]:[Cost item]],OP_Rates!$C56))*(1+Calc_ROM_1[Powercor]))*(1+GST),8),0,1))</f>
        <v>-</v>
      </c>
      <c r="K56" s="94" t="str" cm="1">
        <f t="array" ref="K56">IF(K21="-","-",
IF(ROUND(K21,8)=ROUND(
((SUMIFS(Calc_Variable_1[United Energy],Calc_Variable_1[[Customer type]:[Customer type]],"All")+
SUMIFS(Calc_Variable_1[United Energy],Calc_Variable_1[[Customer type]:[Customer type]],OP_Rates!$E56)+
SUMIFS(Calc_NetworkV_1[United Energy],Calc_NetworkV_1[[Customer type]:[Customer type]],OP_Rates!$E56,Calc_NetworkV_1[[Cost item]:[Cost item]],OP_Rates!$C56))*(1+Calc_ROM_1[United Energy]))*(1+GST),8),0,1))</f>
        <v>-</v>
      </c>
      <c r="M56" s="24" t="s">
        <v>230</v>
      </c>
      <c r="N56" s="24" t="s">
        <v>291</v>
      </c>
      <c r="O56" s="24" t="s">
        <v>101</v>
      </c>
      <c r="Q56" s="94" cm="1">
        <f t="array" ref="Q56">IF(Q21="-","-",
IF(ROUND(Q21,8)=ROUND(
((SUMIFS(Calc_Variable_1[Ausnet],Calc_Variable_1[[Customer type]:[Customer type]],"All")+
SUMIFS(Calc_Variable_1[Ausnet],Calc_Variable_1[[Customer type]:[Customer type]],OP_Rates!$O56)+
SUMIFS(Calc_NetworkV_1[Ausnet],Calc_NetworkV_1[[Customer type]:[Customer type]],OP_Rates!$O56,Calc_NetworkV_1[[Cost item]:[Cost item]],OP_Rates!$M56))*(1+Calc_ROM_1[Ausnet]))*(1+GST),8),0,1))</f>
        <v>0</v>
      </c>
      <c r="R56" s="94" t="str" cm="1">
        <f t="array" ref="R56">IF(R21="-","-",
IF(ROUND(R21,8)=ROUND(
((SUMIFS(Calc_Variable_1[Citipower],Calc_Variable_1[[Customer type]:[Customer type]],"All")+
SUMIFS(Calc_Variable_1[Citipower],Calc_Variable_1[[Customer type]:[Customer type]],OP_Rates!$O56)+
SUMIFS(Calc_NetworkV_1[Citipower],Calc_NetworkV_1[[Customer type]:[Customer type]],OP_Rates!$O56,Calc_NetworkV_1[[Cost item]:[Cost item]],OP_Rates!$M56))*(1+Calc_ROM_1[Citipower]))*(1+GST),8),0,1))</f>
        <v>-</v>
      </c>
      <c r="S56" s="94" t="str" cm="1">
        <f t="array" ref="S56">IF(S21="-","-",
IF(ROUND(S21,8)=ROUND(
((SUMIFS(Calc_Variable_1[Jemena],Calc_Variable_1[[Customer type]:[Customer type]],"All")+
SUMIFS(Calc_Variable_1[Jemena],Calc_Variable_1[[Customer type]:[Customer type]],OP_Rates!$O56)+
SUMIFS(Calc_NetworkV_1[Jemena],Calc_NetworkV_1[[Customer type]:[Customer type]],OP_Rates!$O56,Calc_NetworkV_1[[Cost item]:[Cost item]],OP_Rates!$M56))*(1+Calc_ROM_1[Jemena]))*(1+GST),8),0,1))</f>
        <v>-</v>
      </c>
      <c r="T56" s="94" t="str" cm="1">
        <f t="array" ref="T56">IF(T21="-","-",
IF(ROUND(T21,8)=ROUND(
((SUMIFS(Calc_Variable_1[Powercor],Calc_Variable_1[[Customer type]:[Customer type]],"All")+
SUMIFS(Calc_Variable_1[Powercor],Calc_Variable_1[[Customer type]:[Customer type]],OP_Rates!$O56)+
SUMIFS(Calc_NetworkV_1[Powercor],Calc_NetworkV_1[[Customer type]:[Customer type]],OP_Rates!$O56,Calc_NetworkV_1[[Cost item]:[Cost item]],OP_Rates!$M56))*(1+Calc_ROM_1[Powercor]))*(1+GST),8),0,1))</f>
        <v>-</v>
      </c>
      <c r="U56" s="94" t="str" cm="1">
        <f t="array" ref="U56">IF(U21="-","-",
IF(ROUND(U21,8)=ROUND(
((SUMIFS(Calc_Variable_1[United Energy],Calc_Variable_1[[Customer type]:[Customer type]],"All")+
SUMIFS(Calc_Variable_1[United Energy],Calc_Variable_1[[Customer type]:[Customer type]],OP_Rates!$O56)+
SUMIFS(Calc_NetworkV_1[United Energy],Calc_NetworkV_1[[Customer type]:[Customer type]],OP_Rates!$O56,Calc_NetworkV_1[[Cost item]:[Cost item]],OP_Rates!$M56))*(1+Calc_ROM_1[United Energy]))*(1+GST),8),0,1))</f>
        <v>-</v>
      </c>
    </row>
    <row r="57" spans="3:21" ht="15.75" hidden="1" x14ac:dyDescent="0.25">
      <c r="C57" s="24" t="s">
        <v>237</v>
      </c>
      <c r="D57" s="24" t="s">
        <v>291</v>
      </c>
      <c r="E57" s="24" t="s">
        <v>100</v>
      </c>
      <c r="G57" s="94" cm="1">
        <f t="array" ref="G57">IF(G22="-","-",
IF(ROUND(G22,8)=ROUND(
((SUMIFS(Calc_Variable_1[Ausnet],Calc_Variable_1[[Customer type]:[Customer type]],"All")+
SUMIFS(Calc_Variable_1[Ausnet],Calc_Variable_1[[Customer type]:[Customer type]],OP_Rates!$E57)+
SUMIFS(Calc_NetworkV_1[Ausnet],Calc_NetworkV_1[[Customer type]:[Customer type]],OP_Rates!$E57,Calc_NetworkV_1[[Cost item]:[Cost item]],OP_Rates!$C57))*(1+Calc_ROM_1[Ausnet]))*(1+GST),8),0,1))</f>
        <v>0</v>
      </c>
      <c r="H57" s="94" t="str" cm="1">
        <f t="array" ref="H57">IF(H22="-","-",
IF(ROUND(H22,8)=ROUND(
((SUMIFS(Calc_Variable_1[Citipower],Calc_Variable_1[[Customer type]:[Customer type]],"All")+
SUMIFS(Calc_Variable_1[Citipower],Calc_Variable_1[[Customer type]:[Customer type]],OP_Rates!$E57)+
SUMIFS(Calc_NetworkV_1[Citipower],Calc_NetworkV_1[[Customer type]:[Customer type]],OP_Rates!$E57,Calc_NetworkV_1[[Cost item]:[Cost item]],OP_Rates!$C57))*(1+Calc_ROM_1[Citipower]))*(1+GST),8),0,1))</f>
        <v>-</v>
      </c>
      <c r="I57" s="94" t="str" cm="1">
        <f t="array" ref="I57">IF(I22="-","-",
IF(ROUND(I22,8)=ROUND(
((SUMIFS(Calc_Variable_1[Jemena],Calc_Variable_1[[Customer type]:[Customer type]],"All")+
SUMIFS(Calc_Variable_1[Jemena],Calc_Variable_1[[Customer type]:[Customer type]],OP_Rates!$E57)+
SUMIFS(Calc_NetworkV_1[Jemena],Calc_NetworkV_1[[Customer type]:[Customer type]],OP_Rates!$E57,Calc_NetworkV_1[[Cost item]:[Cost item]],OP_Rates!$C57))*(1+Calc_ROM_1[Jemena]))*(1+GST),8),0,1))</f>
        <v>-</v>
      </c>
      <c r="J57" s="94" t="str" cm="1">
        <f t="array" ref="J57">IF(J22="-","-",
IF(ROUND(J22,8)=ROUND(
((SUMIFS(Calc_Variable_1[Powercor],Calc_Variable_1[[Customer type]:[Customer type]],"All")+
SUMIFS(Calc_Variable_1[Powercor],Calc_Variable_1[[Customer type]:[Customer type]],OP_Rates!$E57)+
SUMIFS(Calc_NetworkV_1[Powercor],Calc_NetworkV_1[[Customer type]:[Customer type]],OP_Rates!$E57,Calc_NetworkV_1[[Cost item]:[Cost item]],OP_Rates!$C57))*(1+Calc_ROM_1[Powercor]))*(1+GST),8),0,1))</f>
        <v>-</v>
      </c>
      <c r="K57" s="94" t="str" cm="1">
        <f t="array" ref="K57">IF(K22="-","-",
IF(ROUND(K22,8)=ROUND(
((SUMIFS(Calc_Variable_1[United Energy],Calc_Variable_1[[Customer type]:[Customer type]],"All")+
SUMIFS(Calc_Variable_1[United Energy],Calc_Variable_1[[Customer type]:[Customer type]],OP_Rates!$E57)+
SUMIFS(Calc_NetworkV_1[United Energy],Calc_NetworkV_1[[Customer type]:[Customer type]],OP_Rates!$E57,Calc_NetworkV_1[[Cost item]:[Cost item]],OP_Rates!$C57))*(1+Calc_ROM_1[United Energy]))*(1+GST),8),0,1))</f>
        <v>-</v>
      </c>
      <c r="M57" s="24" t="s">
        <v>237</v>
      </c>
      <c r="N57" s="24" t="s">
        <v>291</v>
      </c>
      <c r="O57" s="24" t="s">
        <v>101</v>
      </c>
      <c r="Q57" s="94" cm="1">
        <f t="array" ref="Q57">IF(Q22="-","-",
IF(ROUND(Q22,8)=ROUND(
((SUMIFS(Calc_Variable_1[Ausnet],Calc_Variable_1[[Customer type]:[Customer type]],"All")+
SUMIFS(Calc_Variable_1[Ausnet],Calc_Variable_1[[Customer type]:[Customer type]],OP_Rates!$O57)+
SUMIFS(Calc_NetworkV_1[Ausnet],Calc_NetworkV_1[[Customer type]:[Customer type]],OP_Rates!$O57,Calc_NetworkV_1[[Cost item]:[Cost item]],OP_Rates!$M57))*(1+Calc_ROM_1[Ausnet]))*(1+GST),8),0,1))</f>
        <v>0</v>
      </c>
      <c r="R57" s="94" t="str" cm="1">
        <f t="array" ref="R57">IF(R22="-","-",
IF(ROUND(R22,8)=ROUND(
((SUMIFS(Calc_Variable_1[Citipower],Calc_Variable_1[[Customer type]:[Customer type]],"All")+
SUMIFS(Calc_Variable_1[Citipower],Calc_Variable_1[[Customer type]:[Customer type]],OP_Rates!$O57)+
SUMIFS(Calc_NetworkV_1[Citipower],Calc_NetworkV_1[[Customer type]:[Customer type]],OP_Rates!$O57,Calc_NetworkV_1[[Cost item]:[Cost item]],OP_Rates!$M57))*(1+Calc_ROM_1[Citipower]))*(1+GST),8),0,1))</f>
        <v>-</v>
      </c>
      <c r="S57" s="94" t="str" cm="1">
        <f t="array" ref="S57">IF(S22="-","-",
IF(ROUND(S22,8)=ROUND(
((SUMIFS(Calc_Variable_1[Jemena],Calc_Variable_1[[Customer type]:[Customer type]],"All")+
SUMIFS(Calc_Variable_1[Jemena],Calc_Variable_1[[Customer type]:[Customer type]],OP_Rates!$O57)+
SUMIFS(Calc_NetworkV_1[Jemena],Calc_NetworkV_1[[Customer type]:[Customer type]],OP_Rates!$O57,Calc_NetworkV_1[[Cost item]:[Cost item]],OP_Rates!$M57))*(1+Calc_ROM_1[Jemena]))*(1+GST),8),0,1))</f>
        <v>-</v>
      </c>
      <c r="T57" s="94" t="str" cm="1">
        <f t="array" ref="T57">IF(T22="-","-",
IF(ROUND(T22,8)=ROUND(
((SUMIFS(Calc_Variable_1[Powercor],Calc_Variable_1[[Customer type]:[Customer type]],"All")+
SUMIFS(Calc_Variable_1[Powercor],Calc_Variable_1[[Customer type]:[Customer type]],OP_Rates!$O57)+
SUMIFS(Calc_NetworkV_1[Powercor],Calc_NetworkV_1[[Customer type]:[Customer type]],OP_Rates!$O57,Calc_NetworkV_1[[Cost item]:[Cost item]],OP_Rates!$M57))*(1+Calc_ROM_1[Powercor]))*(1+GST),8),0,1))</f>
        <v>-</v>
      </c>
      <c r="U57" s="94" t="str" cm="1">
        <f t="array" ref="U57">IF(U22="-","-",
IF(ROUND(U22,8)=ROUND(
((SUMIFS(Calc_Variable_1[United Energy],Calc_Variable_1[[Customer type]:[Customer type]],"All")+
SUMIFS(Calc_Variable_1[United Energy],Calc_Variable_1[[Customer type]:[Customer type]],OP_Rates!$O57)+
SUMIFS(Calc_NetworkV_1[United Energy],Calc_NetworkV_1[[Customer type]:[Customer type]],OP_Rates!$O57,Calc_NetworkV_1[[Cost item]:[Cost item]],OP_Rates!$M57))*(1+Calc_ROM_1[United Energy]))*(1+GST),8),0,1))</f>
        <v>-</v>
      </c>
    </row>
    <row r="58" spans="3:21" ht="15.75" hidden="1" x14ac:dyDescent="0.25">
      <c r="C58" s="24" t="s">
        <v>508</v>
      </c>
      <c r="D58" s="24" t="s">
        <v>291</v>
      </c>
      <c r="E58" s="24" t="s">
        <v>100</v>
      </c>
      <c r="G58" s="94" t="str" cm="1">
        <f t="array" ref="G58">IF(G23="-","-",
IF(ROUND(G23,8)=ROUND(
((SUMIFS(Calc_Variable_1[Ausnet],Calc_Variable_1[[Customer type]:[Customer type]],"All")+
SUMIFS(Calc_Variable_1[Ausnet],Calc_Variable_1[[Customer type]:[Customer type]],OP_Rates!$E58)+
SUMIFS(Calc_NetworkV_1[Ausnet],Calc_NetworkV_1[[Customer type]:[Customer type]],OP_Rates!$E58,Calc_NetworkV_1[[Cost item]:[Cost item]],OP_Rates!$C58))*(1+Calc_ROM_1[Ausnet]))*(1+GST),8),0,1))</f>
        <v>-</v>
      </c>
      <c r="H58" s="94" cm="1">
        <f t="array" ref="H58">IF(H23="-","-",
IF(ROUND(H23,8)=ROUND(
((SUMIFS(Calc_Variable_1[Citipower],Calc_Variable_1[[Customer type]:[Customer type]],"All")+
SUMIFS(Calc_Variable_1[Citipower],Calc_Variable_1[[Customer type]:[Customer type]],OP_Rates!$E58)+
SUMIFS(Calc_NetworkV_1[Citipower],Calc_NetworkV_1[[Customer type]:[Customer type]],OP_Rates!$E58,Calc_NetworkV_1[[Cost item]:[Cost item]],OP_Rates!$C58))*(1+Calc_ROM_1[Citipower]))*(1+GST),8),0,1))</f>
        <v>0</v>
      </c>
      <c r="I58" s="94" cm="1">
        <f t="array" ref="I58">IF(I23="-","-",
IF(ROUND(I23,8)=ROUND(
((SUMIFS(Calc_Variable_1[Jemena],Calc_Variable_1[[Customer type]:[Customer type]],"All")+
SUMIFS(Calc_Variable_1[Jemena],Calc_Variable_1[[Customer type]:[Customer type]],OP_Rates!$E58)+
SUMIFS(Calc_NetworkV_1[Jemena],Calc_NetworkV_1[[Customer type]:[Customer type]],OP_Rates!$E58,Calc_NetworkV_1[[Cost item]:[Cost item]],OP_Rates!$C58))*(1+Calc_ROM_1[Jemena]))*(1+GST),8),0,1))</f>
        <v>0</v>
      </c>
      <c r="J58" s="94" cm="1">
        <f t="array" ref="J58">IF(J23="-","-",
IF(ROUND(J23,8)=ROUND(
((SUMIFS(Calc_Variable_1[Powercor],Calc_Variable_1[[Customer type]:[Customer type]],"All")+
SUMIFS(Calc_Variable_1[Powercor],Calc_Variable_1[[Customer type]:[Customer type]],OP_Rates!$E58)+
SUMIFS(Calc_NetworkV_1[Powercor],Calc_NetworkV_1[[Customer type]:[Customer type]],OP_Rates!$E58,Calc_NetworkV_1[[Cost item]:[Cost item]],OP_Rates!$C58))*(1+Calc_ROM_1[Powercor]))*(1+GST),8),0,1))</f>
        <v>0</v>
      </c>
      <c r="K58" s="94" cm="1">
        <f t="array" ref="K58">IF(K23="-","-",
IF(ROUND(K23,8)=ROUND(
((SUMIFS(Calc_Variable_1[United Energy],Calc_Variable_1[[Customer type]:[Customer type]],"All")+
SUMIFS(Calc_Variable_1[United Energy],Calc_Variable_1[[Customer type]:[Customer type]],OP_Rates!$E58)+
SUMIFS(Calc_NetworkV_1[United Energy],Calc_NetworkV_1[[Customer type]:[Customer type]],OP_Rates!$E58,Calc_NetworkV_1[[Cost item]:[Cost item]],OP_Rates!$C58))*(1+Calc_ROM_1[United Energy]))*(1+GST),8),0,1))</f>
        <v>0</v>
      </c>
      <c r="M58" s="24" t="s">
        <v>508</v>
      </c>
      <c r="N58" s="24" t="s">
        <v>291</v>
      </c>
      <c r="O58" s="24" t="s">
        <v>101</v>
      </c>
      <c r="Q58" s="94" t="str" cm="1">
        <f t="array" ref="Q58">IF(Q23="-","-",
IF(ROUND(Q23,8)=ROUND(
((SUMIFS(Calc_Variable_1[Ausnet],Calc_Variable_1[[Customer type]:[Customer type]],"All")+
SUMIFS(Calc_Variable_1[Ausnet],Calc_Variable_1[[Customer type]:[Customer type]],OP_Rates!$O58)+
SUMIFS(Calc_NetworkV_1[Ausnet],Calc_NetworkV_1[[Customer type]:[Customer type]],OP_Rates!$O58,Calc_NetworkV_1[[Cost item]:[Cost item]],OP_Rates!$M58))*(1+Calc_ROM_1[Ausnet]))*(1+GST),8),0,1))</f>
        <v>-</v>
      </c>
      <c r="R58" s="94" cm="1">
        <f t="array" ref="R58">IF(R23="-","-",
IF(ROUND(R23,8)=ROUND(
((SUMIFS(Calc_Variable_1[Citipower],Calc_Variable_1[[Customer type]:[Customer type]],"All")+
SUMIFS(Calc_Variable_1[Citipower],Calc_Variable_1[[Customer type]:[Customer type]],OP_Rates!$O58)+
SUMIFS(Calc_NetworkV_1[Citipower],Calc_NetworkV_1[[Customer type]:[Customer type]],OP_Rates!$O58,Calc_NetworkV_1[[Cost item]:[Cost item]],OP_Rates!$M58))*(1+Calc_ROM_1[Citipower]))*(1+GST),8),0,1))</f>
        <v>0</v>
      </c>
      <c r="S58" s="94" cm="1">
        <f t="array" ref="S58">IF(S23="-","-",
IF(ROUND(S23,8)=ROUND(
((SUMIFS(Calc_Variable_1[Jemena],Calc_Variable_1[[Customer type]:[Customer type]],"All")+
SUMIFS(Calc_Variable_1[Jemena],Calc_Variable_1[[Customer type]:[Customer type]],OP_Rates!$O58)+
SUMIFS(Calc_NetworkV_1[Jemena],Calc_NetworkV_1[[Customer type]:[Customer type]],OP_Rates!$O58,Calc_NetworkV_1[[Cost item]:[Cost item]],OP_Rates!$M58))*(1+Calc_ROM_1[Jemena]))*(1+GST),8),0,1))</f>
        <v>0</v>
      </c>
      <c r="T58" s="94" cm="1">
        <f t="array" ref="T58">IF(T23="-","-",
IF(ROUND(T23,8)=ROUND(
((SUMIFS(Calc_Variable_1[Powercor],Calc_Variable_1[[Customer type]:[Customer type]],"All")+
SUMIFS(Calc_Variable_1[Powercor],Calc_Variable_1[[Customer type]:[Customer type]],OP_Rates!$O58)+
SUMIFS(Calc_NetworkV_1[Powercor],Calc_NetworkV_1[[Customer type]:[Customer type]],OP_Rates!$O58,Calc_NetworkV_1[[Cost item]:[Cost item]],OP_Rates!$M58))*(1+Calc_ROM_1[Powercor]))*(1+GST),8),0,1))</f>
        <v>0</v>
      </c>
      <c r="U58" s="94" cm="1">
        <f t="array" ref="U58">IF(U23="-","-",
IF(ROUND(U23,8)=ROUND(
((SUMIFS(Calc_Variable_1[United Energy],Calc_Variable_1[[Customer type]:[Customer type]],"All")+
SUMIFS(Calc_Variable_1[United Energy],Calc_Variable_1[[Customer type]:[Customer type]],OP_Rates!$O58)+
SUMIFS(Calc_NetworkV_1[United Energy],Calc_NetworkV_1[[Customer type]:[Customer type]],OP_Rates!$O58,Calc_NetworkV_1[[Cost item]:[Cost item]],OP_Rates!$M58))*(1+Calc_ROM_1[United Energy]))*(1+GST),8),0,1))</f>
        <v>0</v>
      </c>
    </row>
    <row r="59" spans="3:21" ht="15.75" hidden="1" x14ac:dyDescent="0.25">
      <c r="C59" s="24" t="s">
        <v>510</v>
      </c>
      <c r="D59" s="24" t="s">
        <v>118</v>
      </c>
      <c r="E59" s="24" t="s">
        <v>100</v>
      </c>
      <c r="G59" s="94" cm="1">
        <f t="array" ref="G59">IF(G24="-","-",
IF(ROUND(G24,8)=
ROUND((((SUMIFS(Calc_NetworkF_1[Ausnet],Calc_NetworkF_1[[Cost item]:[Cost item]],$C59,Calc_NetworkF_1[[Customer type]:[Customer type]],$E59)+SUMIFS(Calc_Fixed_1[Ausnet],Calc_Fixed_1[[Customer type]:[Customer type]],"All")+SUMIFS(Calc_Fixed_1[Ausnet],Calc_Fixed_1[[Customer type]:[Customer type]],$E59))/DiY)*(1+Calc_ROM_1[Ausnet]))*(1+GST),8),0,1))</f>
        <v>0</v>
      </c>
      <c r="H59" s="94" cm="1">
        <f t="array" ref="H59">IF(H24="-","-",
IF(ROUND(H24,8)=
ROUND((((SUMIFS(Calc_NetworkF_1[Citipower],Calc_NetworkF_1[[Cost item]:[Cost item]],$C59,Calc_NetworkF_1[[Customer type]:[Customer type]],$E59)+SUMIFS(Calc_Fixed_1[Citipower],Calc_Fixed_1[[Customer type]:[Customer type]],"All")+SUMIFS(Calc_Fixed_1[Citipower],Calc_Fixed_1[[Customer type]:[Customer type]],$E59))/DiY)*(1+Calc_ROM_1[Citipower]))*(1+GST),8),0,1))</f>
        <v>0</v>
      </c>
      <c r="I59" s="94" cm="1">
        <f t="array" ref="I59">IF(I24="-","-",
IF(ROUND(I24,8)=
ROUND((((SUMIFS(Calc_NetworkF_1[Jemena],Calc_NetworkF_1[[Cost item]:[Cost item]],$C59,Calc_NetworkF_1[[Customer type]:[Customer type]],$E59)+SUMIFS(Calc_Fixed_1[Jemena],Calc_Fixed_1[[Customer type]:[Customer type]],"All")+SUMIFS(Calc_Fixed_1[Jemena],Calc_Fixed_1[[Customer type]:[Customer type]],$E59))/DiY)*(1+Calc_ROM_1[Jemena]))*(1+GST),8),0,1))</f>
        <v>0</v>
      </c>
      <c r="J59" s="94" cm="1">
        <f t="array" ref="J59">IF(J24="-","-",
IF(ROUND(J24,8)=
ROUND((((SUMIFS(Calc_NetworkF_1[Powercor],Calc_NetworkF_1[[Cost item]:[Cost item]],$C59,Calc_NetworkF_1[[Customer type]:[Customer type]],$E59)+SUMIFS(Calc_Fixed_1[Powercor],Calc_Fixed_1[[Customer type]:[Customer type]],"All")+SUMIFS(Calc_Fixed_1[Powercor],Calc_Fixed_1[[Customer type]:[Customer type]],$E59))/DiY)*(1+Calc_ROM_1[Powercor]))*(1+GST),8),0,1))</f>
        <v>0</v>
      </c>
      <c r="K59" s="94" cm="1">
        <f t="array" ref="K59">IF(K24="-","-",
IF(ROUND(K24,8)=
ROUND((((SUMIFS(Calc_NetworkF_1[United Energy],Calc_NetworkF_1[[Cost item]:[Cost item]],$C59,Calc_NetworkF_1[[Customer type]:[Customer type]],$E59)+SUMIFS(Calc_Fixed_1[United Energy],Calc_Fixed_1[[Customer type]:[Customer type]],"All")+SUMIFS(Calc_Fixed_1[United Energy],Calc_Fixed_1[[Customer type]:[Customer type]],$E59))/DiY)*(1+Calc_ROM_1[United Energy]))*(1+GST),8),0,1))</f>
        <v>0</v>
      </c>
      <c r="M59" s="24" t="s">
        <v>510</v>
      </c>
      <c r="N59" s="24" t="s">
        <v>118</v>
      </c>
      <c r="O59" s="24" t="s">
        <v>101</v>
      </c>
      <c r="Q59" s="94" cm="1">
        <f t="array" ref="Q59">IF(Q24="-","-",
IF(ROUND(Q24,8)=
ROUND((((SUMIFS(Calc_NetworkF_1[Ausnet],Calc_NetworkF_1[[Cost item]:[Cost item]],$M59,Calc_NetworkF_1[[Customer type]:[Customer type]],$O59)+SUMIFS(Calc_Fixed_1[Ausnet],Calc_Fixed_1[[Customer type]:[Customer type]],"All")+SUMIFS(Calc_Fixed_1[Ausnet],Calc_Fixed_1[[Customer type]:[Customer type]],$O59))/DiY)*(1+Calc_ROM_1[Ausnet]))*(1+GST),8),0,1))</f>
        <v>0</v>
      </c>
      <c r="R59" s="94" cm="1">
        <f t="array" ref="R59">IF(R24="-","-",
IF(ROUND(R24,8)=
ROUND((((SUMIFS(Calc_NetworkF_1[Citipower],Calc_NetworkF_1[[Cost item]:[Cost item]],$M59,Calc_NetworkF_1[[Customer type]:[Customer type]],$O59)+SUMIFS(Calc_Fixed_1[Citipower],Calc_Fixed_1[[Customer type]:[Customer type]],"All")+SUMIFS(Calc_Fixed_1[Citipower],Calc_Fixed_1[[Customer type]:[Customer type]],$O59))/DiY)*(1+Calc_ROM_1[Citipower]))*(1+GST),8),0,1))</f>
        <v>0</v>
      </c>
      <c r="S59" s="94" cm="1">
        <f t="array" ref="S59">IF(S24="-","-",
IF(ROUND(S24,8)=
ROUND((((SUMIFS(Calc_NetworkF_1[Jemena],Calc_NetworkF_1[[Cost item]:[Cost item]],$M59,Calc_NetworkF_1[[Customer type]:[Customer type]],$O59)+SUMIFS(Calc_Fixed_1[Jemena],Calc_Fixed_1[[Customer type]:[Customer type]],"All")+SUMIFS(Calc_Fixed_1[Jemena],Calc_Fixed_1[[Customer type]:[Customer type]],$O59))/DiY)*(1+Calc_ROM_1[Jemena]))*(1+GST),8),0,1))</f>
        <v>0</v>
      </c>
      <c r="T59" s="94" cm="1">
        <f t="array" ref="T59">IF(T24="-","-",
IF(ROUND(T24,8)=
ROUND((((SUMIFS(Calc_NetworkF_1[Powercor],Calc_NetworkF_1[[Cost item]:[Cost item]],$M59,Calc_NetworkF_1[[Customer type]:[Customer type]],$O59)+SUMIFS(Calc_Fixed_1[Powercor],Calc_Fixed_1[[Customer type]:[Customer type]],"All")+SUMIFS(Calc_Fixed_1[Powercor],Calc_Fixed_1[[Customer type]:[Customer type]],$O59))/DiY)*(1+Calc_ROM_1[Powercor]))*(1+GST),8),0,1))</f>
        <v>0</v>
      </c>
      <c r="U59" s="94" cm="1">
        <f t="array" ref="U59">IF(U24="-","-",
IF(ROUND(U24,8)=
ROUND((((SUMIFS(Calc_NetworkF_1[United Energy],Calc_NetworkF_1[[Cost item]:[Cost item]],$M59,Calc_NetworkF_1[[Customer type]:[Customer type]],$O59)+SUMIFS(Calc_Fixed_1[United Energy],Calc_Fixed_1[[Customer type]:[Customer type]],"All")+SUMIFS(Calc_Fixed_1[United Energy],Calc_Fixed_1[[Customer type]:[Customer type]],$O59))/DiY)*(1+Calc_ROM_1[United Energy]))*(1+GST),8),0,1))</f>
        <v>0</v>
      </c>
    </row>
    <row r="60" spans="3:21" ht="15.75" hidden="1" x14ac:dyDescent="0.25">
      <c r="C60" s="24" t="s">
        <v>239</v>
      </c>
      <c r="D60" s="24" t="s">
        <v>291</v>
      </c>
      <c r="E60" s="24" t="s">
        <v>100</v>
      </c>
      <c r="G60" s="94" cm="1">
        <f t="array" ref="G60">IF(G25="-","-",
IF(ROUND(G25,8)=ROUND(
((SUMIFS(Calc_Variable_1[Ausnet],Calc_Variable_1[[Customer type]:[Customer type]],"All")+
SUMIFS(Calc_Variable_1[Ausnet],Calc_Variable_1[[Customer type]:[Customer type]],OP_Rates!$E60)+
SUMIFS(Calc_NetworkV_1[Ausnet],Calc_NetworkV_1[[Customer type]:[Customer type]],OP_Rates!$E60,Calc_NetworkV_1[[Cost item]:[Cost item]],OP_Rates!$C60))*(1+Calc_ROM_1[Ausnet]))*(1+GST),8),0,1))</f>
        <v>0</v>
      </c>
      <c r="H60" s="94" cm="1">
        <f t="array" ref="H60">IF(H25="-","-",
IF(ROUND(H25,8)=ROUND(
((SUMIFS(Calc_Variable_1[Citipower],Calc_Variable_1[[Customer type]:[Customer type]],"All")+
SUMIFS(Calc_Variable_1[Citipower],Calc_Variable_1[[Customer type]:[Customer type]],OP_Rates!$E60)+
SUMIFS(Calc_NetworkV_1[Citipower],Calc_NetworkV_1[[Customer type]:[Customer type]],OP_Rates!$E60,Calc_NetworkV_1[[Cost item]:[Cost item]],OP_Rates!$C60))*(1+Calc_ROM_1[Citipower]))*(1+GST),8),0,1))</f>
        <v>0</v>
      </c>
      <c r="I60" s="94" cm="1">
        <f t="array" ref="I60">IF(I25="-","-",
IF(ROUND(I25,8)=ROUND(
((SUMIFS(Calc_Variable_1[Jemena],Calc_Variable_1[[Customer type]:[Customer type]],"All")+
SUMIFS(Calc_Variable_1[Jemena],Calc_Variable_1[[Customer type]:[Customer type]],OP_Rates!$E60)+
SUMIFS(Calc_NetworkV_1[Jemena],Calc_NetworkV_1[[Customer type]:[Customer type]],OP_Rates!$E60,Calc_NetworkV_1[[Cost item]:[Cost item]],OP_Rates!$C60))*(1+Calc_ROM_1[Jemena]))*(1+GST),8),0,1))</f>
        <v>0</v>
      </c>
      <c r="J60" s="94" cm="1">
        <f t="array" ref="J60">IF(J25="-","-",
IF(ROUND(J25,8)=ROUND(
((SUMIFS(Calc_Variable_1[Powercor],Calc_Variable_1[[Customer type]:[Customer type]],"All")+
SUMIFS(Calc_Variable_1[Powercor],Calc_Variable_1[[Customer type]:[Customer type]],OP_Rates!$E60)+
SUMIFS(Calc_NetworkV_1[Powercor],Calc_NetworkV_1[[Customer type]:[Customer type]],OP_Rates!$E60,Calc_NetworkV_1[[Cost item]:[Cost item]],OP_Rates!$C60))*(1+Calc_ROM_1[Powercor]))*(1+GST),8),0,1))</f>
        <v>0</v>
      </c>
      <c r="K60" s="94" cm="1">
        <f t="array" ref="K60">IF(K25="-","-",
IF(ROUND(K25,8)=ROUND(
((SUMIFS(Calc_Variable_1[United Energy],Calc_Variable_1[[Customer type]:[Customer type]],"All")+
SUMIFS(Calc_Variable_1[United Energy],Calc_Variable_1[[Customer type]:[Customer type]],OP_Rates!$E60)+
SUMIFS(Calc_NetworkV_1[United Energy],Calc_NetworkV_1[[Customer type]:[Customer type]],OP_Rates!$E60,Calc_NetworkV_1[[Cost item]:[Cost item]],OP_Rates!$C60))*(1+Calc_ROM_1[United Energy]))*(1+GST),8),0,1))</f>
        <v>0</v>
      </c>
      <c r="M60" s="24" t="s">
        <v>239</v>
      </c>
      <c r="N60" s="24" t="s">
        <v>291</v>
      </c>
      <c r="O60" s="24" t="s">
        <v>101</v>
      </c>
      <c r="Q60" s="94" cm="1">
        <f t="array" ref="Q60">IF(Q25="-","-",
IF(ROUND(Q25,8)=ROUND(
((SUMIFS(Calc_Variable_1[Ausnet],Calc_Variable_1[[Customer type]:[Customer type]],"All")+
SUMIFS(Calc_Variable_1[Ausnet],Calc_Variable_1[[Customer type]:[Customer type]],OP_Rates!$O60)+
SUMIFS(Calc_NetworkV_1[Ausnet],Calc_NetworkV_1[[Customer type]:[Customer type]],OP_Rates!$O60,Calc_NetworkV_1[[Cost item]:[Cost item]],OP_Rates!$M60))*(1+Calc_ROM_1[Ausnet]))*(1+GST),8),0,1))</f>
        <v>0</v>
      </c>
      <c r="R60" s="94" cm="1">
        <f t="array" ref="R60">IF(R25="-","-",
IF(ROUND(R25,8)=ROUND(
((SUMIFS(Calc_Variable_1[Citipower],Calc_Variable_1[[Customer type]:[Customer type]],"All")+
SUMIFS(Calc_Variable_1[Citipower],Calc_Variable_1[[Customer type]:[Customer type]],OP_Rates!$O60)+
SUMIFS(Calc_NetworkV_1[Citipower],Calc_NetworkV_1[[Customer type]:[Customer type]],OP_Rates!$O60,Calc_NetworkV_1[[Cost item]:[Cost item]],OP_Rates!$M60))*(1+Calc_ROM_1[Citipower]))*(1+GST),8),0,1))</f>
        <v>0</v>
      </c>
      <c r="S60" s="94" cm="1">
        <f t="array" ref="S60">IF(S25="-","-",
IF(ROUND(S25,8)=ROUND(
((SUMIFS(Calc_Variable_1[Jemena],Calc_Variable_1[[Customer type]:[Customer type]],"All")+
SUMIFS(Calc_Variable_1[Jemena],Calc_Variable_1[[Customer type]:[Customer type]],OP_Rates!$O60)+
SUMIFS(Calc_NetworkV_1[Jemena],Calc_NetworkV_1[[Customer type]:[Customer type]],OP_Rates!$O60,Calc_NetworkV_1[[Cost item]:[Cost item]],OP_Rates!$M60))*(1+Calc_ROM_1[Jemena]))*(1+GST),8),0,1))</f>
        <v>0</v>
      </c>
      <c r="T60" s="94" cm="1">
        <f t="array" ref="T60">IF(T25="-","-",
IF(ROUND(T25,8)=ROUND(
((SUMIFS(Calc_Variable_1[Powercor],Calc_Variable_1[[Customer type]:[Customer type]],"All")+
SUMIFS(Calc_Variable_1[Powercor],Calc_Variable_1[[Customer type]:[Customer type]],OP_Rates!$O60)+
SUMIFS(Calc_NetworkV_1[Powercor],Calc_NetworkV_1[[Customer type]:[Customer type]],OP_Rates!$O60,Calc_NetworkV_1[[Cost item]:[Cost item]],OP_Rates!$M60))*(1+Calc_ROM_1[Powercor]))*(1+GST),8),0,1))</f>
        <v>0</v>
      </c>
      <c r="U60" s="94" cm="1">
        <f t="array" ref="U60">IF(U25="-","-",
IF(ROUND(U25,8)=ROUND(
((SUMIFS(Calc_Variable_1[United Energy],Calc_Variable_1[[Customer type]:[Customer type]],"All")+
SUMIFS(Calc_Variable_1[United Energy],Calc_Variable_1[[Customer type]:[Customer type]],OP_Rates!$O60)+
SUMIFS(Calc_NetworkV_1[United Energy],Calc_NetworkV_1[[Customer type]:[Customer type]],OP_Rates!$O60,Calc_NetworkV_1[[Cost item]:[Cost item]],OP_Rates!$M60))*(1+Calc_ROM_1[United Energy]))*(1+GST),8),0,1))</f>
        <v>0</v>
      </c>
    </row>
    <row r="61" spans="3:21" ht="15.75" hidden="1" x14ac:dyDescent="0.25">
      <c r="C61" s="24" t="s">
        <v>538</v>
      </c>
      <c r="D61" s="24" t="s">
        <v>291</v>
      </c>
      <c r="E61" s="24" t="s">
        <v>100</v>
      </c>
      <c r="G61" s="94" cm="1">
        <f t="array" ref="G61">IF(G26="-","-",
IF(ROUND(G26,8)=ROUND(
((SUMIFS(Calc_Variable_1[Ausnet],Calc_Variable_1[[Customer type]:[Customer type]],"All")+
SUMIFS(Calc_Variable_1[Ausnet],Calc_Variable_1[[Customer type]:[Customer type]],OP_Rates!$E61)+
SUMIFS(Calc_NetworkV_1[Ausnet],Calc_NetworkV_1[[Customer type]:[Customer type]],OP_Rates!$E61,Calc_NetworkV_1[[Cost item]:[Cost item]],OP_Rates!$C61))*(1+Calc_ROM_1[Ausnet]))*(1+GST),8),0,1))</f>
        <v>0</v>
      </c>
      <c r="H61" s="94" cm="1">
        <f t="array" ref="H61">IF(H26="-","-",
IF(ROUND(H26,8)=ROUND(
((SUMIFS(Calc_Variable_1[Citipower],Calc_Variable_1[[Customer type]:[Customer type]],"All")+
SUMIFS(Calc_Variable_1[Citipower],Calc_Variable_1[[Customer type]:[Customer type]],OP_Rates!$E61)+
SUMIFS(Calc_NetworkV_1[Citipower],Calc_NetworkV_1[[Customer type]:[Customer type]],OP_Rates!$E61,Calc_NetworkV_1[[Cost item]:[Cost item]],OP_Rates!$C61))*(1+Calc_ROM_1[Citipower]))*(1+GST),8),0,1))</f>
        <v>0</v>
      </c>
      <c r="I61" s="94" cm="1">
        <f t="array" ref="I61">IF(I26="-","-",
IF(ROUND(I26,8)=ROUND(
((SUMIFS(Calc_Variable_1[Jemena],Calc_Variable_1[[Customer type]:[Customer type]],"All")+
SUMIFS(Calc_Variable_1[Jemena],Calc_Variable_1[[Customer type]:[Customer type]],OP_Rates!$E61)+
SUMIFS(Calc_NetworkV_1[Jemena],Calc_NetworkV_1[[Customer type]:[Customer type]],OP_Rates!$E61,Calc_NetworkV_1[[Cost item]:[Cost item]],OP_Rates!$C61))*(1+Calc_ROM_1[Jemena]))*(1+GST),8),0,1))</f>
        <v>0</v>
      </c>
      <c r="J61" s="94" cm="1">
        <f t="array" ref="J61">IF(J26="-","-",
IF(ROUND(J26,8)=ROUND(
((SUMIFS(Calc_Variable_1[Powercor],Calc_Variable_1[[Customer type]:[Customer type]],"All")+
SUMIFS(Calc_Variable_1[Powercor],Calc_Variable_1[[Customer type]:[Customer type]],OP_Rates!$E61)+
SUMIFS(Calc_NetworkV_1[Powercor],Calc_NetworkV_1[[Customer type]:[Customer type]],OP_Rates!$E61,Calc_NetworkV_1[[Cost item]:[Cost item]],OP_Rates!$C61))*(1+Calc_ROM_1[Powercor]))*(1+GST),8),0,1))</f>
        <v>0</v>
      </c>
      <c r="K61" s="94" cm="1">
        <f t="array" ref="K61">IF(K26="-","-",
IF(ROUND(K26,8)=ROUND(
((SUMIFS(Calc_Variable_1[United Energy],Calc_Variable_1[[Customer type]:[Customer type]],"All")+
SUMIFS(Calc_Variable_1[United Energy],Calc_Variable_1[[Customer type]:[Customer type]],OP_Rates!$E61)+
SUMIFS(Calc_NetworkV_1[United Energy],Calc_NetworkV_1[[Customer type]:[Customer type]],OP_Rates!$E61,Calc_NetworkV_1[[Cost item]:[Cost item]],OP_Rates!$C61))*(1+Calc_ROM_1[United Energy]))*(1+GST),8),0,1))</f>
        <v>0</v>
      </c>
      <c r="M61" s="24" t="s">
        <v>538</v>
      </c>
      <c r="N61" s="24" t="s">
        <v>291</v>
      </c>
      <c r="O61" s="24" t="s">
        <v>101</v>
      </c>
      <c r="Q61" s="94" cm="1">
        <f t="array" ref="Q61">IF(Q26="-","-",
IF(ROUND(Q26,8)=ROUND(
((SUMIFS(Calc_Variable_1[Ausnet],Calc_Variable_1[[Customer type]:[Customer type]],"All")+
SUMIFS(Calc_Variable_1[Ausnet],Calc_Variable_1[[Customer type]:[Customer type]],OP_Rates!$O61)+
SUMIFS(Calc_NetworkV_1[Ausnet],Calc_NetworkV_1[[Customer type]:[Customer type]],OP_Rates!$O61,Calc_NetworkV_1[[Cost item]:[Cost item]],OP_Rates!$M61))*(1+Calc_ROM_1[Ausnet]))*(1+GST),8),0,1))</f>
        <v>0</v>
      </c>
      <c r="R61" s="94" cm="1">
        <f t="array" ref="R61">IF(R26="-","-",
IF(ROUND(R26,8)=ROUND(
((SUMIFS(Calc_Variable_1[Citipower],Calc_Variable_1[[Customer type]:[Customer type]],"All")+
SUMIFS(Calc_Variable_1[Citipower],Calc_Variable_1[[Customer type]:[Customer type]],OP_Rates!$O61)+
SUMIFS(Calc_NetworkV_1[Citipower],Calc_NetworkV_1[[Customer type]:[Customer type]],OP_Rates!$O61,Calc_NetworkV_1[[Cost item]:[Cost item]],OP_Rates!$M61))*(1+Calc_ROM_1[Citipower]))*(1+GST),8),0,1))</f>
        <v>0</v>
      </c>
      <c r="S61" s="94" cm="1">
        <f t="array" ref="S61">IF(S26="-","-",
IF(ROUND(S26,8)=ROUND(
((SUMIFS(Calc_Variable_1[Jemena],Calc_Variable_1[[Customer type]:[Customer type]],"All")+
SUMIFS(Calc_Variable_1[Jemena],Calc_Variable_1[[Customer type]:[Customer type]],OP_Rates!$O61)+
SUMIFS(Calc_NetworkV_1[Jemena],Calc_NetworkV_1[[Customer type]:[Customer type]],OP_Rates!$O61,Calc_NetworkV_1[[Cost item]:[Cost item]],OP_Rates!$M61))*(1+Calc_ROM_1[Jemena]))*(1+GST),8),0,1))</f>
        <v>0</v>
      </c>
      <c r="T61" s="94" cm="1">
        <f t="array" ref="T61">IF(T26="-","-",
IF(ROUND(T26,8)=ROUND(
((SUMIFS(Calc_Variable_1[Powercor],Calc_Variable_1[[Customer type]:[Customer type]],"All")+
SUMIFS(Calc_Variable_1[Powercor],Calc_Variable_1[[Customer type]:[Customer type]],OP_Rates!$O61)+
SUMIFS(Calc_NetworkV_1[Powercor],Calc_NetworkV_1[[Customer type]:[Customer type]],OP_Rates!$O61,Calc_NetworkV_1[[Cost item]:[Cost item]],OP_Rates!$M61))*(1+Calc_ROM_1[Powercor]))*(1+GST),8),0,1))</f>
        <v>0</v>
      </c>
      <c r="U61" s="94" cm="1">
        <f t="array" ref="U61">IF(U26="-","-",
IF(ROUND(U26,8)=ROUND(
((SUMIFS(Calc_Variable_1[United Energy],Calc_Variable_1[[Customer type]:[Customer type]],"All")+
SUMIFS(Calc_Variable_1[United Energy],Calc_Variable_1[[Customer type]:[Customer type]],OP_Rates!$O61)+
SUMIFS(Calc_NetworkV_1[United Energy],Calc_NetworkV_1[[Customer type]:[Customer type]],OP_Rates!$O61,Calc_NetworkV_1[[Cost item]:[Cost item]],OP_Rates!$M61))*(1+Calc_ROM_1[United Energy]))*(1+GST),8),0,1))</f>
        <v>0</v>
      </c>
    </row>
    <row r="62" spans="3:21" ht="15.75" hidden="1" x14ac:dyDescent="0.25">
      <c r="C62" s="24" t="s">
        <v>296</v>
      </c>
      <c r="D62" s="24" t="s">
        <v>291</v>
      </c>
      <c r="E62" s="24" t="s">
        <v>100</v>
      </c>
      <c r="G62" s="94" cm="1">
        <f t="array" ref="G62">IF(G27="-","-",
IF(ROUND(G27,8)=ROUND(
((SUMIFS(Calc_Variable_1[Ausnet],Calc_Variable_1[[Customer type]:[Customer type]],"All")+
SUMIFS(Calc_Variable_1[Ausnet],Calc_Variable_1[[Customer type]:[Customer type]],OP_Rates!$E62)+
SUMIFS(Calc_NetworkV_1[Ausnet],Calc_NetworkV_1[[Customer type]:[Customer type]],OP_Rates!$E62,Calc_NetworkV_1[[Cost item]:[Cost item]],OP_Rates!$C62))*(1+Calc_ROM_1[Ausnet]))*(1+GST),8),0,1))</f>
        <v>0</v>
      </c>
      <c r="H62" s="94" cm="1">
        <f t="array" ref="H62">IF(H27="-","-",
IF(ROUND(H27,8)=ROUND(
((SUMIFS(Calc_Variable_1[Citipower],Calc_Variable_1[[Customer type]:[Customer type]],"All")+
SUMIFS(Calc_Variable_1[Citipower],Calc_Variable_1[[Customer type]:[Customer type]],OP_Rates!$E62)+
SUMIFS(Calc_NetworkV_1[Citipower],Calc_NetworkV_1[[Customer type]:[Customer type]],OP_Rates!$E62,Calc_NetworkV_1[[Cost item]:[Cost item]],OP_Rates!$C62))*(1+Calc_ROM_1[Citipower]))*(1+GST),8),0,1))</f>
        <v>0</v>
      </c>
      <c r="I62" s="94" cm="1">
        <f t="array" ref="I62">IF(I27="-","-",
IF(ROUND(I27,8)=ROUND(
((SUMIFS(Calc_Variable_1[Jemena],Calc_Variable_1[[Customer type]:[Customer type]],"All")+
SUMIFS(Calc_Variable_1[Jemena],Calc_Variable_1[[Customer type]:[Customer type]],OP_Rates!$E62)+
SUMIFS(Calc_NetworkV_1[Jemena],Calc_NetworkV_1[[Customer type]:[Customer type]],OP_Rates!$E62,Calc_NetworkV_1[[Cost item]:[Cost item]],OP_Rates!$C62))*(1+Calc_ROM_1[Jemena]))*(1+GST),8),0,1))</f>
        <v>0</v>
      </c>
      <c r="J62" s="94" cm="1">
        <f t="array" ref="J62">IF(J27="-","-",
IF(ROUND(J27,8)=ROUND(
((SUMIFS(Calc_Variable_1[Powercor],Calc_Variable_1[[Customer type]:[Customer type]],"All")+
SUMIFS(Calc_Variable_1[Powercor],Calc_Variable_1[[Customer type]:[Customer type]],OP_Rates!$E62)+
SUMIFS(Calc_NetworkV_1[Powercor],Calc_NetworkV_1[[Customer type]:[Customer type]],OP_Rates!$E62,Calc_NetworkV_1[[Cost item]:[Cost item]],OP_Rates!$C62))*(1+Calc_ROM_1[Powercor]))*(1+GST),8),0,1))</f>
        <v>0</v>
      </c>
      <c r="K62" s="94" cm="1">
        <f t="array" ref="K62">IF(K27="-","-",
IF(ROUND(K27,8)=ROUND(
((SUMIFS(Calc_Variable_1[United Energy],Calc_Variable_1[[Customer type]:[Customer type]],"All")+
SUMIFS(Calc_Variable_1[United Energy],Calc_Variable_1[[Customer type]:[Customer type]],OP_Rates!$E62)+
SUMIFS(Calc_NetworkV_1[United Energy],Calc_NetworkV_1[[Customer type]:[Customer type]],OP_Rates!$E62,Calc_NetworkV_1[[Cost item]:[Cost item]],OP_Rates!$C62))*(1+Calc_ROM_1[United Energy]))*(1+GST),8),0,1))</f>
        <v>0</v>
      </c>
      <c r="M62" s="24"/>
      <c r="N62" s="24"/>
      <c r="O62" s="24"/>
      <c r="Q62" s="94"/>
      <c r="R62" s="94"/>
      <c r="S62" s="94"/>
      <c r="T62" s="94"/>
      <c r="U62" s="94"/>
    </row>
    <row r="63" spans="3:21" hidden="1" x14ac:dyDescent="0.25"/>
    <row r="64" spans="3:21" ht="15.75" hidden="1" x14ac:dyDescent="0.25">
      <c r="C64" s="30" t="str">
        <f>C$29&amp;" - checks"</f>
        <v>Residential True Up - checks</v>
      </c>
      <c r="M64" s="30" t="str">
        <f>M$29&amp;" - checks"</f>
        <v>Small business True Up - checks</v>
      </c>
    </row>
    <row r="65" spans="2:22" ht="15.75" hidden="1" x14ac:dyDescent="0.25">
      <c r="C65" s="43" t="s">
        <v>340</v>
      </c>
      <c r="D65" s="43" t="s">
        <v>111</v>
      </c>
      <c r="E65" s="43" t="s">
        <v>99</v>
      </c>
      <c r="F65" s="140" t="s">
        <v>53</v>
      </c>
      <c r="G65" s="51" t="s">
        <v>277</v>
      </c>
      <c r="H65" s="51" t="s">
        <v>278</v>
      </c>
      <c r="I65" s="51" t="s">
        <v>279</v>
      </c>
      <c r="J65" s="51" t="s">
        <v>280</v>
      </c>
      <c r="K65" s="51" t="s">
        <v>281</v>
      </c>
      <c r="M65" s="43" t="s">
        <v>340</v>
      </c>
      <c r="N65" s="43" t="s">
        <v>111</v>
      </c>
      <c r="O65" s="43" t="s">
        <v>99</v>
      </c>
      <c r="P65" s="140" t="s">
        <v>53</v>
      </c>
      <c r="Q65" s="51" t="s">
        <v>277</v>
      </c>
      <c r="R65" s="51" t="s">
        <v>278</v>
      </c>
      <c r="S65" s="51" t="s">
        <v>279</v>
      </c>
      <c r="T65" s="51" t="s">
        <v>280</v>
      </c>
      <c r="U65" s="51" t="s">
        <v>281</v>
      </c>
    </row>
    <row r="66" spans="2:22" ht="15.75" hidden="1" x14ac:dyDescent="0.25">
      <c r="C66" s="60" t="s">
        <v>515</v>
      </c>
      <c r="D66" s="60" t="s">
        <v>118</v>
      </c>
      <c r="E66" s="60" t="s">
        <v>100</v>
      </c>
      <c r="F66" s="24" t="s">
        <v>130</v>
      </c>
      <c r="G66" s="201" t="str" cm="1">
        <f t="array" ref="G66">IF(G31="-","-",
IF(ROUND(G31,8)=
IF($F66="Network",
IF($C66&lt;&gt;"Controlled load",
ROUND(INDEX(Calc_TUR_Net_1[[Ausnet]:[United Energy]],MATCH(1,(Calc_TUR_Net_1[[Customer type]:[Customer type]]=OP_Rates!$E66)*(Calc_TUR_Net_1[[Rate type]:[Rate type]]=OP_Rates!$C66),0),MATCH(OP_Rates!G$65,Calc_TUR_Net_1[[#Headers],[Ausnet]:[United Energy]],0)),8),
ROUND(INDEX(Calc_TUR_NetCL_1[[Ausnet]:[United Energy]],MATCH(OP_Rates!$E66,Calc_TUR_Net_1[[Customer type]:[Customer type]],0),MATCH(OP_Rates!G$65,Calc_TUR_Net_1[[#Headers],[Ausnet]:[United Energy]],0)),8)),
IF($F66="Environmental",
ROUND(SUMIFS(Calc_TUR_Env_1[Ausnet],Calc_TUR_Env_1[[Customer type]:[Customer type]],OP_Rates!$E66,Calc_TUR_Env_1[[Rate type]:[Rate type]],OP_Rates!$C66),8))),0,1))</f>
        <v>-</v>
      </c>
      <c r="H66" s="201" t="str" cm="1">
        <f t="array" ref="H66">IF(H31="-","-",
IF(ROUND(H31,8)=
IF($F66="Network",
IF($C66&lt;&gt;"Controlled load",
ROUND(INDEX(Calc_TUR_Net_1[[Ausnet]:[United Energy]],MATCH(1,(Calc_TUR_Net_1[[Customer type]:[Customer type]]=OP_Rates!$E66)*(Calc_TUR_Net_1[[Rate type]:[Rate type]]=OP_Rates!$C66),0),MATCH(OP_Rates!H$65,Calc_TUR_Net_1[[#Headers],[Ausnet]:[United Energy]],0)),8),
ROUND(INDEX(Calc_TUR_NetCL_1[[Ausnet]:[United Energy]],MATCH(OP_Rates!$E66,Calc_TUR_Net_1[[Customer type]:[Customer type]],0),MATCH(OP_Rates!H$65,Calc_TUR_Net_1[[#Headers],[Ausnet]:[United Energy]],0)),8)),
IF($F66="Environmental",
ROUND(SUMIFS(Calc_TUR_Env_1[Citipower],Calc_TUR_Env_1[[Customer type]:[Customer type]],OP_Rates!$E66,Calc_TUR_Env_1[[Rate type]:[Rate type]],OP_Rates!$C66),8))),0,1))</f>
        <v>-</v>
      </c>
      <c r="I66" s="201" t="str" cm="1">
        <f t="array" ref="I66">IF(I31="-","-",
IF(ROUND(I31,8)=
IF($F66="Network",
IF($C66&lt;&gt;"Controlled load",
ROUND(INDEX(Calc_TUR_Net_1[[Ausnet]:[United Energy]],MATCH(1,(Calc_TUR_Net_1[[Customer type]:[Customer type]]=OP_Rates!$E66)*(Calc_TUR_Net_1[[Rate type]:[Rate type]]=OP_Rates!$C66),0),MATCH(OP_Rates!I$65,Calc_TUR_Net_1[[#Headers],[Ausnet]:[United Energy]],0)),8),
ROUND(INDEX(Calc_TUR_NetCL_1[[Ausnet]:[United Energy]],MATCH(OP_Rates!$E66,Calc_TUR_Net_1[[Customer type]:[Customer type]],0),MATCH(OP_Rates!I$65,Calc_TUR_Net_1[[#Headers],[Ausnet]:[United Energy]],0)),8)),
IF($F66="Environmental",
ROUND(SUMIFS(Calc_TUR_Env_1[Jemena],Calc_TUR_Env_1[[Customer type]:[Customer type]],OP_Rates!$E66,Calc_TUR_Env_1[[Rate type]:[Rate type]],OP_Rates!$C66),8))),0,1))</f>
        <v>-</v>
      </c>
      <c r="J66" s="201" t="str" cm="1">
        <f t="array" ref="J66">IF(J31="-","-",
IF(ROUND(J31,8)=
IF($F66="Network",
IF($C66&lt;&gt;"Controlled load",
ROUND(INDEX(Calc_TUR_Net_1[[Ausnet]:[United Energy]],MATCH(1,(Calc_TUR_Net_1[[Customer type]:[Customer type]]=OP_Rates!$E66)*(Calc_TUR_Net_1[[Rate type]:[Rate type]]=OP_Rates!$C66),0),MATCH(OP_Rates!J$65,Calc_TUR_Net_1[[#Headers],[Ausnet]:[United Energy]],0)),8),
ROUND(INDEX(Calc_TUR_NetCL_1[[Ausnet]:[United Energy]],MATCH(OP_Rates!$E66,Calc_TUR_Net_1[[Customer type]:[Customer type]],0),MATCH(OP_Rates!J$65,Calc_TUR_Net_1[[#Headers],[Ausnet]:[United Energy]],0)),8)),
IF($F66="Environmental",
ROUND(SUMIFS(Calc_TUR_Env_1[Powercor],Calc_TUR_Env_1[[Customer type]:[Customer type]],OP_Rates!$E66,Calc_TUR_Env_1[[Rate type]:[Rate type]],OP_Rates!$C66),8))),0,1))</f>
        <v>-</v>
      </c>
      <c r="K66" s="201" t="str" cm="1">
        <f t="array" ref="K66">IF(K31="-","-",
IF(ROUND(K31,8)=
IF($F66="Network",
IF($C66&lt;&gt;"Controlled load",
ROUND(INDEX(Calc_TUR_Net_1[[Ausnet]:[United Energy]],MATCH(1,(Calc_TUR_Net_1[[Customer type]:[Customer type]]=OP_Rates!$E66)*(Calc_TUR_Net_1[[Rate type]:[Rate type]]=OP_Rates!$C66),0),MATCH(OP_Rates!K$65,Calc_TUR_Net_1[[#Headers],[Ausnet]:[United Energy]],0)),8),
ROUND(INDEX(Calc_TUR_NetCL_1[[Ausnet]:[United Energy]],MATCH(OP_Rates!$E66,Calc_TUR_Net_1[[Customer type]:[Customer type]],0),MATCH(OP_Rates!K$65,Calc_TUR_Net_1[[#Headers],[Ausnet]:[United Energy]],0)),8)),
IF($F66="Environmental",
ROUND(SUMIFS(Calc_TUR_Env_1[United Energy],Calc_TUR_Env_1[[Customer type]:[Customer type]],OP_Rates!$E66,Calc_TUR_Env_1[[Rate type]:[Rate type]],OP_Rates!$C66),8))),0,1))</f>
        <v>-</v>
      </c>
      <c r="M66" s="60" t="s">
        <v>515</v>
      </c>
      <c r="N66" s="60" t="s">
        <v>118</v>
      </c>
      <c r="O66" s="60" t="s">
        <v>101</v>
      </c>
      <c r="P66" s="24" t="s">
        <v>130</v>
      </c>
      <c r="Q66" s="201" t="str" cm="1">
        <f t="array" ref="Q66">IF(Q31="-","-",
IF(ROUND(Q31,8)=
IF($P66="Network",
ROUND(INDEX(Calc_TUR_Net_1[[Ausnet]:[United Energy]],MATCH(1,(Calc_TUR_Net_1[[Customer type]:[Customer type]]=OP_Rates!$O66)*(Calc_TUR_Net_1[[Rate type]:[Rate type]]=OP_Rates!$C66),0),MATCH(OP_Rates!Q$65,Calc_TUR_Net_1[[#Headers],[Ausnet]:[United Energy]],0)),8),
IF($P66="Environmental",
ROUND(SUMIFS(Calc_TUR_Env_1[Ausnet],Calc_TUR_Env_1[[Customer type]:[Customer type]],OP_Rates!$O66,Calc_TUR_Env_1[[Rate type]:[Rate type]],OP_Rates!$C66),8))),0,1))</f>
        <v>-</v>
      </c>
      <c r="R66" s="201" t="str" cm="1">
        <f t="array" ref="R66">IF(R31="-","-",
IF(ROUND(R31,8)=
IF($P66="Network",
ROUND(INDEX(Calc_TUR_Net_1[[Ausnet]:[United Energy]],MATCH(1,(Calc_TUR_Net_1[[Customer type]:[Customer type]]=OP_Rates!$O66)*(Calc_TUR_Net_1[[Rate type]:[Rate type]]=OP_Rates!$C66),0),MATCH(OP_Rates!R$65,Calc_TUR_Net_1[[#Headers],[Ausnet]:[United Energy]],0)),8),
IF($P66="Environmental",
ROUND(SUMIFS(Calc_TUR_Env_1[Citipower],Calc_TUR_Env_1[[Customer type]:[Customer type]],OP_Rates!$O66,Calc_TUR_Env_1[[Rate type]:[Rate type]],OP_Rates!$C66),8))),0,1))</f>
        <v>-</v>
      </c>
      <c r="S66" s="201" t="str" cm="1">
        <f t="array" ref="S66">IF(S31="-","-",
IF(ROUND(S31,8)=
IF($P66="Network",
ROUND(INDEX(Calc_TUR_Net_1[[Ausnet]:[United Energy]],MATCH(1,(Calc_TUR_Net_1[[Customer type]:[Customer type]]=OP_Rates!$O66)*(Calc_TUR_Net_1[[Rate type]:[Rate type]]=OP_Rates!$C66),0),MATCH(OP_Rates!S$65,Calc_TUR_Net_1[[#Headers],[Ausnet]:[United Energy]],0)),8),
IF($P66="Environmental",
ROUND(SUMIFS(Calc_TUR_Env_1[Jemena],Calc_TUR_Env_1[[Customer type]:[Customer type]],OP_Rates!$O66,Calc_TUR_Env_1[[Rate type]:[Rate type]],OP_Rates!$C66),8))),0,1))</f>
        <v>-</v>
      </c>
      <c r="T66" s="201" t="str" cm="1">
        <f t="array" ref="T66">IF(T31="-","-",
IF(ROUND(T31,8)=
IF($P66="Network",
ROUND(INDEX(Calc_TUR_Net_1[[Ausnet]:[United Energy]],MATCH(1,(Calc_TUR_Net_1[[Customer type]:[Customer type]]=OP_Rates!$O66)*(Calc_TUR_Net_1[[Rate type]:[Rate type]]=OP_Rates!$C66),0),MATCH(OP_Rates!T$65,Calc_TUR_Net_1[[#Headers],[Ausnet]:[United Energy]],0)),8),
IF($P66="Environmental",
ROUND(SUMIFS(Calc_TUR_Env_1[Powercor],Calc_TUR_Env_1[[Customer type]:[Customer type]],OP_Rates!$O66,Calc_TUR_Env_1[[Rate type]:[Rate type]],OP_Rates!$C66),8))),0,1))</f>
        <v>-</v>
      </c>
      <c r="U66" s="201" t="str" cm="1">
        <f t="array" ref="U66">IF(U31="-","-",
IF(ROUND(U31,8)=
IF($P66="Network",
ROUND(INDEX(Calc_TUR_Net_1[[Ausnet]:[United Energy]],MATCH(1,(Calc_TUR_Net_1[[Customer type]:[Customer type]]=OP_Rates!$O66)*(Calc_TUR_Net_1[[Rate type]:[Rate type]]=OP_Rates!$C66),0),MATCH(OP_Rates!U$65,Calc_TUR_Net_1[[#Headers],[Ausnet]:[United Energy]],0)),8),
IF($P66="Environmental",
ROUND(SUMIFS(Calc_TUR_Env_1[United Energy],Calc_TUR_Env_1[[Customer type]:[Customer type]],OP_Rates!$O66,Calc_TUR_Env_1[[Rate type]:[Rate type]],OP_Rates!$C66),8))),0,1))</f>
        <v>-</v>
      </c>
    </row>
    <row r="67" spans="2:22" ht="15.75" hidden="1" x14ac:dyDescent="0.25">
      <c r="C67" s="60" t="s">
        <v>516</v>
      </c>
      <c r="D67" s="60" t="s">
        <v>118</v>
      </c>
      <c r="E67" s="60" t="s">
        <v>100</v>
      </c>
      <c r="F67" s="24" t="s">
        <v>130</v>
      </c>
      <c r="G67" s="201" t="str" cm="1">
        <f t="array" ref="G67">IF(G32="-","-",
IF(ROUND(G32,8)=
IF($F67="Network",
IF($C67&lt;&gt;"Controlled load",
ROUND(INDEX(Calc_TUR_Net_1[[Ausnet]:[United Energy]],MATCH(1,(Calc_TUR_Net_1[[Customer type]:[Customer type]]=OP_Rates!$E67)*(Calc_TUR_Net_1[[Rate type]:[Rate type]]=OP_Rates!$C67),0),MATCH(OP_Rates!G$65,Calc_TUR_Net_1[[#Headers],[Ausnet]:[United Energy]],0)),8),
ROUND(INDEX(Calc_TUR_NetCL_1[[Ausnet]:[United Energy]],MATCH(OP_Rates!$E67,Calc_TUR_Net_1[[Customer type]:[Customer type]],0),MATCH(OP_Rates!G$65,Calc_TUR_Net_1[[#Headers],[Ausnet]:[United Energy]],0)),8)),
IF($F67="Environmental",
ROUND(SUMIFS(Calc_TUR_Env_1[Ausnet],Calc_TUR_Env_1[[Customer type]:[Customer type]],OP_Rates!$E67,Calc_TUR_Env_1[[Rate type]:[Rate type]],OP_Rates!$C67),8))),0,1))</f>
        <v>-</v>
      </c>
      <c r="H67" s="201" t="str" cm="1">
        <f t="array" ref="H67">IF(H32="-","-",
IF(ROUND(H32,8)=
IF($F67="Network",
IF($C67&lt;&gt;"Controlled load",
ROUND(INDEX(Calc_TUR_Net_1[[Ausnet]:[United Energy]],MATCH(1,(Calc_TUR_Net_1[[Customer type]:[Customer type]]=OP_Rates!$E67)*(Calc_TUR_Net_1[[Rate type]:[Rate type]]=OP_Rates!$C67),0),MATCH(OP_Rates!H$65,Calc_TUR_Net_1[[#Headers],[Ausnet]:[United Energy]],0)),8),
ROUND(INDEX(Calc_TUR_NetCL_1[[Ausnet]:[United Energy]],MATCH(OP_Rates!$E67,Calc_TUR_Net_1[[Customer type]:[Customer type]],0),MATCH(OP_Rates!H$65,Calc_TUR_Net_1[[#Headers],[Ausnet]:[United Energy]],0)),8)),
IF($F67="Environmental",
ROUND(SUMIFS(Calc_TUR_Env_1[Citipower],Calc_TUR_Env_1[[Customer type]:[Customer type]],OP_Rates!$E67,Calc_TUR_Env_1[[Rate type]:[Rate type]],OP_Rates!$C67),8))),0,1))</f>
        <v>-</v>
      </c>
      <c r="I67" s="201" t="str" cm="1">
        <f t="array" ref="I67">IF(I32="-","-",
IF(ROUND(I32,8)=
IF($F67="Network",
IF($C67&lt;&gt;"Controlled load",
ROUND(INDEX(Calc_TUR_Net_1[[Ausnet]:[United Energy]],MATCH(1,(Calc_TUR_Net_1[[Customer type]:[Customer type]]=OP_Rates!$E67)*(Calc_TUR_Net_1[[Rate type]:[Rate type]]=OP_Rates!$C67),0),MATCH(OP_Rates!I$65,Calc_TUR_Net_1[[#Headers],[Ausnet]:[United Energy]],0)),8),
ROUND(INDEX(Calc_TUR_NetCL_1[[Ausnet]:[United Energy]],MATCH(OP_Rates!$E67,Calc_TUR_Net_1[[Customer type]:[Customer type]],0),MATCH(OP_Rates!I$65,Calc_TUR_Net_1[[#Headers],[Ausnet]:[United Energy]],0)),8)),
IF($F67="Environmental",
ROUND(SUMIFS(Calc_TUR_Env_1[Jemena],Calc_TUR_Env_1[[Customer type]:[Customer type]],OP_Rates!$E67,Calc_TUR_Env_1[[Rate type]:[Rate type]],OP_Rates!$C67),8))),0,1))</f>
        <v>-</v>
      </c>
      <c r="J67" s="201" t="str" cm="1">
        <f t="array" ref="J67">IF(J32="-","-",
IF(ROUND(J32,8)=
IF($F67="Network",
IF($C67&lt;&gt;"Controlled load",
ROUND(INDEX(Calc_TUR_Net_1[[Ausnet]:[United Energy]],MATCH(1,(Calc_TUR_Net_1[[Customer type]:[Customer type]]=OP_Rates!$E67)*(Calc_TUR_Net_1[[Rate type]:[Rate type]]=OP_Rates!$C67),0),MATCH(OP_Rates!J$65,Calc_TUR_Net_1[[#Headers],[Ausnet]:[United Energy]],0)),8),
ROUND(INDEX(Calc_TUR_NetCL_1[[Ausnet]:[United Energy]],MATCH(OP_Rates!$E67,Calc_TUR_Net_1[[Customer type]:[Customer type]],0),MATCH(OP_Rates!J$65,Calc_TUR_Net_1[[#Headers],[Ausnet]:[United Energy]],0)),8)),
IF($F67="Environmental",
ROUND(SUMIFS(Calc_TUR_Env_1[Powercor],Calc_TUR_Env_1[[Customer type]:[Customer type]],OP_Rates!$E67,Calc_TUR_Env_1[[Rate type]:[Rate type]],OP_Rates!$C67),8))),0,1))</f>
        <v>-</v>
      </c>
      <c r="K67" s="201" t="str" cm="1">
        <f t="array" ref="K67">IF(K32="-","-",
IF(ROUND(K32,8)=
IF($F67="Network",
IF($C67&lt;&gt;"Controlled load",
ROUND(INDEX(Calc_TUR_Net_1[[Ausnet]:[United Energy]],MATCH(1,(Calc_TUR_Net_1[[Customer type]:[Customer type]]=OP_Rates!$E67)*(Calc_TUR_Net_1[[Rate type]:[Rate type]]=OP_Rates!$C67),0),MATCH(OP_Rates!K$65,Calc_TUR_Net_1[[#Headers],[Ausnet]:[United Energy]],0)),8),
ROUND(INDEX(Calc_TUR_NetCL_1[[Ausnet]:[United Energy]],MATCH(OP_Rates!$E67,Calc_TUR_Net_1[[Customer type]:[Customer type]],0),MATCH(OP_Rates!K$65,Calc_TUR_Net_1[[#Headers],[Ausnet]:[United Energy]],0)),8)),
IF($F67="Environmental",
ROUND(SUMIFS(Calc_TUR_Env_1[United Energy],Calc_TUR_Env_1[[Customer type]:[Customer type]],OP_Rates!$E67,Calc_TUR_Env_1[[Rate type]:[Rate type]],OP_Rates!$C67),8))),0,1))</f>
        <v>-</v>
      </c>
      <c r="M67" s="60" t="s">
        <v>516</v>
      </c>
      <c r="N67" s="60" t="s">
        <v>118</v>
      </c>
      <c r="O67" s="60" t="s">
        <v>101</v>
      </c>
      <c r="P67" s="24" t="s">
        <v>130</v>
      </c>
      <c r="Q67" s="201" t="str" cm="1">
        <f t="array" ref="Q67">IF(Q32="-","-",
IF(ROUND(Q32,8)=
IF($P67="Network",
ROUND(INDEX(Calc_TUR_Net_1[[Ausnet]:[United Energy]],MATCH(1,(Calc_TUR_Net_1[[Customer type]:[Customer type]]=OP_Rates!$O67)*(Calc_TUR_Net_1[[Rate type]:[Rate type]]=OP_Rates!$C67),0),MATCH(OP_Rates!Q$65,Calc_TUR_Net_1[[#Headers],[Ausnet]:[United Energy]],0)),8),
IF($P67="Environmental",
ROUND(SUMIFS(Calc_TUR_Env_1[Ausnet],Calc_TUR_Env_1[[Customer type]:[Customer type]],OP_Rates!$O67,Calc_TUR_Env_1[[Rate type]:[Rate type]],OP_Rates!$C67),8))),0,1))</f>
        <v>-</v>
      </c>
      <c r="R67" s="201" t="str" cm="1">
        <f t="array" ref="R67">IF(R32="-","-",
IF(ROUND(R32,8)=
IF($P67="Network",
ROUND(INDEX(Calc_TUR_Net_1[[Ausnet]:[United Energy]],MATCH(1,(Calc_TUR_Net_1[[Customer type]:[Customer type]]=OP_Rates!$O67)*(Calc_TUR_Net_1[[Rate type]:[Rate type]]=OP_Rates!$C67),0),MATCH(OP_Rates!R$65,Calc_TUR_Net_1[[#Headers],[Ausnet]:[United Energy]],0)),8),
IF($P67="Environmental",
ROUND(SUMIFS(Calc_TUR_Env_1[Citipower],Calc_TUR_Env_1[[Customer type]:[Customer type]],OP_Rates!$O67,Calc_TUR_Env_1[[Rate type]:[Rate type]],OP_Rates!$C67),8))),0,1))</f>
        <v>-</v>
      </c>
      <c r="S67" s="201" t="str" cm="1">
        <f t="array" ref="S67">IF(S32="-","-",
IF(ROUND(S32,8)=
IF($P67="Network",
ROUND(INDEX(Calc_TUR_Net_1[[Ausnet]:[United Energy]],MATCH(1,(Calc_TUR_Net_1[[Customer type]:[Customer type]]=OP_Rates!$O67)*(Calc_TUR_Net_1[[Rate type]:[Rate type]]=OP_Rates!$C67),0),MATCH(OP_Rates!S$65,Calc_TUR_Net_1[[#Headers],[Ausnet]:[United Energy]],0)),8),
IF($P67="Environmental",
ROUND(SUMIFS(Calc_TUR_Env_1[Jemena],Calc_TUR_Env_1[[Customer type]:[Customer type]],OP_Rates!$O67,Calc_TUR_Env_1[[Rate type]:[Rate type]],OP_Rates!$C67),8))),0,1))</f>
        <v>-</v>
      </c>
      <c r="T67" s="201" t="str" cm="1">
        <f t="array" ref="T67">IF(T32="-","-",
IF(ROUND(T32,8)=
IF($P67="Network",
ROUND(INDEX(Calc_TUR_Net_1[[Ausnet]:[United Energy]],MATCH(1,(Calc_TUR_Net_1[[Customer type]:[Customer type]]=OP_Rates!$O67)*(Calc_TUR_Net_1[[Rate type]:[Rate type]]=OP_Rates!$C67),0),MATCH(OP_Rates!T$65,Calc_TUR_Net_1[[#Headers],[Ausnet]:[United Energy]],0)),8),
IF($P67="Environmental",
ROUND(SUMIFS(Calc_TUR_Env_1[Powercor],Calc_TUR_Env_1[[Customer type]:[Customer type]],OP_Rates!$O67,Calc_TUR_Env_1[[Rate type]:[Rate type]],OP_Rates!$C67),8))),0,1))</f>
        <v>-</v>
      </c>
      <c r="U67" s="201" t="str" cm="1">
        <f t="array" ref="U67">IF(U32="-","-",
IF(ROUND(U32,8)=
IF($P67="Network",
ROUND(INDEX(Calc_TUR_Net_1[[Ausnet]:[United Energy]],MATCH(1,(Calc_TUR_Net_1[[Customer type]:[Customer type]]=OP_Rates!$O67)*(Calc_TUR_Net_1[[Rate type]:[Rate type]]=OP_Rates!$C67),0),MATCH(OP_Rates!U$65,Calc_TUR_Net_1[[#Headers],[Ausnet]:[United Energy]],0)),8),
IF($P67="Environmental",
ROUND(SUMIFS(Calc_TUR_Env_1[United Energy],Calc_TUR_Env_1[[Customer type]:[Customer type]],OP_Rates!$O67,Calc_TUR_Env_1[[Rate type]:[Rate type]],OP_Rates!$C67),8))),0,1))</f>
        <v>-</v>
      </c>
    </row>
    <row r="68" spans="2:22" ht="15.75" hidden="1" x14ac:dyDescent="0.25">
      <c r="C68" s="60" t="s">
        <v>296</v>
      </c>
      <c r="D68" s="60" t="s">
        <v>291</v>
      </c>
      <c r="E68" s="60" t="s">
        <v>100</v>
      </c>
      <c r="F68" s="24" t="s">
        <v>130</v>
      </c>
      <c r="G68" s="201" t="str" cm="1">
        <f t="array" ref="G68">IF(G33="-","-",
IF(ROUND(G33,8)=
IF($F68="Network",
IF($C68&lt;&gt;"Controlled load",
ROUND(INDEX(Calc_TUR_Net_1[[Ausnet]:[United Energy]],MATCH(1,(Calc_TUR_Net_1[[Customer type]:[Customer type]]=OP_Rates!$E68)*(Calc_TUR_Net_1[[Rate type]:[Rate type]]=OP_Rates!$C68),0),MATCH(OP_Rates!G$65,Calc_TUR_Net_1[[#Headers],[Ausnet]:[United Energy]],0)),8),
ROUND(INDEX(Calc_TUR_NetCL_1[[Ausnet]:[United Energy]],MATCH(OP_Rates!$E68,Calc_TUR_Net_1[[Customer type]:[Customer type]],0),MATCH(OP_Rates!G$65,Calc_TUR_Net_1[[#Headers],[Ausnet]:[United Energy]],0)),8)),
IF($F68="Environmental",
ROUND(SUMIFS(Calc_TUR_Env_1[Ausnet],Calc_TUR_Env_1[[Customer type]:[Customer type]],OP_Rates!$E68,Calc_TUR_Env_1[[Rate type]:[Rate type]],OP_Rates!$C68),8))),0,1))</f>
        <v>-</v>
      </c>
      <c r="H68" s="201" t="str" cm="1">
        <f t="array" ref="H68">IF(H33="-","-",
IF(ROUND(H33,8)=
IF($F68="Network",
IF($C68&lt;&gt;"Controlled load",
ROUND(INDEX(Calc_TUR_Net_1[[Ausnet]:[United Energy]],MATCH(1,(Calc_TUR_Net_1[[Customer type]:[Customer type]]=OP_Rates!$E68)*(Calc_TUR_Net_1[[Rate type]:[Rate type]]=OP_Rates!$C68),0),MATCH(OP_Rates!H$65,Calc_TUR_Net_1[[#Headers],[Ausnet]:[United Energy]],0)),8),
ROUND(INDEX(Calc_TUR_NetCL_1[[Ausnet]:[United Energy]],MATCH(OP_Rates!$E68,Calc_TUR_Net_1[[Customer type]:[Customer type]],0),MATCH(OP_Rates!H$65,Calc_TUR_Net_1[[#Headers],[Ausnet]:[United Energy]],0)),8)),
IF($F68="Environmental",
ROUND(SUMIFS(Calc_TUR_Env_1[Citipower],Calc_TUR_Env_1[[Customer type]:[Customer type]],OP_Rates!$E68,Calc_TUR_Env_1[[Rate type]:[Rate type]],OP_Rates!$C68),8))),0,1))</f>
        <v>-</v>
      </c>
      <c r="I68" s="201" t="str" cm="1">
        <f t="array" ref="I68">IF(I33="-","-",
IF(ROUND(I33,8)=
IF($F68="Network",
IF($C68&lt;&gt;"Controlled load",
ROUND(INDEX(Calc_TUR_Net_1[[Ausnet]:[United Energy]],MATCH(1,(Calc_TUR_Net_1[[Customer type]:[Customer type]]=OP_Rates!$E68)*(Calc_TUR_Net_1[[Rate type]:[Rate type]]=OP_Rates!$C68),0),MATCH(OP_Rates!I$65,Calc_TUR_Net_1[[#Headers],[Ausnet]:[United Energy]],0)),8),
ROUND(INDEX(Calc_TUR_NetCL_1[[Ausnet]:[United Energy]],MATCH(OP_Rates!$E68,Calc_TUR_Net_1[[Customer type]:[Customer type]],0),MATCH(OP_Rates!I$65,Calc_TUR_Net_1[[#Headers],[Ausnet]:[United Energy]],0)),8)),
IF($F68="Environmental",
ROUND(SUMIFS(Calc_TUR_Env_1[Jemena],Calc_TUR_Env_1[[Customer type]:[Customer type]],OP_Rates!$E68,Calc_TUR_Env_1[[Rate type]:[Rate type]],OP_Rates!$C68),8))),0,1))</f>
        <v>-</v>
      </c>
      <c r="J68" s="201" t="str" cm="1">
        <f t="array" ref="J68">IF(J33="-","-",
IF(ROUND(J33,8)=
IF($F68="Network",
IF($C68&lt;&gt;"Controlled load",
ROUND(INDEX(Calc_TUR_Net_1[[Ausnet]:[United Energy]],MATCH(1,(Calc_TUR_Net_1[[Customer type]:[Customer type]]=OP_Rates!$E68)*(Calc_TUR_Net_1[[Rate type]:[Rate type]]=OP_Rates!$C68),0),MATCH(OP_Rates!J$65,Calc_TUR_Net_1[[#Headers],[Ausnet]:[United Energy]],0)),8),
ROUND(INDEX(Calc_TUR_NetCL_1[[Ausnet]:[United Energy]],MATCH(OP_Rates!$E68,Calc_TUR_Net_1[[Customer type]:[Customer type]],0),MATCH(OP_Rates!J$65,Calc_TUR_Net_1[[#Headers],[Ausnet]:[United Energy]],0)),8)),
IF($F68="Environmental",
ROUND(SUMIFS(Calc_TUR_Env_1[Powercor],Calc_TUR_Env_1[[Customer type]:[Customer type]],OP_Rates!$E68,Calc_TUR_Env_1[[Rate type]:[Rate type]],OP_Rates!$C68),8))),0,1))</f>
        <v>-</v>
      </c>
      <c r="K68" s="201" t="str" cm="1">
        <f t="array" ref="K68">IF(K33="-","-",
IF(ROUND(K33,8)=
IF($F68="Network",
IF($C68&lt;&gt;"Controlled load",
ROUND(INDEX(Calc_TUR_Net_1[[Ausnet]:[United Energy]],MATCH(1,(Calc_TUR_Net_1[[Customer type]:[Customer type]]=OP_Rates!$E68)*(Calc_TUR_Net_1[[Rate type]:[Rate type]]=OP_Rates!$C68),0),MATCH(OP_Rates!K$65,Calc_TUR_Net_1[[#Headers],[Ausnet]:[United Energy]],0)),8),
ROUND(INDEX(Calc_TUR_NetCL_1[[Ausnet]:[United Energy]],MATCH(OP_Rates!$E68,Calc_TUR_Net_1[[Customer type]:[Customer type]],0),MATCH(OP_Rates!K$65,Calc_TUR_Net_1[[#Headers],[Ausnet]:[United Energy]],0)),8)),
IF($F68="Environmental",
ROUND(SUMIFS(Calc_TUR_Env_1[United Energy],Calc_TUR_Env_1[[Customer type]:[Customer type]],OP_Rates!$E68,Calc_TUR_Env_1[[Rate type]:[Rate type]],OP_Rates!$C68),8))),0,1))</f>
        <v>-</v>
      </c>
      <c r="M68" s="60"/>
      <c r="N68" s="60"/>
      <c r="O68" s="60"/>
      <c r="P68" s="24"/>
      <c r="Q68" s="201" t="str" cm="1">
        <f t="array" ref="Q68">IF(Q33="-","-",
IF(ROUND(Q33,8)=
IF($P68="Network",
ROUND(INDEX(Calc_TUR_Net_1[[Ausnet]:[United Energy]],MATCH(1,(Calc_TUR_Net_1[[Customer type]:[Customer type]]=OP_Rates!$O68)*(Calc_TUR_Net_1[[Rate type]:[Rate type]]=OP_Rates!$C68),0),MATCH(OP_Rates!Q$65,Calc_TUR_Net_1[[#Headers],[Ausnet]:[United Energy]],0)),8),
IF($P68="Environmental",
ROUND(SUMIFS(Calc_TUR_Env_1[Ausnet],Calc_TUR_Env_1[[Customer type]:[Customer type]],OP_Rates!$O68,Calc_TUR_Env_1[[Rate type]:[Rate type]],OP_Rates!$C68),8))),0,1))</f>
        <v>-</v>
      </c>
      <c r="R68" s="201" t="str" cm="1">
        <f t="array" ref="R68">IF(R33="-","-",
IF(ROUND(R33,8)=
IF($P68="Network",
ROUND(INDEX(Calc_TUR_Net_1[[Ausnet]:[United Energy]],MATCH(1,(Calc_TUR_Net_1[[Customer type]:[Customer type]]=OP_Rates!$O68)*(Calc_TUR_Net_1[[Rate type]:[Rate type]]=OP_Rates!$C68),0),MATCH(OP_Rates!R$65,Calc_TUR_Net_1[[#Headers],[Ausnet]:[United Energy]],0)),8),
IF($P68="Environmental",
ROUND(SUMIFS(Calc_TUR_Env_1[Citipower],Calc_TUR_Env_1[[Customer type]:[Customer type]],OP_Rates!$O68,Calc_TUR_Env_1[[Rate type]:[Rate type]],OP_Rates!$C68),8))),0,1))</f>
        <v>-</v>
      </c>
      <c r="S68" s="201" t="str" cm="1">
        <f t="array" ref="S68">IF(S33="-","-",
IF(ROUND(S33,8)=
IF($P68="Network",
ROUND(INDEX(Calc_TUR_Net_1[[Ausnet]:[United Energy]],MATCH(1,(Calc_TUR_Net_1[[Customer type]:[Customer type]]=OP_Rates!$O68)*(Calc_TUR_Net_1[[Rate type]:[Rate type]]=OP_Rates!$C68),0),MATCH(OP_Rates!S$65,Calc_TUR_Net_1[[#Headers],[Ausnet]:[United Energy]],0)),8),
IF($P68="Environmental",
ROUND(SUMIFS(Calc_TUR_Env_1[Jemena],Calc_TUR_Env_1[[Customer type]:[Customer type]],OP_Rates!$O68,Calc_TUR_Env_1[[Rate type]:[Rate type]],OP_Rates!$C68),8))),0,1))</f>
        <v>-</v>
      </c>
      <c r="T68" s="201" t="str" cm="1">
        <f t="array" ref="T68">IF(T33="-","-",
IF(ROUND(T33,8)=
IF($P68="Network",
ROUND(INDEX(Calc_TUR_Net_1[[Ausnet]:[United Energy]],MATCH(1,(Calc_TUR_Net_1[[Customer type]:[Customer type]]=OP_Rates!$O68)*(Calc_TUR_Net_1[[Rate type]:[Rate type]]=OP_Rates!$C68),0),MATCH(OP_Rates!T$65,Calc_TUR_Net_1[[#Headers],[Ausnet]:[United Energy]],0)),8),
IF($P68="Environmental",
ROUND(SUMIFS(Calc_TUR_Env_1[Powercor],Calc_TUR_Env_1[[Customer type]:[Customer type]],OP_Rates!$O68,Calc_TUR_Env_1[[Rate type]:[Rate type]],OP_Rates!$C68),8))),0,1))</f>
        <v>-</v>
      </c>
      <c r="U68" s="201" t="str" cm="1">
        <f t="array" ref="U68">IF(U33="-","-",
IF(ROUND(U33,8)=
IF($P68="Network",
ROUND(INDEX(Calc_TUR_Net_1[[Ausnet]:[United Energy]],MATCH(1,(Calc_TUR_Net_1[[Customer type]:[Customer type]]=OP_Rates!$O68)*(Calc_TUR_Net_1[[Rate type]:[Rate type]]=OP_Rates!$C68),0),MATCH(OP_Rates!U$65,Calc_TUR_Net_1[[#Headers],[Ausnet]:[United Energy]],0)),8),
IF($P68="Environmental",
ROUND(SUMIFS(Calc_TUR_Env_1[United Energy],Calc_TUR_Env_1[[Customer type]:[Customer type]],OP_Rates!$O68,Calc_TUR_Env_1[[Rate type]:[Rate type]],OP_Rates!$C68),8))),0,1))</f>
        <v>-</v>
      </c>
    </row>
    <row r="69" spans="2:22" ht="15.75" hidden="1" x14ac:dyDescent="0.25">
      <c r="C69" s="60" t="s">
        <v>230</v>
      </c>
      <c r="D69" s="60" t="s">
        <v>291</v>
      </c>
      <c r="E69" s="60" t="s">
        <v>100</v>
      </c>
      <c r="F69" s="24" t="s">
        <v>160</v>
      </c>
      <c r="G69" s="201" cm="1">
        <f t="array" ref="G69">IF(G34="-","-",
IF(ROUND(G34,8)=
IF($F69="Network",
IF($C69&lt;&gt;"Controlled load",
ROUND(INDEX(Calc_TUR_Net_1[[Ausnet]:[United Energy]],MATCH(1,(Calc_TUR_Net_1[[Customer type]:[Customer type]]=OP_Rates!$E69)*(Calc_TUR_Net_1[[Rate type]:[Rate type]]=OP_Rates!$C69),0),MATCH(OP_Rates!G$65,Calc_TUR_Net_1[[#Headers],[Ausnet]:[United Energy]],0)),8),
ROUND(INDEX(Calc_TUR_NetCL_1[[Ausnet]:[United Energy]],MATCH(OP_Rates!$E69,Calc_TUR_Net_1[[Customer type]:[Customer type]],0),MATCH(OP_Rates!G$65,Calc_TUR_Net_1[[#Headers],[Ausnet]:[United Energy]],0)),8)),
IF($F69="Environmental",
ROUND(SUMIFS(Calc_TUR_Env_1[Ausnet],Calc_TUR_Env_1[[Customer type]:[Customer type]],OP_Rates!$E69,Calc_TUR_Env_1[[Rate type]:[Rate type]],OP_Rates!$C69),8))),0,1))</f>
        <v>0</v>
      </c>
      <c r="H69" s="201" cm="1">
        <f t="array" ref="H69">IF(H34="-","-",
IF(ROUND(H34,8)=
IF($F69="Network",
IF($C69&lt;&gt;"Controlled load",
ROUND(INDEX(Calc_TUR_Net_1[[Ausnet]:[United Energy]],MATCH(1,(Calc_TUR_Net_1[[Customer type]:[Customer type]]=OP_Rates!$E69)*(Calc_TUR_Net_1[[Rate type]:[Rate type]]=OP_Rates!$C69),0),MATCH(OP_Rates!H$65,Calc_TUR_Net_1[[#Headers],[Ausnet]:[United Energy]],0)),8),
ROUND(INDEX(Calc_TUR_NetCL_1[[Ausnet]:[United Energy]],MATCH(OP_Rates!$E69,Calc_TUR_Net_1[[Customer type]:[Customer type]],0),MATCH(OP_Rates!H$65,Calc_TUR_Net_1[[#Headers],[Ausnet]:[United Energy]],0)),8)),
IF($F69="Environmental",
ROUND(SUMIFS(Calc_TUR_Env_1[Citipower],Calc_TUR_Env_1[[Customer type]:[Customer type]],OP_Rates!$E69,Calc_TUR_Env_1[[Rate type]:[Rate type]],OP_Rates!$C69),8))),0,1))</f>
        <v>0</v>
      </c>
      <c r="I69" s="201" cm="1">
        <f t="array" ref="I69">IF(I34="-","-",
IF(ROUND(I34,8)=
IF($F69="Network",
IF($C69&lt;&gt;"Controlled load",
ROUND(INDEX(Calc_TUR_Net_1[[Ausnet]:[United Energy]],MATCH(1,(Calc_TUR_Net_1[[Customer type]:[Customer type]]=OP_Rates!$E69)*(Calc_TUR_Net_1[[Rate type]:[Rate type]]=OP_Rates!$C69),0),MATCH(OP_Rates!I$65,Calc_TUR_Net_1[[#Headers],[Ausnet]:[United Energy]],0)),8),
ROUND(INDEX(Calc_TUR_NetCL_1[[Ausnet]:[United Energy]],MATCH(OP_Rates!$E69,Calc_TUR_Net_1[[Customer type]:[Customer type]],0),MATCH(OP_Rates!I$65,Calc_TUR_Net_1[[#Headers],[Ausnet]:[United Energy]],0)),8)),
IF($F69="Environmental",
ROUND(SUMIFS(Calc_TUR_Env_1[Jemena],Calc_TUR_Env_1[[Customer type]:[Customer type]],OP_Rates!$E69,Calc_TUR_Env_1[[Rate type]:[Rate type]],OP_Rates!$C69),8))),0,1))</f>
        <v>0</v>
      </c>
      <c r="J69" s="201" cm="1">
        <f t="array" ref="J69">IF(J34="-","-",
IF(ROUND(J34,8)=
IF($F69="Network",
IF($C69&lt;&gt;"Controlled load",
ROUND(INDEX(Calc_TUR_Net_1[[Ausnet]:[United Energy]],MATCH(1,(Calc_TUR_Net_1[[Customer type]:[Customer type]]=OP_Rates!$E69)*(Calc_TUR_Net_1[[Rate type]:[Rate type]]=OP_Rates!$C69),0),MATCH(OP_Rates!J$65,Calc_TUR_Net_1[[#Headers],[Ausnet]:[United Energy]],0)),8),
ROUND(INDEX(Calc_TUR_NetCL_1[[Ausnet]:[United Energy]],MATCH(OP_Rates!$E69,Calc_TUR_Net_1[[Customer type]:[Customer type]],0),MATCH(OP_Rates!J$65,Calc_TUR_Net_1[[#Headers],[Ausnet]:[United Energy]],0)),8)),
IF($F69="Environmental",
ROUND(SUMIFS(Calc_TUR_Env_1[Powercor],Calc_TUR_Env_1[[Customer type]:[Customer type]],OP_Rates!$E69,Calc_TUR_Env_1[[Rate type]:[Rate type]],OP_Rates!$C69),8))),0,1))</f>
        <v>0</v>
      </c>
      <c r="K69" s="201" cm="1">
        <f t="array" ref="K69">IF(K34="-","-",
IF(ROUND(K34,8)=
IF($F69="Network",
IF($C69&lt;&gt;"Controlled load",
ROUND(INDEX(Calc_TUR_Net_1[[Ausnet]:[United Energy]],MATCH(1,(Calc_TUR_Net_1[[Customer type]:[Customer type]]=OP_Rates!$E69)*(Calc_TUR_Net_1[[Rate type]:[Rate type]]=OP_Rates!$C69),0),MATCH(OP_Rates!K$65,Calc_TUR_Net_1[[#Headers],[Ausnet]:[United Energy]],0)),8),
ROUND(INDEX(Calc_TUR_NetCL_1[[Ausnet]:[United Energy]],MATCH(OP_Rates!$E69,Calc_TUR_Net_1[[Customer type]:[Customer type]],0),MATCH(OP_Rates!K$65,Calc_TUR_Net_1[[#Headers],[Ausnet]:[United Energy]],0)),8)),
IF($F69="Environmental",
ROUND(SUMIFS(Calc_TUR_Env_1[United Energy],Calc_TUR_Env_1[[Customer type]:[Customer type]],OP_Rates!$E69,Calc_TUR_Env_1[[Rate type]:[Rate type]],OP_Rates!$C69),8))),0,1))</f>
        <v>0</v>
      </c>
      <c r="M69" s="60" t="s">
        <v>230</v>
      </c>
      <c r="N69" s="60" t="s">
        <v>291</v>
      </c>
      <c r="O69" s="60" t="s">
        <v>101</v>
      </c>
      <c r="P69" s="24" t="s">
        <v>160</v>
      </c>
      <c r="Q69" s="201" cm="1">
        <f t="array" ref="Q69">IF(Q34="-","-",
IF(ROUND(Q34,8)=
IF($P69="Network",
ROUND(INDEX(Calc_TUR_Net_1[[Ausnet]:[United Energy]],MATCH(1,(Calc_TUR_Net_1[[Customer type]:[Customer type]]=OP_Rates!$O69)*(Calc_TUR_Net_1[[Rate type]:[Rate type]]=OP_Rates!$C69),0),MATCH(OP_Rates!Q$65,Calc_TUR_Net_1[[#Headers],[Ausnet]:[United Energy]],0)),8),
IF($P69="Environmental",
ROUND(SUMIFS(Calc_TUR_Env_1[Ausnet],Calc_TUR_Env_1[[Customer type]:[Customer type]],OP_Rates!$O69,Calc_TUR_Env_1[[Rate type]:[Rate type]],OP_Rates!$C69),8))),0,1))</f>
        <v>0</v>
      </c>
      <c r="R69" s="201" cm="1">
        <f t="array" ref="R69">IF(R34="-","-",
IF(ROUND(R34,8)=
IF($P69="Network",
ROUND(INDEX(Calc_TUR_Net_1[[Ausnet]:[United Energy]],MATCH(1,(Calc_TUR_Net_1[[Customer type]:[Customer type]]=OP_Rates!$O69)*(Calc_TUR_Net_1[[Rate type]:[Rate type]]=OP_Rates!$C69),0),MATCH(OP_Rates!R$65,Calc_TUR_Net_1[[#Headers],[Ausnet]:[United Energy]],0)),8),
IF($P69="Environmental",
ROUND(SUMIFS(Calc_TUR_Env_1[Citipower],Calc_TUR_Env_1[[Customer type]:[Customer type]],OP_Rates!$O69,Calc_TUR_Env_1[[Rate type]:[Rate type]],OP_Rates!$C69),8))),0,1))</f>
        <v>0</v>
      </c>
      <c r="S69" s="201" cm="1">
        <f t="array" ref="S69">IF(S34="-","-",
IF(ROUND(S34,8)=
IF($P69="Network",
ROUND(INDEX(Calc_TUR_Net_1[[Ausnet]:[United Energy]],MATCH(1,(Calc_TUR_Net_1[[Customer type]:[Customer type]]=OP_Rates!$O69)*(Calc_TUR_Net_1[[Rate type]:[Rate type]]=OP_Rates!$C69),0),MATCH(OP_Rates!S$65,Calc_TUR_Net_1[[#Headers],[Ausnet]:[United Energy]],0)),8),
IF($P69="Environmental",
ROUND(SUMIFS(Calc_TUR_Env_1[Jemena],Calc_TUR_Env_1[[Customer type]:[Customer type]],OP_Rates!$O69,Calc_TUR_Env_1[[Rate type]:[Rate type]],OP_Rates!$C69),8))),0,1))</f>
        <v>0</v>
      </c>
      <c r="T69" s="201" cm="1">
        <f t="array" ref="T69">IF(T34="-","-",
IF(ROUND(T34,8)=
IF($P69="Network",
ROUND(INDEX(Calc_TUR_Net_1[[Ausnet]:[United Energy]],MATCH(1,(Calc_TUR_Net_1[[Customer type]:[Customer type]]=OP_Rates!$O69)*(Calc_TUR_Net_1[[Rate type]:[Rate type]]=OP_Rates!$C69),0),MATCH(OP_Rates!T$65,Calc_TUR_Net_1[[#Headers],[Ausnet]:[United Energy]],0)),8),
IF($P69="Environmental",
ROUND(SUMIFS(Calc_TUR_Env_1[Powercor],Calc_TUR_Env_1[[Customer type]:[Customer type]],OP_Rates!$O69,Calc_TUR_Env_1[[Rate type]:[Rate type]],OP_Rates!$C69),8))),0,1))</f>
        <v>0</v>
      </c>
      <c r="U69" s="201" cm="1">
        <f t="array" ref="U69">IF(U34="-","-",
IF(ROUND(U34,8)=
IF($P69="Network",
ROUND(INDEX(Calc_TUR_Net_1[[Ausnet]:[United Energy]],MATCH(1,(Calc_TUR_Net_1[[Customer type]:[Customer type]]=OP_Rates!$O69)*(Calc_TUR_Net_1[[Rate type]:[Rate type]]=OP_Rates!$C69),0),MATCH(OP_Rates!U$65,Calc_TUR_Net_1[[#Headers],[Ausnet]:[United Energy]],0)),8),
IF($P69="Environmental",
ROUND(SUMIFS(Calc_TUR_Env_1[United Energy],Calc_TUR_Env_1[[Customer type]:[Customer type]],OP_Rates!$O69,Calc_TUR_Env_1[[Rate type]:[Rate type]],OP_Rates!$C69),8))),0,1))</f>
        <v>0</v>
      </c>
    </row>
    <row r="70" spans="2:22" ht="15.75" hidden="1" x14ac:dyDescent="0.25">
      <c r="C70" s="60" t="s">
        <v>237</v>
      </c>
      <c r="D70" s="60" t="s">
        <v>291</v>
      </c>
      <c r="E70" s="60" t="s">
        <v>100</v>
      </c>
      <c r="F70" s="24" t="s">
        <v>160</v>
      </c>
      <c r="G70" s="201" cm="1">
        <f t="array" ref="G70">IF(G35="-","-",
IF(ROUND(G35,8)=
IF($F70="Network",
IF($C70&lt;&gt;"Controlled load",
ROUND(INDEX(Calc_TUR_Net_1[[Ausnet]:[United Energy]],MATCH(1,(Calc_TUR_Net_1[[Customer type]:[Customer type]]=OP_Rates!$E70)*(Calc_TUR_Net_1[[Rate type]:[Rate type]]=OP_Rates!$C70),0),MATCH(OP_Rates!G$65,Calc_TUR_Net_1[[#Headers],[Ausnet]:[United Energy]],0)),8),
ROUND(INDEX(Calc_TUR_NetCL_1[[Ausnet]:[United Energy]],MATCH(OP_Rates!$E70,Calc_TUR_Net_1[[Customer type]:[Customer type]],0),MATCH(OP_Rates!G$65,Calc_TUR_Net_1[[#Headers],[Ausnet]:[United Energy]],0)),8)),
IF($F70="Environmental",
ROUND(SUMIFS(Calc_TUR_Env_1[Ausnet],Calc_TUR_Env_1[[Customer type]:[Customer type]],OP_Rates!$E70,Calc_TUR_Env_1[[Rate type]:[Rate type]],OP_Rates!$C70),8))),0,1))</f>
        <v>0</v>
      </c>
      <c r="H70" s="201" cm="1">
        <f t="array" ref="H70">IF(H35="-","-",
IF(ROUND(H35,8)=
IF($F70="Network",
IF($C70&lt;&gt;"Controlled load",
ROUND(INDEX(Calc_TUR_Net_1[[Ausnet]:[United Energy]],MATCH(1,(Calc_TUR_Net_1[[Customer type]:[Customer type]]=OP_Rates!$E70)*(Calc_TUR_Net_1[[Rate type]:[Rate type]]=OP_Rates!$C70),0),MATCH(OP_Rates!H$65,Calc_TUR_Net_1[[#Headers],[Ausnet]:[United Energy]],0)),8),
ROUND(INDEX(Calc_TUR_NetCL_1[[Ausnet]:[United Energy]],MATCH(OP_Rates!$E70,Calc_TUR_Net_1[[Customer type]:[Customer type]],0),MATCH(OP_Rates!H$65,Calc_TUR_Net_1[[#Headers],[Ausnet]:[United Energy]],0)),8)),
IF($F70="Environmental",
ROUND(SUMIFS(Calc_TUR_Env_1[Citipower],Calc_TUR_Env_1[[Customer type]:[Customer type]],OP_Rates!$E70,Calc_TUR_Env_1[[Rate type]:[Rate type]],OP_Rates!$C70),8))),0,1))</f>
        <v>0</v>
      </c>
      <c r="I70" s="201" cm="1">
        <f t="array" ref="I70">IF(I35="-","-",
IF(ROUND(I35,8)=
IF($F70="Network",
IF($C70&lt;&gt;"Controlled load",
ROUND(INDEX(Calc_TUR_Net_1[[Ausnet]:[United Energy]],MATCH(1,(Calc_TUR_Net_1[[Customer type]:[Customer type]]=OP_Rates!$E70)*(Calc_TUR_Net_1[[Rate type]:[Rate type]]=OP_Rates!$C70),0),MATCH(OP_Rates!I$65,Calc_TUR_Net_1[[#Headers],[Ausnet]:[United Energy]],0)),8),
ROUND(INDEX(Calc_TUR_NetCL_1[[Ausnet]:[United Energy]],MATCH(OP_Rates!$E70,Calc_TUR_Net_1[[Customer type]:[Customer type]],0),MATCH(OP_Rates!I$65,Calc_TUR_Net_1[[#Headers],[Ausnet]:[United Energy]],0)),8)),
IF($F70="Environmental",
ROUND(SUMIFS(Calc_TUR_Env_1[Jemena],Calc_TUR_Env_1[[Customer type]:[Customer type]],OP_Rates!$E70,Calc_TUR_Env_1[[Rate type]:[Rate type]],OP_Rates!$C70),8))),0,1))</f>
        <v>0</v>
      </c>
      <c r="J70" s="201" cm="1">
        <f t="array" ref="J70">IF(J35="-","-",
IF(ROUND(J35,8)=
IF($F70="Network",
IF($C70&lt;&gt;"Controlled load",
ROUND(INDEX(Calc_TUR_Net_1[[Ausnet]:[United Energy]],MATCH(1,(Calc_TUR_Net_1[[Customer type]:[Customer type]]=OP_Rates!$E70)*(Calc_TUR_Net_1[[Rate type]:[Rate type]]=OP_Rates!$C70),0),MATCH(OP_Rates!J$65,Calc_TUR_Net_1[[#Headers],[Ausnet]:[United Energy]],0)),8),
ROUND(INDEX(Calc_TUR_NetCL_1[[Ausnet]:[United Energy]],MATCH(OP_Rates!$E70,Calc_TUR_Net_1[[Customer type]:[Customer type]],0),MATCH(OP_Rates!J$65,Calc_TUR_Net_1[[#Headers],[Ausnet]:[United Energy]],0)),8)),
IF($F70="Environmental",
ROUND(SUMIFS(Calc_TUR_Env_1[Powercor],Calc_TUR_Env_1[[Customer type]:[Customer type]],OP_Rates!$E70,Calc_TUR_Env_1[[Rate type]:[Rate type]],OP_Rates!$C70),8))),0,1))</f>
        <v>0</v>
      </c>
      <c r="K70" s="201" cm="1">
        <f t="array" ref="K70">IF(K35="-","-",
IF(ROUND(K35,8)=
IF($F70="Network",
IF($C70&lt;&gt;"Controlled load",
ROUND(INDEX(Calc_TUR_Net_1[[Ausnet]:[United Energy]],MATCH(1,(Calc_TUR_Net_1[[Customer type]:[Customer type]]=OP_Rates!$E70)*(Calc_TUR_Net_1[[Rate type]:[Rate type]]=OP_Rates!$C70),0),MATCH(OP_Rates!K$65,Calc_TUR_Net_1[[#Headers],[Ausnet]:[United Energy]],0)),8),
ROUND(INDEX(Calc_TUR_NetCL_1[[Ausnet]:[United Energy]],MATCH(OP_Rates!$E70,Calc_TUR_Net_1[[Customer type]:[Customer type]],0),MATCH(OP_Rates!K$65,Calc_TUR_Net_1[[#Headers],[Ausnet]:[United Energy]],0)),8)),
IF($F70="Environmental",
ROUND(SUMIFS(Calc_TUR_Env_1[United Energy],Calc_TUR_Env_1[[Customer type]:[Customer type]],OP_Rates!$E70,Calc_TUR_Env_1[[Rate type]:[Rate type]],OP_Rates!$C70),8))),0,1))</f>
        <v>0</v>
      </c>
      <c r="M70" s="60" t="s">
        <v>237</v>
      </c>
      <c r="N70" s="60" t="s">
        <v>291</v>
      </c>
      <c r="O70" s="60" t="s">
        <v>101</v>
      </c>
      <c r="P70" s="24" t="s">
        <v>160</v>
      </c>
      <c r="Q70" s="201" cm="1">
        <f t="array" ref="Q70">IF(Q35="-","-",
IF(ROUND(Q35,8)=
IF($P70="Network",
ROUND(INDEX(Calc_TUR_Net_1[[Ausnet]:[United Energy]],MATCH(1,(Calc_TUR_Net_1[[Customer type]:[Customer type]]=OP_Rates!$O70)*(Calc_TUR_Net_1[[Rate type]:[Rate type]]=OP_Rates!$C70),0),MATCH(OP_Rates!Q$65,Calc_TUR_Net_1[[#Headers],[Ausnet]:[United Energy]],0)),8),
IF($P70="Environmental",
ROUND(SUMIFS(Calc_TUR_Env_1[Ausnet],Calc_TUR_Env_1[[Customer type]:[Customer type]],OP_Rates!$O70,Calc_TUR_Env_1[[Rate type]:[Rate type]],OP_Rates!$C70),8))),0,1))</f>
        <v>0</v>
      </c>
      <c r="R70" s="201" cm="1">
        <f t="array" ref="R70">IF(R35="-","-",
IF(ROUND(R35,8)=
IF($P70="Network",
ROUND(INDEX(Calc_TUR_Net_1[[Ausnet]:[United Energy]],MATCH(1,(Calc_TUR_Net_1[[Customer type]:[Customer type]]=OP_Rates!$O70)*(Calc_TUR_Net_1[[Rate type]:[Rate type]]=OP_Rates!$C70),0),MATCH(OP_Rates!R$65,Calc_TUR_Net_1[[#Headers],[Ausnet]:[United Energy]],0)),8),
IF($P70="Environmental",
ROUND(SUMIFS(Calc_TUR_Env_1[Citipower],Calc_TUR_Env_1[[Customer type]:[Customer type]],OP_Rates!$O70,Calc_TUR_Env_1[[Rate type]:[Rate type]],OP_Rates!$C70),8))),0,1))</f>
        <v>0</v>
      </c>
      <c r="S70" s="201" cm="1">
        <f t="array" ref="S70">IF(S35="-","-",
IF(ROUND(S35,8)=
IF($P70="Network",
ROUND(INDEX(Calc_TUR_Net_1[[Ausnet]:[United Energy]],MATCH(1,(Calc_TUR_Net_1[[Customer type]:[Customer type]]=OP_Rates!$O70)*(Calc_TUR_Net_1[[Rate type]:[Rate type]]=OP_Rates!$C70),0),MATCH(OP_Rates!S$65,Calc_TUR_Net_1[[#Headers],[Ausnet]:[United Energy]],0)),8),
IF($P70="Environmental",
ROUND(SUMIFS(Calc_TUR_Env_1[Jemena],Calc_TUR_Env_1[[Customer type]:[Customer type]],OP_Rates!$O70,Calc_TUR_Env_1[[Rate type]:[Rate type]],OP_Rates!$C70),8))),0,1))</f>
        <v>0</v>
      </c>
      <c r="T70" s="201" cm="1">
        <f t="array" ref="T70">IF(T35="-","-",
IF(ROUND(T35,8)=
IF($P70="Network",
ROUND(INDEX(Calc_TUR_Net_1[[Ausnet]:[United Energy]],MATCH(1,(Calc_TUR_Net_1[[Customer type]:[Customer type]]=OP_Rates!$O70)*(Calc_TUR_Net_1[[Rate type]:[Rate type]]=OP_Rates!$C70),0),MATCH(OP_Rates!T$65,Calc_TUR_Net_1[[#Headers],[Ausnet]:[United Energy]],0)),8),
IF($P70="Environmental",
ROUND(SUMIFS(Calc_TUR_Env_1[Powercor],Calc_TUR_Env_1[[Customer type]:[Customer type]],OP_Rates!$O70,Calc_TUR_Env_1[[Rate type]:[Rate type]],OP_Rates!$C70),8))),0,1))</f>
        <v>0</v>
      </c>
      <c r="U70" s="201" cm="1">
        <f t="array" ref="U70">IF(U35="-","-",
IF(ROUND(U35,8)=
IF($P70="Network",
ROUND(INDEX(Calc_TUR_Net_1[[Ausnet]:[United Energy]],MATCH(1,(Calc_TUR_Net_1[[Customer type]:[Customer type]]=OP_Rates!$O70)*(Calc_TUR_Net_1[[Rate type]:[Rate type]]=OP_Rates!$C70),0),MATCH(OP_Rates!U$65,Calc_TUR_Net_1[[#Headers],[Ausnet]:[United Energy]],0)),8),
IF($P70="Environmental",
ROUND(SUMIFS(Calc_TUR_Env_1[United Energy],Calc_TUR_Env_1[[Customer type]:[Customer type]],OP_Rates!$O70,Calc_TUR_Env_1[[Rate type]:[Rate type]],OP_Rates!$C70),8))),0,1))</f>
        <v>0</v>
      </c>
    </row>
    <row r="71" spans="2:22" ht="15.75" hidden="1" x14ac:dyDescent="0.25">
      <c r="C71" s="60" t="s">
        <v>508</v>
      </c>
      <c r="D71" s="60" t="s">
        <v>291</v>
      </c>
      <c r="E71" s="60" t="s">
        <v>100</v>
      </c>
      <c r="F71" s="24" t="s">
        <v>160</v>
      </c>
      <c r="G71" s="201" cm="1">
        <f t="array" ref="G71">IF(G36="-","-",
IF(ROUND(G36,8)=
IF($F71="Network",
IF($C71&lt;&gt;"Controlled load",
ROUND(INDEX(Calc_TUR_Net_1[[Ausnet]:[United Energy]],MATCH(1,(Calc_TUR_Net_1[[Customer type]:[Customer type]]=OP_Rates!$E71)*(Calc_TUR_Net_1[[Rate type]:[Rate type]]=OP_Rates!$C71),0),MATCH(OP_Rates!G$65,Calc_TUR_Net_1[[#Headers],[Ausnet]:[United Energy]],0)),8),
ROUND(INDEX(Calc_TUR_NetCL_1[[Ausnet]:[United Energy]],MATCH(OP_Rates!$E71,Calc_TUR_Net_1[[Customer type]:[Customer type]],0),MATCH(OP_Rates!G$65,Calc_TUR_Net_1[[#Headers],[Ausnet]:[United Energy]],0)),8)),
IF($F71="Environmental",
ROUND(SUMIFS(Calc_TUR_Env_1[Ausnet],Calc_TUR_Env_1[[Customer type]:[Customer type]],OP_Rates!$E71,Calc_TUR_Env_1[[Rate type]:[Rate type]],OP_Rates!$C71),8))),0,1))</f>
        <v>0</v>
      </c>
      <c r="H71" s="201" cm="1">
        <f t="array" ref="H71">IF(H36="-","-",
IF(ROUND(H36,8)=
IF($F71="Network",
IF($C71&lt;&gt;"Controlled load",
ROUND(INDEX(Calc_TUR_Net_1[[Ausnet]:[United Energy]],MATCH(1,(Calc_TUR_Net_1[[Customer type]:[Customer type]]=OP_Rates!$E71)*(Calc_TUR_Net_1[[Rate type]:[Rate type]]=OP_Rates!$C71),0),MATCH(OP_Rates!H$65,Calc_TUR_Net_1[[#Headers],[Ausnet]:[United Energy]],0)),8),
ROUND(INDEX(Calc_TUR_NetCL_1[[Ausnet]:[United Energy]],MATCH(OP_Rates!$E71,Calc_TUR_Net_1[[Customer type]:[Customer type]],0),MATCH(OP_Rates!H$65,Calc_TUR_Net_1[[#Headers],[Ausnet]:[United Energy]],0)),8)),
IF($F71="Environmental",
ROUND(SUMIFS(Calc_TUR_Env_1[Citipower],Calc_TUR_Env_1[[Customer type]:[Customer type]],OP_Rates!$E71,Calc_TUR_Env_1[[Rate type]:[Rate type]],OP_Rates!$C71),8))),0,1))</f>
        <v>0</v>
      </c>
      <c r="I71" s="201" cm="1">
        <f t="array" ref="I71">IF(I36="-","-",
IF(ROUND(I36,8)=
IF($F71="Network",
IF($C71&lt;&gt;"Controlled load",
ROUND(INDEX(Calc_TUR_Net_1[[Ausnet]:[United Energy]],MATCH(1,(Calc_TUR_Net_1[[Customer type]:[Customer type]]=OP_Rates!$E71)*(Calc_TUR_Net_1[[Rate type]:[Rate type]]=OP_Rates!$C71),0),MATCH(OP_Rates!I$65,Calc_TUR_Net_1[[#Headers],[Ausnet]:[United Energy]],0)),8),
ROUND(INDEX(Calc_TUR_NetCL_1[[Ausnet]:[United Energy]],MATCH(OP_Rates!$E71,Calc_TUR_Net_1[[Customer type]:[Customer type]],0),MATCH(OP_Rates!I$65,Calc_TUR_Net_1[[#Headers],[Ausnet]:[United Energy]],0)),8)),
IF($F71="Environmental",
ROUND(SUMIFS(Calc_TUR_Env_1[Jemena],Calc_TUR_Env_1[[Customer type]:[Customer type]],OP_Rates!$E71,Calc_TUR_Env_1[[Rate type]:[Rate type]],OP_Rates!$C71),8))),0,1))</f>
        <v>0</v>
      </c>
      <c r="J71" s="201" cm="1">
        <f t="array" ref="J71">IF(J36="-","-",
IF(ROUND(J36,8)=
IF($F71="Network",
IF($C71&lt;&gt;"Controlled load",
ROUND(INDEX(Calc_TUR_Net_1[[Ausnet]:[United Energy]],MATCH(1,(Calc_TUR_Net_1[[Customer type]:[Customer type]]=OP_Rates!$E71)*(Calc_TUR_Net_1[[Rate type]:[Rate type]]=OP_Rates!$C71),0),MATCH(OP_Rates!J$65,Calc_TUR_Net_1[[#Headers],[Ausnet]:[United Energy]],0)),8),
ROUND(INDEX(Calc_TUR_NetCL_1[[Ausnet]:[United Energy]],MATCH(OP_Rates!$E71,Calc_TUR_Net_1[[Customer type]:[Customer type]],0),MATCH(OP_Rates!J$65,Calc_TUR_Net_1[[#Headers],[Ausnet]:[United Energy]],0)),8)),
IF($F71="Environmental",
ROUND(SUMIFS(Calc_TUR_Env_1[Powercor],Calc_TUR_Env_1[[Customer type]:[Customer type]],OP_Rates!$E71,Calc_TUR_Env_1[[Rate type]:[Rate type]],OP_Rates!$C71),8))),0,1))</f>
        <v>0</v>
      </c>
      <c r="K71" s="201" cm="1">
        <f t="array" ref="K71">IF(K36="-","-",
IF(ROUND(K36,8)=
IF($F71="Network",
IF($C71&lt;&gt;"Controlled load",
ROUND(INDEX(Calc_TUR_Net_1[[Ausnet]:[United Energy]],MATCH(1,(Calc_TUR_Net_1[[Customer type]:[Customer type]]=OP_Rates!$E71)*(Calc_TUR_Net_1[[Rate type]:[Rate type]]=OP_Rates!$C71),0),MATCH(OP_Rates!K$65,Calc_TUR_Net_1[[#Headers],[Ausnet]:[United Energy]],0)),8),
ROUND(INDEX(Calc_TUR_NetCL_1[[Ausnet]:[United Energy]],MATCH(OP_Rates!$E71,Calc_TUR_Net_1[[Customer type]:[Customer type]],0),MATCH(OP_Rates!K$65,Calc_TUR_Net_1[[#Headers],[Ausnet]:[United Energy]],0)),8)),
IF($F71="Environmental",
ROUND(SUMIFS(Calc_TUR_Env_1[United Energy],Calc_TUR_Env_1[[Customer type]:[Customer type]],OP_Rates!$E71,Calc_TUR_Env_1[[Rate type]:[Rate type]],OP_Rates!$C71),8))),0,1))</f>
        <v>0</v>
      </c>
      <c r="M71" s="60" t="s">
        <v>508</v>
      </c>
      <c r="N71" s="60" t="s">
        <v>291</v>
      </c>
      <c r="O71" s="60" t="s">
        <v>101</v>
      </c>
      <c r="P71" s="24" t="s">
        <v>160</v>
      </c>
      <c r="Q71" s="201" cm="1">
        <f t="array" ref="Q71">IF(Q36="-","-",
IF(ROUND(Q36,8)=
IF($P71="Network",
ROUND(INDEX(Calc_TUR_Net_1[[Ausnet]:[United Energy]],MATCH(1,(Calc_TUR_Net_1[[Customer type]:[Customer type]]=OP_Rates!$O71)*(Calc_TUR_Net_1[[Rate type]:[Rate type]]=OP_Rates!$C71),0),MATCH(OP_Rates!Q$65,Calc_TUR_Net_1[[#Headers],[Ausnet]:[United Energy]],0)),8),
IF($P71="Environmental",
ROUND(SUMIFS(Calc_TUR_Env_1[Ausnet],Calc_TUR_Env_1[[Customer type]:[Customer type]],OP_Rates!$O71,Calc_TUR_Env_1[[Rate type]:[Rate type]],OP_Rates!$C71),8))),0,1))</f>
        <v>0</v>
      </c>
      <c r="R71" s="201" cm="1">
        <f t="array" ref="R71">IF(R36="-","-",
IF(ROUND(R36,8)=
IF($P71="Network",
ROUND(INDEX(Calc_TUR_Net_1[[Ausnet]:[United Energy]],MATCH(1,(Calc_TUR_Net_1[[Customer type]:[Customer type]]=OP_Rates!$O71)*(Calc_TUR_Net_1[[Rate type]:[Rate type]]=OP_Rates!$C71),0),MATCH(OP_Rates!R$65,Calc_TUR_Net_1[[#Headers],[Ausnet]:[United Energy]],0)),8),
IF($P71="Environmental",
ROUND(SUMIFS(Calc_TUR_Env_1[Citipower],Calc_TUR_Env_1[[Customer type]:[Customer type]],OP_Rates!$O71,Calc_TUR_Env_1[[Rate type]:[Rate type]],OP_Rates!$C71),8))),0,1))</f>
        <v>0</v>
      </c>
      <c r="S71" s="201" cm="1">
        <f t="array" ref="S71">IF(S36="-","-",
IF(ROUND(S36,8)=
IF($P71="Network",
ROUND(INDEX(Calc_TUR_Net_1[[Ausnet]:[United Energy]],MATCH(1,(Calc_TUR_Net_1[[Customer type]:[Customer type]]=OP_Rates!$O71)*(Calc_TUR_Net_1[[Rate type]:[Rate type]]=OP_Rates!$C71),0),MATCH(OP_Rates!S$65,Calc_TUR_Net_1[[#Headers],[Ausnet]:[United Energy]],0)),8),
IF($P71="Environmental",
ROUND(SUMIFS(Calc_TUR_Env_1[Jemena],Calc_TUR_Env_1[[Customer type]:[Customer type]],OP_Rates!$O71,Calc_TUR_Env_1[[Rate type]:[Rate type]],OP_Rates!$C71),8))),0,1))</f>
        <v>0</v>
      </c>
      <c r="T71" s="201" cm="1">
        <f t="array" ref="T71">IF(T36="-","-",
IF(ROUND(T36,8)=
IF($P71="Network",
ROUND(INDEX(Calc_TUR_Net_1[[Ausnet]:[United Energy]],MATCH(1,(Calc_TUR_Net_1[[Customer type]:[Customer type]]=OP_Rates!$O71)*(Calc_TUR_Net_1[[Rate type]:[Rate type]]=OP_Rates!$C71),0),MATCH(OP_Rates!T$65,Calc_TUR_Net_1[[#Headers],[Ausnet]:[United Energy]],0)),8),
IF($P71="Environmental",
ROUND(SUMIFS(Calc_TUR_Env_1[Powercor],Calc_TUR_Env_1[[Customer type]:[Customer type]],OP_Rates!$O71,Calc_TUR_Env_1[[Rate type]:[Rate type]],OP_Rates!$C71),8))),0,1))</f>
        <v>0</v>
      </c>
      <c r="U71" s="201" cm="1">
        <f t="array" ref="U71">IF(U36="-","-",
IF(ROUND(U36,8)=
IF($P71="Network",
ROUND(INDEX(Calc_TUR_Net_1[[Ausnet]:[United Energy]],MATCH(1,(Calc_TUR_Net_1[[Customer type]:[Customer type]]=OP_Rates!$O71)*(Calc_TUR_Net_1[[Rate type]:[Rate type]]=OP_Rates!$C71),0),MATCH(OP_Rates!U$65,Calc_TUR_Net_1[[#Headers],[Ausnet]:[United Energy]],0)),8),
IF($P71="Environmental",
ROUND(SUMIFS(Calc_TUR_Env_1[United Energy],Calc_TUR_Env_1[[Customer type]:[Customer type]],OP_Rates!$O71,Calc_TUR_Env_1[[Rate type]:[Rate type]],OP_Rates!$C71),8))),0,1))</f>
        <v>0</v>
      </c>
    </row>
    <row r="72" spans="2:22" ht="15.75" hidden="1" x14ac:dyDescent="0.25">
      <c r="C72" s="60" t="s">
        <v>239</v>
      </c>
      <c r="D72" s="60" t="s">
        <v>291</v>
      </c>
      <c r="E72" s="60" t="s">
        <v>100</v>
      </c>
      <c r="F72" s="24" t="s">
        <v>160</v>
      </c>
      <c r="G72" s="201" cm="1">
        <f t="array" ref="G72">IF(G37="-","-",
IF(ROUND(G37,8)=
IF($F72="Network",
IF($C72&lt;&gt;"Controlled load",
ROUND(INDEX(Calc_TUR_Net_1[[Ausnet]:[United Energy]],MATCH(1,(Calc_TUR_Net_1[[Customer type]:[Customer type]]=OP_Rates!$E72)*(Calc_TUR_Net_1[[Rate type]:[Rate type]]=OP_Rates!$C72),0),MATCH(OP_Rates!G$65,Calc_TUR_Net_1[[#Headers],[Ausnet]:[United Energy]],0)),8),
ROUND(INDEX(Calc_TUR_NetCL_1[[Ausnet]:[United Energy]],MATCH(OP_Rates!$E72,Calc_TUR_Net_1[[Customer type]:[Customer type]],0),MATCH(OP_Rates!G$65,Calc_TUR_Net_1[[#Headers],[Ausnet]:[United Energy]],0)),8)),
IF($F72="Environmental",
ROUND(SUMIFS(Calc_TUR_Env_1[Ausnet],Calc_TUR_Env_1[[Customer type]:[Customer type]],OP_Rates!$E72,Calc_TUR_Env_1[[Rate type]:[Rate type]],OP_Rates!$C72),8))),0,1))</f>
        <v>0</v>
      </c>
      <c r="H72" s="201" cm="1">
        <f t="array" ref="H72">IF(H37="-","-",
IF(ROUND(H37,8)=
IF($F72="Network",
IF($C72&lt;&gt;"Controlled load",
ROUND(INDEX(Calc_TUR_Net_1[[Ausnet]:[United Energy]],MATCH(1,(Calc_TUR_Net_1[[Customer type]:[Customer type]]=OP_Rates!$E72)*(Calc_TUR_Net_1[[Rate type]:[Rate type]]=OP_Rates!$C72),0),MATCH(OP_Rates!H$65,Calc_TUR_Net_1[[#Headers],[Ausnet]:[United Energy]],0)),8),
ROUND(INDEX(Calc_TUR_NetCL_1[[Ausnet]:[United Energy]],MATCH(OP_Rates!$E72,Calc_TUR_Net_1[[Customer type]:[Customer type]],0),MATCH(OP_Rates!H$65,Calc_TUR_Net_1[[#Headers],[Ausnet]:[United Energy]],0)),8)),
IF($F72="Environmental",
ROUND(SUMIFS(Calc_TUR_Env_1[Citipower],Calc_TUR_Env_1[[Customer type]:[Customer type]],OP_Rates!$E72,Calc_TUR_Env_1[[Rate type]:[Rate type]],OP_Rates!$C72),8))),0,1))</f>
        <v>0</v>
      </c>
      <c r="I72" s="201" cm="1">
        <f t="array" ref="I72">IF(I37="-","-",
IF(ROUND(I37,8)=
IF($F72="Network",
IF($C72&lt;&gt;"Controlled load",
ROUND(INDEX(Calc_TUR_Net_1[[Ausnet]:[United Energy]],MATCH(1,(Calc_TUR_Net_1[[Customer type]:[Customer type]]=OP_Rates!$E72)*(Calc_TUR_Net_1[[Rate type]:[Rate type]]=OP_Rates!$C72),0),MATCH(OP_Rates!I$65,Calc_TUR_Net_1[[#Headers],[Ausnet]:[United Energy]],0)),8),
ROUND(INDEX(Calc_TUR_NetCL_1[[Ausnet]:[United Energy]],MATCH(OP_Rates!$E72,Calc_TUR_Net_1[[Customer type]:[Customer type]],0),MATCH(OP_Rates!I$65,Calc_TUR_Net_1[[#Headers],[Ausnet]:[United Energy]],0)),8)),
IF($F72="Environmental",
ROUND(SUMIFS(Calc_TUR_Env_1[Jemena],Calc_TUR_Env_1[[Customer type]:[Customer type]],OP_Rates!$E72,Calc_TUR_Env_1[[Rate type]:[Rate type]],OP_Rates!$C72),8))),0,1))</f>
        <v>0</v>
      </c>
      <c r="J72" s="201" cm="1">
        <f t="array" ref="J72">IF(J37="-","-",
IF(ROUND(J37,8)=
IF($F72="Network",
IF($C72&lt;&gt;"Controlled load",
ROUND(INDEX(Calc_TUR_Net_1[[Ausnet]:[United Energy]],MATCH(1,(Calc_TUR_Net_1[[Customer type]:[Customer type]]=OP_Rates!$E72)*(Calc_TUR_Net_1[[Rate type]:[Rate type]]=OP_Rates!$C72),0),MATCH(OP_Rates!J$65,Calc_TUR_Net_1[[#Headers],[Ausnet]:[United Energy]],0)),8),
ROUND(INDEX(Calc_TUR_NetCL_1[[Ausnet]:[United Energy]],MATCH(OP_Rates!$E72,Calc_TUR_Net_1[[Customer type]:[Customer type]],0),MATCH(OP_Rates!J$65,Calc_TUR_Net_1[[#Headers],[Ausnet]:[United Energy]],0)),8)),
IF($F72="Environmental",
ROUND(SUMIFS(Calc_TUR_Env_1[Powercor],Calc_TUR_Env_1[[Customer type]:[Customer type]],OP_Rates!$E72,Calc_TUR_Env_1[[Rate type]:[Rate type]],OP_Rates!$C72),8))),0,1))</f>
        <v>0</v>
      </c>
      <c r="K72" s="201" cm="1">
        <f t="array" ref="K72">IF(K37="-","-",
IF(ROUND(K37,8)=
IF($F72="Network",
IF($C72&lt;&gt;"Controlled load",
ROUND(INDEX(Calc_TUR_Net_1[[Ausnet]:[United Energy]],MATCH(1,(Calc_TUR_Net_1[[Customer type]:[Customer type]]=OP_Rates!$E72)*(Calc_TUR_Net_1[[Rate type]:[Rate type]]=OP_Rates!$C72),0),MATCH(OP_Rates!K$65,Calc_TUR_Net_1[[#Headers],[Ausnet]:[United Energy]],0)),8),
ROUND(INDEX(Calc_TUR_NetCL_1[[Ausnet]:[United Energy]],MATCH(OP_Rates!$E72,Calc_TUR_Net_1[[Customer type]:[Customer type]],0),MATCH(OP_Rates!K$65,Calc_TUR_Net_1[[#Headers],[Ausnet]:[United Energy]],0)),8)),
IF($F72="Environmental",
ROUND(SUMIFS(Calc_TUR_Env_1[United Energy],Calc_TUR_Env_1[[Customer type]:[Customer type]],OP_Rates!$E72,Calc_TUR_Env_1[[Rate type]:[Rate type]],OP_Rates!$C72),8))),0,1))</f>
        <v>0</v>
      </c>
      <c r="M72" s="60" t="s">
        <v>239</v>
      </c>
      <c r="N72" s="60" t="s">
        <v>291</v>
      </c>
      <c r="O72" s="60" t="s">
        <v>101</v>
      </c>
      <c r="P72" s="24" t="s">
        <v>160</v>
      </c>
      <c r="Q72" s="201" cm="1">
        <f t="array" ref="Q72">IF(Q37="-","-",
IF(ROUND(Q37,8)=
IF($P72="Network",
ROUND(INDEX(Calc_TUR_Net_1[[Ausnet]:[United Energy]],MATCH(1,(Calc_TUR_Net_1[[Customer type]:[Customer type]]=OP_Rates!$O72)*(Calc_TUR_Net_1[[Rate type]:[Rate type]]=OP_Rates!$C72),0),MATCH(OP_Rates!Q$65,Calc_TUR_Net_1[[#Headers],[Ausnet]:[United Energy]],0)),8),
IF($P72="Environmental",
ROUND(SUMIFS(Calc_TUR_Env_1[Ausnet],Calc_TUR_Env_1[[Customer type]:[Customer type]],OP_Rates!$O72,Calc_TUR_Env_1[[Rate type]:[Rate type]],OP_Rates!$C72),8))),0,1))</f>
        <v>0</v>
      </c>
      <c r="R72" s="201" cm="1">
        <f t="array" ref="R72">IF(R37="-","-",
IF(ROUND(R37,8)=
IF($P72="Network",
ROUND(INDEX(Calc_TUR_Net_1[[Ausnet]:[United Energy]],MATCH(1,(Calc_TUR_Net_1[[Customer type]:[Customer type]]=OP_Rates!$O72)*(Calc_TUR_Net_1[[Rate type]:[Rate type]]=OP_Rates!$C72),0),MATCH(OP_Rates!R$65,Calc_TUR_Net_1[[#Headers],[Ausnet]:[United Energy]],0)),8),
IF($P72="Environmental",
ROUND(SUMIFS(Calc_TUR_Env_1[Citipower],Calc_TUR_Env_1[[Customer type]:[Customer type]],OP_Rates!$O72,Calc_TUR_Env_1[[Rate type]:[Rate type]],OP_Rates!$C72),8))),0,1))</f>
        <v>0</v>
      </c>
      <c r="S72" s="201" cm="1">
        <f t="array" ref="S72">IF(S37="-","-",
IF(ROUND(S37,8)=
IF($P72="Network",
ROUND(INDEX(Calc_TUR_Net_1[[Ausnet]:[United Energy]],MATCH(1,(Calc_TUR_Net_1[[Customer type]:[Customer type]]=OP_Rates!$O72)*(Calc_TUR_Net_1[[Rate type]:[Rate type]]=OP_Rates!$C72),0),MATCH(OP_Rates!S$65,Calc_TUR_Net_1[[#Headers],[Ausnet]:[United Energy]],0)),8),
IF($P72="Environmental",
ROUND(SUMIFS(Calc_TUR_Env_1[Jemena],Calc_TUR_Env_1[[Customer type]:[Customer type]],OP_Rates!$O72,Calc_TUR_Env_1[[Rate type]:[Rate type]],OP_Rates!$C72),8))),0,1))</f>
        <v>0</v>
      </c>
      <c r="T72" s="201" cm="1">
        <f t="array" ref="T72">IF(T37="-","-",
IF(ROUND(T37,8)=
IF($P72="Network",
ROUND(INDEX(Calc_TUR_Net_1[[Ausnet]:[United Energy]],MATCH(1,(Calc_TUR_Net_1[[Customer type]:[Customer type]]=OP_Rates!$O72)*(Calc_TUR_Net_1[[Rate type]:[Rate type]]=OP_Rates!$C72),0),MATCH(OP_Rates!T$65,Calc_TUR_Net_1[[#Headers],[Ausnet]:[United Energy]],0)),8),
IF($P72="Environmental",
ROUND(SUMIFS(Calc_TUR_Env_1[Powercor],Calc_TUR_Env_1[[Customer type]:[Customer type]],OP_Rates!$O72,Calc_TUR_Env_1[[Rate type]:[Rate type]],OP_Rates!$C72),8))),0,1))</f>
        <v>0</v>
      </c>
      <c r="U72" s="201" cm="1">
        <f t="array" ref="U72">IF(U37="-","-",
IF(ROUND(U37,8)=
IF($P72="Network",
ROUND(INDEX(Calc_TUR_Net_1[[Ausnet]:[United Energy]],MATCH(1,(Calc_TUR_Net_1[[Customer type]:[Customer type]]=OP_Rates!$O72)*(Calc_TUR_Net_1[[Rate type]:[Rate type]]=OP_Rates!$C72),0),MATCH(OP_Rates!U$65,Calc_TUR_Net_1[[#Headers],[Ausnet]:[United Energy]],0)),8),
IF($P72="Environmental",
ROUND(SUMIFS(Calc_TUR_Env_1[United Energy],Calc_TUR_Env_1[[Customer type]:[Customer type]],OP_Rates!$O72,Calc_TUR_Env_1[[Rate type]:[Rate type]],OP_Rates!$C72),8))),0,1))</f>
        <v>0</v>
      </c>
    </row>
    <row r="73" spans="2:22" ht="15.75" hidden="1" x14ac:dyDescent="0.25">
      <c r="C73" s="60" t="s">
        <v>538</v>
      </c>
      <c r="D73" s="60" t="s">
        <v>291</v>
      </c>
      <c r="E73" s="60" t="s">
        <v>100</v>
      </c>
      <c r="F73" s="24" t="s">
        <v>160</v>
      </c>
      <c r="G73" s="201" cm="1">
        <f t="array" ref="G73">IF(G38="-","-",
IF(ROUND(G38,8)=
IF($F73="Network",
IF($C73&lt;&gt;"Controlled load",
ROUND(INDEX(Calc_TUR_Net_1[[Ausnet]:[United Energy]],MATCH(1,(Calc_TUR_Net_1[[Customer type]:[Customer type]]=OP_Rates!$E73)*(Calc_TUR_Net_1[[Rate type]:[Rate type]]=OP_Rates!$C73),0),MATCH(OP_Rates!G$65,Calc_TUR_Net_1[[#Headers],[Ausnet]:[United Energy]],0)),8),
ROUND(INDEX(Calc_TUR_NetCL_1[[Ausnet]:[United Energy]],MATCH(OP_Rates!$E73,Calc_TUR_Net_1[[Customer type]:[Customer type]],0),MATCH(OP_Rates!G$65,Calc_TUR_Net_1[[#Headers],[Ausnet]:[United Energy]],0)),8)),
IF($F73="Environmental",
ROUND(SUMIFS(Calc_TUR_Env_1[Ausnet],Calc_TUR_Env_1[[Customer type]:[Customer type]],OP_Rates!$E73,Calc_TUR_Env_1[[Rate type]:[Rate type]],OP_Rates!$C73),8))),0,1))</f>
        <v>0</v>
      </c>
      <c r="H73" s="201" cm="1">
        <f t="array" ref="H73">IF(H38="-","-",
IF(ROUND(H38,8)=
IF($F73="Network",
IF($C73&lt;&gt;"Controlled load",
ROUND(INDEX(Calc_TUR_Net_1[[Ausnet]:[United Energy]],MATCH(1,(Calc_TUR_Net_1[[Customer type]:[Customer type]]=OP_Rates!$E73)*(Calc_TUR_Net_1[[Rate type]:[Rate type]]=OP_Rates!$C73),0),MATCH(OP_Rates!H$65,Calc_TUR_Net_1[[#Headers],[Ausnet]:[United Energy]],0)),8),
ROUND(INDEX(Calc_TUR_NetCL_1[[Ausnet]:[United Energy]],MATCH(OP_Rates!$E73,Calc_TUR_Net_1[[Customer type]:[Customer type]],0),MATCH(OP_Rates!H$65,Calc_TUR_Net_1[[#Headers],[Ausnet]:[United Energy]],0)),8)),
IF($F73="Environmental",
ROUND(SUMIFS(Calc_TUR_Env_1[Citipower],Calc_TUR_Env_1[[Customer type]:[Customer type]],OP_Rates!$E73,Calc_TUR_Env_1[[Rate type]:[Rate type]],OP_Rates!$C73),8))),0,1))</f>
        <v>0</v>
      </c>
      <c r="I73" s="201" cm="1">
        <f t="array" ref="I73">IF(I38="-","-",
IF(ROUND(I38,8)=
IF($F73="Network",
IF($C73&lt;&gt;"Controlled load",
ROUND(INDEX(Calc_TUR_Net_1[[Ausnet]:[United Energy]],MATCH(1,(Calc_TUR_Net_1[[Customer type]:[Customer type]]=OP_Rates!$E73)*(Calc_TUR_Net_1[[Rate type]:[Rate type]]=OP_Rates!$C73),0),MATCH(OP_Rates!I$65,Calc_TUR_Net_1[[#Headers],[Ausnet]:[United Energy]],0)),8),
ROUND(INDEX(Calc_TUR_NetCL_1[[Ausnet]:[United Energy]],MATCH(OP_Rates!$E73,Calc_TUR_Net_1[[Customer type]:[Customer type]],0),MATCH(OP_Rates!I$65,Calc_TUR_Net_1[[#Headers],[Ausnet]:[United Energy]],0)),8)),
IF($F73="Environmental",
ROUND(SUMIFS(Calc_TUR_Env_1[Jemena],Calc_TUR_Env_1[[Customer type]:[Customer type]],OP_Rates!$E73,Calc_TUR_Env_1[[Rate type]:[Rate type]],OP_Rates!$C73),8))),0,1))</f>
        <v>0</v>
      </c>
      <c r="J73" s="201" cm="1">
        <f t="array" ref="J73">IF(J38="-","-",
IF(ROUND(J38,8)=
IF($F73="Network",
IF($C73&lt;&gt;"Controlled load",
ROUND(INDEX(Calc_TUR_Net_1[[Ausnet]:[United Energy]],MATCH(1,(Calc_TUR_Net_1[[Customer type]:[Customer type]]=OP_Rates!$E73)*(Calc_TUR_Net_1[[Rate type]:[Rate type]]=OP_Rates!$C73),0),MATCH(OP_Rates!J$65,Calc_TUR_Net_1[[#Headers],[Ausnet]:[United Energy]],0)),8),
ROUND(INDEX(Calc_TUR_NetCL_1[[Ausnet]:[United Energy]],MATCH(OP_Rates!$E73,Calc_TUR_Net_1[[Customer type]:[Customer type]],0),MATCH(OP_Rates!J$65,Calc_TUR_Net_1[[#Headers],[Ausnet]:[United Energy]],0)),8)),
IF($F73="Environmental",
ROUND(SUMIFS(Calc_TUR_Env_1[Powercor],Calc_TUR_Env_1[[Customer type]:[Customer type]],OP_Rates!$E73,Calc_TUR_Env_1[[Rate type]:[Rate type]],OP_Rates!$C73),8))),0,1))</f>
        <v>0</v>
      </c>
      <c r="K73" s="201" cm="1">
        <f t="array" ref="K73">IF(K38="-","-",
IF(ROUND(K38,8)=
IF($F73="Network",
IF($C73&lt;&gt;"Controlled load",
ROUND(INDEX(Calc_TUR_Net_1[[Ausnet]:[United Energy]],MATCH(1,(Calc_TUR_Net_1[[Customer type]:[Customer type]]=OP_Rates!$E73)*(Calc_TUR_Net_1[[Rate type]:[Rate type]]=OP_Rates!$C73),0),MATCH(OP_Rates!K$65,Calc_TUR_Net_1[[#Headers],[Ausnet]:[United Energy]],0)),8),
ROUND(INDEX(Calc_TUR_NetCL_1[[Ausnet]:[United Energy]],MATCH(OP_Rates!$E73,Calc_TUR_Net_1[[Customer type]:[Customer type]],0),MATCH(OP_Rates!K$65,Calc_TUR_Net_1[[#Headers],[Ausnet]:[United Energy]],0)),8)),
IF($F73="Environmental",
ROUND(SUMIFS(Calc_TUR_Env_1[United Energy],Calc_TUR_Env_1[[Customer type]:[Customer type]],OP_Rates!$E73,Calc_TUR_Env_1[[Rate type]:[Rate type]],OP_Rates!$C73),8))),0,1))</f>
        <v>0</v>
      </c>
      <c r="M73" s="60" t="s">
        <v>538</v>
      </c>
      <c r="N73" s="60" t="s">
        <v>291</v>
      </c>
      <c r="O73" s="60" t="s">
        <v>101</v>
      </c>
      <c r="P73" s="24" t="s">
        <v>160</v>
      </c>
      <c r="Q73" s="201" cm="1">
        <f t="array" ref="Q73">IF(Q38="-","-",
IF(ROUND(Q38,8)=
IF($P73="Network",
ROUND(INDEX(Calc_TUR_Net_1[[Ausnet]:[United Energy]],MATCH(1,(Calc_TUR_Net_1[[Customer type]:[Customer type]]=OP_Rates!$O73)*(Calc_TUR_Net_1[[Rate type]:[Rate type]]=OP_Rates!$C73),0),MATCH(OP_Rates!Q$65,Calc_TUR_Net_1[[#Headers],[Ausnet]:[United Energy]],0)),8),
IF($P73="Environmental",
ROUND(SUMIFS(Calc_TUR_Env_1[Ausnet],Calc_TUR_Env_1[[Customer type]:[Customer type]],OP_Rates!$O73,Calc_TUR_Env_1[[Rate type]:[Rate type]],OP_Rates!$C73),8))),0,1))</f>
        <v>0</v>
      </c>
      <c r="R73" s="201" cm="1">
        <f t="array" ref="R73">IF(R38="-","-",
IF(ROUND(R38,8)=
IF($P73="Network",
ROUND(INDEX(Calc_TUR_Net_1[[Ausnet]:[United Energy]],MATCH(1,(Calc_TUR_Net_1[[Customer type]:[Customer type]]=OP_Rates!$O73)*(Calc_TUR_Net_1[[Rate type]:[Rate type]]=OP_Rates!$C73),0),MATCH(OP_Rates!R$65,Calc_TUR_Net_1[[#Headers],[Ausnet]:[United Energy]],0)),8),
IF($P73="Environmental",
ROUND(SUMIFS(Calc_TUR_Env_1[Citipower],Calc_TUR_Env_1[[Customer type]:[Customer type]],OP_Rates!$O73,Calc_TUR_Env_1[[Rate type]:[Rate type]],OP_Rates!$C73),8))),0,1))</f>
        <v>0</v>
      </c>
      <c r="S73" s="201" cm="1">
        <f t="array" ref="S73">IF(S38="-","-",
IF(ROUND(S38,8)=
IF($P73="Network",
ROUND(INDEX(Calc_TUR_Net_1[[Ausnet]:[United Energy]],MATCH(1,(Calc_TUR_Net_1[[Customer type]:[Customer type]]=OP_Rates!$O73)*(Calc_TUR_Net_1[[Rate type]:[Rate type]]=OP_Rates!$C73),0),MATCH(OP_Rates!S$65,Calc_TUR_Net_1[[#Headers],[Ausnet]:[United Energy]],0)),8),
IF($P73="Environmental",
ROUND(SUMIFS(Calc_TUR_Env_1[Jemena],Calc_TUR_Env_1[[Customer type]:[Customer type]],OP_Rates!$O73,Calc_TUR_Env_1[[Rate type]:[Rate type]],OP_Rates!$C73),8))),0,1))</f>
        <v>0</v>
      </c>
      <c r="T73" s="201" cm="1">
        <f t="array" ref="T73">IF(T38="-","-",
IF(ROUND(T38,8)=
IF($P73="Network",
ROUND(INDEX(Calc_TUR_Net_1[[Ausnet]:[United Energy]],MATCH(1,(Calc_TUR_Net_1[[Customer type]:[Customer type]]=OP_Rates!$O73)*(Calc_TUR_Net_1[[Rate type]:[Rate type]]=OP_Rates!$C73),0),MATCH(OP_Rates!T$65,Calc_TUR_Net_1[[#Headers],[Ausnet]:[United Energy]],0)),8),
IF($P73="Environmental",
ROUND(SUMIFS(Calc_TUR_Env_1[Powercor],Calc_TUR_Env_1[[Customer type]:[Customer type]],OP_Rates!$O73,Calc_TUR_Env_1[[Rate type]:[Rate type]],OP_Rates!$C73),8))),0,1))</f>
        <v>0</v>
      </c>
      <c r="U73" s="201" cm="1">
        <f t="array" ref="U73">IF(U38="-","-",
IF(ROUND(U38,8)=
IF($P73="Network",
ROUND(INDEX(Calc_TUR_Net_1[[Ausnet]:[United Energy]],MATCH(1,(Calc_TUR_Net_1[[Customer type]:[Customer type]]=OP_Rates!$O73)*(Calc_TUR_Net_1[[Rate type]:[Rate type]]=OP_Rates!$C73),0),MATCH(OP_Rates!U$65,Calc_TUR_Net_1[[#Headers],[Ausnet]:[United Energy]],0)),8),
IF($P73="Environmental",
ROUND(SUMIFS(Calc_TUR_Env_1[United Energy],Calc_TUR_Env_1[[Customer type]:[Customer type]],OP_Rates!$O73,Calc_TUR_Env_1[[Rate type]:[Rate type]],OP_Rates!$C73),8))),0,1))</f>
        <v>0</v>
      </c>
    </row>
    <row r="74" spans="2:22" ht="15.75" hidden="1" x14ac:dyDescent="0.25">
      <c r="C74" s="60" t="s">
        <v>296</v>
      </c>
      <c r="D74" s="60" t="s">
        <v>291</v>
      </c>
      <c r="E74" s="60" t="s">
        <v>100</v>
      </c>
      <c r="F74" s="24" t="s">
        <v>160</v>
      </c>
      <c r="G74" s="201" cm="1">
        <f t="array" ref="G74">IF(G39="-","-",
IF(ROUND(G39,8)=
IF($F74="Network",
IF($C74&lt;&gt;"Controlled load",
ROUND(INDEX(Calc_TUR_Net_1[[Ausnet]:[United Energy]],MATCH(1,(Calc_TUR_Net_1[[Customer type]:[Customer type]]=OP_Rates!$E74)*(Calc_TUR_Net_1[[Rate type]:[Rate type]]=OP_Rates!$C74),0),MATCH(OP_Rates!G$65,Calc_TUR_Net_1[[#Headers],[Ausnet]:[United Energy]],0)),8),
ROUND(INDEX(Calc_TUR_NetCL_1[[Ausnet]:[United Energy]],MATCH(OP_Rates!$E74,Calc_TUR_Net_1[[Customer type]:[Customer type]],0),MATCH(OP_Rates!G$65,Calc_TUR_Net_1[[#Headers],[Ausnet]:[United Energy]],0)),8)),
IF($F74="Environmental",
ROUND(SUMIFS(Calc_TUR_Env_1[Ausnet],Calc_TUR_Env_1[[Customer type]:[Customer type]],OP_Rates!$E74,Calc_TUR_Env_1[[Rate type]:[Rate type]],OP_Rates!$C74),8))),0,1))</f>
        <v>0</v>
      </c>
      <c r="H74" s="201" cm="1">
        <f t="array" ref="H74">IF(H39="-","-",
IF(ROUND(H39,8)=
IF($F74="Network",
IF($C74&lt;&gt;"Controlled load",
ROUND(INDEX(Calc_TUR_Net_1[[Ausnet]:[United Energy]],MATCH(1,(Calc_TUR_Net_1[[Customer type]:[Customer type]]=OP_Rates!$E74)*(Calc_TUR_Net_1[[Rate type]:[Rate type]]=OP_Rates!$C74),0),MATCH(OP_Rates!H$65,Calc_TUR_Net_1[[#Headers],[Ausnet]:[United Energy]],0)),8),
ROUND(INDEX(Calc_TUR_NetCL_1[[Ausnet]:[United Energy]],MATCH(OP_Rates!$E74,Calc_TUR_Net_1[[Customer type]:[Customer type]],0),MATCH(OP_Rates!H$65,Calc_TUR_Net_1[[#Headers],[Ausnet]:[United Energy]],0)),8)),
IF($F74="Environmental",
ROUND(SUMIFS(Calc_TUR_Env_1[Citipower],Calc_TUR_Env_1[[Customer type]:[Customer type]],OP_Rates!$E74,Calc_TUR_Env_1[[Rate type]:[Rate type]],OP_Rates!$C74),8))),0,1))</f>
        <v>0</v>
      </c>
      <c r="I74" s="201" cm="1">
        <f t="array" ref="I74">IF(I39="-","-",
IF(ROUND(I39,8)=
IF($F74="Network",
IF($C74&lt;&gt;"Controlled load",
ROUND(INDEX(Calc_TUR_Net_1[[Ausnet]:[United Energy]],MATCH(1,(Calc_TUR_Net_1[[Customer type]:[Customer type]]=OP_Rates!$E74)*(Calc_TUR_Net_1[[Rate type]:[Rate type]]=OP_Rates!$C74),0),MATCH(OP_Rates!I$65,Calc_TUR_Net_1[[#Headers],[Ausnet]:[United Energy]],0)),8),
ROUND(INDEX(Calc_TUR_NetCL_1[[Ausnet]:[United Energy]],MATCH(OP_Rates!$E74,Calc_TUR_Net_1[[Customer type]:[Customer type]],0),MATCH(OP_Rates!I$65,Calc_TUR_Net_1[[#Headers],[Ausnet]:[United Energy]],0)),8)),
IF($F74="Environmental",
ROUND(SUMIFS(Calc_TUR_Env_1[Jemena],Calc_TUR_Env_1[[Customer type]:[Customer type]],OP_Rates!$E74,Calc_TUR_Env_1[[Rate type]:[Rate type]],OP_Rates!$C74),8))),0,1))</f>
        <v>0</v>
      </c>
      <c r="J74" s="201" cm="1">
        <f t="array" ref="J74">IF(J39="-","-",
IF(ROUND(J39,8)=
IF($F74="Network",
IF($C74&lt;&gt;"Controlled load",
ROUND(INDEX(Calc_TUR_Net_1[[Ausnet]:[United Energy]],MATCH(1,(Calc_TUR_Net_1[[Customer type]:[Customer type]]=OP_Rates!$E74)*(Calc_TUR_Net_1[[Rate type]:[Rate type]]=OP_Rates!$C74),0),MATCH(OP_Rates!J$65,Calc_TUR_Net_1[[#Headers],[Ausnet]:[United Energy]],0)),8),
ROUND(INDEX(Calc_TUR_NetCL_1[[Ausnet]:[United Energy]],MATCH(OP_Rates!$E74,Calc_TUR_Net_1[[Customer type]:[Customer type]],0),MATCH(OP_Rates!J$65,Calc_TUR_Net_1[[#Headers],[Ausnet]:[United Energy]],0)),8)),
IF($F74="Environmental",
ROUND(SUMIFS(Calc_TUR_Env_1[Powercor],Calc_TUR_Env_1[[Customer type]:[Customer type]],OP_Rates!$E74,Calc_TUR_Env_1[[Rate type]:[Rate type]],OP_Rates!$C74),8))),0,1))</f>
        <v>0</v>
      </c>
      <c r="K74" s="201" cm="1">
        <f t="array" ref="K74">IF(K39="-","-",
IF(ROUND(K39,8)=
IF($F74="Network",
IF($C74&lt;&gt;"Controlled load",
ROUND(INDEX(Calc_TUR_Net_1[[Ausnet]:[United Energy]],MATCH(1,(Calc_TUR_Net_1[[Customer type]:[Customer type]]=OP_Rates!$E74)*(Calc_TUR_Net_1[[Rate type]:[Rate type]]=OP_Rates!$C74),0),MATCH(OP_Rates!K$65,Calc_TUR_Net_1[[#Headers],[Ausnet]:[United Energy]],0)),8),
ROUND(INDEX(Calc_TUR_NetCL_1[[Ausnet]:[United Energy]],MATCH(OP_Rates!$E74,Calc_TUR_Net_1[[Customer type]:[Customer type]],0),MATCH(OP_Rates!K$65,Calc_TUR_Net_1[[#Headers],[Ausnet]:[United Energy]],0)),8)),
IF($F74="Environmental",
ROUND(SUMIFS(Calc_TUR_Env_1[United Energy],Calc_TUR_Env_1[[Customer type]:[Customer type]],OP_Rates!$E74,Calc_TUR_Env_1[[Rate type]:[Rate type]],OP_Rates!$C74),8))),0,1))</f>
        <v>0</v>
      </c>
      <c r="M74" s="60"/>
      <c r="N74" s="60"/>
      <c r="O74" s="60"/>
      <c r="P74" s="24"/>
      <c r="Q74" s="201"/>
      <c r="R74" s="201"/>
      <c r="S74" s="201"/>
      <c r="T74" s="201"/>
      <c r="U74" s="201"/>
    </row>
    <row r="75" spans="2:22" hidden="1" x14ac:dyDescent="0.25"/>
    <row r="76" spans="2:22" hidden="1" x14ac:dyDescent="0.25"/>
    <row r="77" spans="2:22" hidden="1" x14ac:dyDescent="0.25"/>
    <row r="78" spans="2:22" hidden="1" x14ac:dyDescent="0.25"/>
    <row r="80" spans="2:22" ht="16.5" thickBot="1" x14ac:dyDescent="0.3">
      <c r="B80" s="9">
        <f ca="1">MAX(B$3:B77)+0.1</f>
        <v>15.2</v>
      </c>
      <c r="C80" s="29" t="str">
        <f>"VDO rates - "&amp;Calc_Rates!$D$251</f>
        <v>VDO rates - VDO 2022 - Final</v>
      </c>
      <c r="D80" s="29"/>
      <c r="E80" s="29"/>
      <c r="F80" s="29"/>
      <c r="G80" s="29"/>
      <c r="H80" s="29"/>
      <c r="I80" s="29"/>
      <c r="J80" s="29"/>
      <c r="K80" s="29"/>
      <c r="L80" s="29"/>
      <c r="M80" s="29"/>
      <c r="N80" s="29"/>
      <c r="O80" s="29"/>
      <c r="P80" s="29"/>
      <c r="Q80" s="29"/>
      <c r="R80" s="29"/>
      <c r="S80" s="29"/>
      <c r="T80" s="29"/>
      <c r="U80" s="29"/>
      <c r="V80" s="29"/>
    </row>
    <row r="81" spans="1:24" outlineLevel="1" x14ac:dyDescent="0.25"/>
    <row r="82" spans="1:24" ht="15.75" outlineLevel="1" x14ac:dyDescent="0.25">
      <c r="C82" s="30" t="s">
        <v>554</v>
      </c>
      <c r="M82" s="30" t="s">
        <v>555</v>
      </c>
      <c r="P82" s="88"/>
      <c r="Q82" s="88"/>
      <c r="R82" s="88"/>
    </row>
    <row r="83" spans="1:24" ht="15.75" outlineLevel="1" x14ac:dyDescent="0.25">
      <c r="C83" s="141" t="s">
        <v>340</v>
      </c>
      <c r="D83" s="141" t="s">
        <v>111</v>
      </c>
      <c r="E83" s="141" t="s">
        <v>99</v>
      </c>
      <c r="F83" s="141" t="s">
        <v>11</v>
      </c>
      <c r="G83" s="142" t="s">
        <v>277</v>
      </c>
      <c r="H83" s="142" t="s">
        <v>278</v>
      </c>
      <c r="I83" s="142" t="s">
        <v>279</v>
      </c>
      <c r="J83" s="142" t="s">
        <v>280</v>
      </c>
      <c r="K83" s="142" t="s">
        <v>281</v>
      </c>
      <c r="M83" s="141" t="s">
        <v>340</v>
      </c>
      <c r="N83" s="141" t="s">
        <v>111</v>
      </c>
      <c r="O83" s="141" t="s">
        <v>99</v>
      </c>
      <c r="P83" s="141" t="s">
        <v>11</v>
      </c>
      <c r="Q83" s="142" t="s">
        <v>277</v>
      </c>
      <c r="R83" s="142" t="s">
        <v>278</v>
      </c>
      <c r="S83" s="142" t="s">
        <v>279</v>
      </c>
      <c r="T83" s="142" t="s">
        <v>280</v>
      </c>
      <c r="U83" s="142" t="s">
        <v>281</v>
      </c>
    </row>
    <row r="84" spans="1:24" outlineLevel="1" x14ac:dyDescent="0.25">
      <c r="C84" s="24" t="s">
        <v>509</v>
      </c>
      <c r="D84" s="24" t="s">
        <v>118</v>
      </c>
      <c r="E84" s="24" t="s">
        <v>100</v>
      </c>
      <c r="F84" s="24" t="s">
        <v>11</v>
      </c>
      <c r="G84" s="170" cm="1">
        <f t="array" ref="G84">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1.26</v>
      </c>
      <c r="H84" s="170" cm="1">
        <f t="array" ref="H84">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1.2022999999999999</v>
      </c>
      <c r="I84" s="170" cm="1">
        <f t="array" ref="I84">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1.1491</v>
      </c>
      <c r="J84" s="170" cm="1">
        <f t="array" ref="J84">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1.3459000000000001</v>
      </c>
      <c r="K84" s="170" cm="1">
        <f t="array" ref="K84">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1.0633999999999999</v>
      </c>
      <c r="M84" s="24" t="s">
        <v>509</v>
      </c>
      <c r="N84" s="24" t="s">
        <v>118</v>
      </c>
      <c r="O84" s="24" t="s">
        <v>101</v>
      </c>
      <c r="P84" s="24" t="s">
        <v>11</v>
      </c>
      <c r="Q84" s="170" cm="1">
        <f t="array" ref="Q84">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1.3355999999999999</v>
      </c>
      <c r="R84" s="170" cm="1">
        <f t="array" ref="R84">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1.3875999999999999</v>
      </c>
      <c r="S84" s="170" cm="1">
        <f t="array" ref="S84">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1.3848</v>
      </c>
      <c r="T84" s="170" cm="1">
        <f t="array" ref="T84">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1.4613</v>
      </c>
      <c r="U84" s="170" cm="1">
        <f t="array" ref="U84">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1.1520999999999999</v>
      </c>
    </row>
    <row r="85" spans="1:24" outlineLevel="1" x14ac:dyDescent="0.25">
      <c r="C85" s="24" t="s">
        <v>230</v>
      </c>
      <c r="D85" s="24" t="s">
        <v>291</v>
      </c>
      <c r="E85" s="24" t="s">
        <v>100</v>
      </c>
      <c r="F85" s="24" t="s">
        <v>11</v>
      </c>
      <c r="G85" s="170" cm="1">
        <f t="array" ref="G85">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0.26490000000000002</v>
      </c>
      <c r="H85" s="170" cm="1">
        <f t="array" ref="H85">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0</v>
      </c>
      <c r="I85" s="170" cm="1">
        <f t="array" ref="I85">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0</v>
      </c>
      <c r="J85" s="170" cm="1">
        <f t="array" ref="J85">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0</v>
      </c>
      <c r="K85" s="170" cm="1">
        <f t="array" ref="K85">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0</v>
      </c>
      <c r="M85" s="24" t="s">
        <v>230</v>
      </c>
      <c r="N85" s="24" t="s">
        <v>291</v>
      </c>
      <c r="O85" s="24" t="s">
        <v>101</v>
      </c>
      <c r="P85" s="24" t="s">
        <v>11</v>
      </c>
      <c r="Q85" s="170" cm="1">
        <f t="array" ref="Q85">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0.30159999999999998</v>
      </c>
      <c r="R85" s="170" cm="1">
        <f t="array" ref="R85">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0</v>
      </c>
      <c r="S85" s="170" cm="1">
        <f t="array" ref="S85">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0</v>
      </c>
      <c r="T85" s="170" cm="1">
        <f t="array" ref="T85">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0</v>
      </c>
      <c r="U85" s="170" cm="1">
        <f t="array" ref="U85">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0</v>
      </c>
    </row>
    <row r="86" spans="1:24" ht="15.75" outlineLevel="1" x14ac:dyDescent="0.25">
      <c r="A86" s="1" t="s">
        <v>30</v>
      </c>
      <c r="C86" s="24" t="s">
        <v>237</v>
      </c>
      <c r="D86" s="24" t="s">
        <v>291</v>
      </c>
      <c r="E86" s="24" t="s">
        <v>100</v>
      </c>
      <c r="F86" s="24" t="s">
        <v>11</v>
      </c>
      <c r="G86" s="170" cm="1">
        <f t="array" ref="G86">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0.28110000000000002</v>
      </c>
      <c r="H86" s="170" cm="1">
        <f t="array" ref="H86">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0</v>
      </c>
      <c r="I86" s="170" cm="1">
        <f t="array" ref="I86">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0</v>
      </c>
      <c r="J86" s="170" cm="1">
        <f t="array" ref="J86">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0</v>
      </c>
      <c r="K86" s="170" cm="1">
        <f t="array" ref="K86">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0</v>
      </c>
      <c r="M86" s="24" t="s">
        <v>237</v>
      </c>
      <c r="N86" s="24" t="s">
        <v>291</v>
      </c>
      <c r="O86" s="24" t="s">
        <v>101</v>
      </c>
      <c r="P86" s="24" t="s">
        <v>11</v>
      </c>
      <c r="Q86" s="170" cm="1">
        <f t="array" ref="Q86">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0.33350000000000002</v>
      </c>
      <c r="R86" s="170" cm="1">
        <f t="array" ref="R86">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0</v>
      </c>
      <c r="S86" s="170" cm="1">
        <f t="array" ref="S86">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0</v>
      </c>
      <c r="T86" s="170" cm="1">
        <f t="array" ref="T86">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0</v>
      </c>
      <c r="U86" s="170" cm="1">
        <f t="array" ref="U86">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0</v>
      </c>
    </row>
    <row r="87" spans="1:24" ht="15.75" outlineLevel="1" x14ac:dyDescent="0.25">
      <c r="A87" s="1"/>
      <c r="C87" s="24" t="s">
        <v>508</v>
      </c>
      <c r="D87" s="24" t="s">
        <v>291</v>
      </c>
      <c r="E87" s="24" t="s">
        <v>100</v>
      </c>
      <c r="F87" s="24" t="s">
        <v>11</v>
      </c>
      <c r="G87" s="170" cm="1">
        <f t="array" ref="G87">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0</v>
      </c>
      <c r="H87" s="170" cm="1">
        <f t="array" ref="H87">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0.21709999999999999</v>
      </c>
      <c r="I87" s="170" cm="1">
        <f t="array" ref="I87">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0.23069999999999999</v>
      </c>
      <c r="J87" s="170" cm="1">
        <f t="array" ref="J87">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0.2235</v>
      </c>
      <c r="K87" s="170" cm="1">
        <f t="array" ref="K87">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0.22420000000000001</v>
      </c>
      <c r="M87" s="24" t="s">
        <v>508</v>
      </c>
      <c r="N87" s="24" t="s">
        <v>291</v>
      </c>
      <c r="O87" s="24" t="s">
        <v>101</v>
      </c>
      <c r="P87" s="24" t="s">
        <v>11</v>
      </c>
      <c r="Q87" s="170" cm="1">
        <f t="array" ref="Q87">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0</v>
      </c>
      <c r="R87" s="170" cm="1">
        <f t="array" ref="R87">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0.21410000000000001</v>
      </c>
      <c r="S87" s="170" cm="1">
        <f t="array" ref="S87">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0.2457</v>
      </c>
      <c r="T87" s="170" cm="1">
        <f t="array" ref="T87">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0.22570000000000001</v>
      </c>
      <c r="U87" s="170" cm="1">
        <f t="array" ref="U87">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0.2225</v>
      </c>
    </row>
    <row r="88" spans="1:24" ht="15.75" outlineLevel="1" x14ac:dyDescent="0.25">
      <c r="A88" s="1"/>
      <c r="C88" s="24" t="s">
        <v>510</v>
      </c>
      <c r="D88" s="24" t="s">
        <v>118</v>
      </c>
      <c r="E88" s="24" t="s">
        <v>100</v>
      </c>
      <c r="F88" s="24" t="s">
        <v>11</v>
      </c>
      <c r="G88" s="170" cm="1">
        <f t="array" ref="G88">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1.1587000000000001</v>
      </c>
      <c r="H88" s="170" cm="1">
        <f t="array" ref="H88">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1.1948000000000001</v>
      </c>
      <c r="I88" s="170" cm="1">
        <f t="array" ref="I88">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1.0508</v>
      </c>
      <c r="J88" s="170" cm="1">
        <f t="array" ref="J88">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1.3301000000000001</v>
      </c>
      <c r="K88" s="170" cm="1">
        <f t="array" ref="K88">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1.0552999999999999</v>
      </c>
      <c r="M88" s="24" t="s">
        <v>510</v>
      </c>
      <c r="N88" s="24" t="s">
        <v>118</v>
      </c>
      <c r="O88" s="24" t="s">
        <v>101</v>
      </c>
      <c r="P88" s="24" t="s">
        <v>11</v>
      </c>
      <c r="Q88" s="170" cm="1">
        <f t="array" ref="Q88">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0.86480000000000001</v>
      </c>
      <c r="R88" s="170" cm="1">
        <f t="array" ref="R88">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1.3568</v>
      </c>
      <c r="S88" s="170" cm="1">
        <f t="array" ref="S88">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1.6395</v>
      </c>
      <c r="T88" s="170" cm="1">
        <f t="array" ref="T88">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1.4275</v>
      </c>
      <c r="U88" s="170" cm="1">
        <f t="array" ref="U88">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1.1218999999999999</v>
      </c>
    </row>
    <row r="89" spans="1:24" ht="15.75" outlineLevel="1" x14ac:dyDescent="0.25">
      <c r="A89" s="1"/>
      <c r="C89" s="24" t="s">
        <v>239</v>
      </c>
      <c r="D89" s="24" t="s">
        <v>291</v>
      </c>
      <c r="E89" s="24" t="s">
        <v>100</v>
      </c>
      <c r="F89" s="24" t="s">
        <v>11</v>
      </c>
      <c r="G89" s="170" cm="1">
        <f t="array" ref="G89">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0.37459999999999999</v>
      </c>
      <c r="H89" s="170" cm="1">
        <f t="array" ref="H89">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0.30909999999999999</v>
      </c>
      <c r="I89" s="170" cm="1">
        <f t="array" ref="I89">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0.28699999999999998</v>
      </c>
      <c r="J89" s="170" cm="1">
        <f t="array" ref="J89">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0.3135</v>
      </c>
      <c r="K89" s="170" cm="1">
        <f t="array" ref="K89">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0.31519999999999998</v>
      </c>
      <c r="M89" s="24" t="s">
        <v>239</v>
      </c>
      <c r="N89" s="24" t="s">
        <v>291</v>
      </c>
      <c r="O89" s="24" t="s">
        <v>101</v>
      </c>
      <c r="P89" s="24" t="s">
        <v>11</v>
      </c>
      <c r="Q89" s="170" cm="1">
        <f t="array" ref="Q89">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0.3246</v>
      </c>
      <c r="R89" s="170" cm="1">
        <f t="array" ref="R89">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0.2702</v>
      </c>
      <c r="S89" s="170" cm="1">
        <f t="array" ref="S89">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0.28489999999999999</v>
      </c>
      <c r="T89" s="170" cm="1">
        <f t="array" ref="T89">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0.28939999999999999</v>
      </c>
      <c r="U89" s="170" cm="1">
        <f t="array" ref="U89">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0.28320000000000001</v>
      </c>
    </row>
    <row r="90" spans="1:24" ht="15.75" outlineLevel="1" x14ac:dyDescent="0.25">
      <c r="A90" s="1"/>
      <c r="C90" s="24" t="s">
        <v>538</v>
      </c>
      <c r="D90" s="24" t="s">
        <v>291</v>
      </c>
      <c r="E90" s="24" t="s">
        <v>100</v>
      </c>
      <c r="F90" s="24" t="s">
        <v>11</v>
      </c>
      <c r="G90" s="170" cm="1">
        <f t="array" ref="G90">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0.182</v>
      </c>
      <c r="H90" s="170" cm="1">
        <f t="array" ref="H90">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0.1696</v>
      </c>
      <c r="I90" s="170" cm="1">
        <f t="array" ref="I90">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0.17499999999999999</v>
      </c>
      <c r="J90" s="170" cm="1">
        <f t="array" ref="J90">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0.17460000000000001</v>
      </c>
      <c r="K90" s="170" cm="1">
        <f t="array" ref="K90">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0.17710000000000001</v>
      </c>
      <c r="M90" s="24" t="s">
        <v>538</v>
      </c>
      <c r="N90" s="24" t="s">
        <v>291</v>
      </c>
      <c r="O90" s="24" t="s">
        <v>101</v>
      </c>
      <c r="P90" s="24" t="s">
        <v>11</v>
      </c>
      <c r="Q90" s="170" cm="1">
        <f t="array" ref="Q90">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0.1701</v>
      </c>
      <c r="R90" s="170" cm="1">
        <f t="array" ref="R90">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0.152</v>
      </c>
      <c r="S90" s="170" cm="1">
        <f t="array" ref="S90">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0.15329999999999999</v>
      </c>
      <c r="T90" s="170" cm="1">
        <f t="array" ref="T90">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0.15559999999999999</v>
      </c>
      <c r="U90" s="170" cm="1">
        <f t="array" ref="U90">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0.15629999999999999</v>
      </c>
    </row>
    <row r="91" spans="1:24" ht="15.75" outlineLevel="1" x14ac:dyDescent="0.25">
      <c r="A91" s="1"/>
      <c r="C91" s="24" t="s">
        <v>296</v>
      </c>
      <c r="D91" s="24" t="s">
        <v>291</v>
      </c>
      <c r="E91" s="24" t="s">
        <v>100</v>
      </c>
      <c r="F91" s="24" t="s">
        <v>11</v>
      </c>
      <c r="G91" s="170" cm="1">
        <f t="array" ref="G91">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0.18340000000000001</v>
      </c>
      <c r="H91" s="170" cm="1">
        <f t="array" ref="H91">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0.1542</v>
      </c>
      <c r="I91" s="170" cm="1">
        <f t="array" ref="I91">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0.17560000000000001</v>
      </c>
      <c r="J91" s="170" cm="1">
        <f t="array" ref="J91">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0.1578</v>
      </c>
      <c r="K91" s="170" cm="1">
        <f t="array" ref="K91">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0.159</v>
      </c>
      <c r="M91" s="45"/>
      <c r="N91" s="45"/>
      <c r="O91" s="24"/>
      <c r="P91" s="60" t="s">
        <v>11</v>
      </c>
      <c r="Q91" s="170" cm="1">
        <f t="array" ref="Q91">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0</v>
      </c>
      <c r="R91" s="170" cm="1">
        <f t="array" ref="R91">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0</v>
      </c>
      <c r="S91" s="170" cm="1">
        <f t="array" ref="S91">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0</v>
      </c>
      <c r="T91" s="170" cm="1">
        <f t="array" ref="T91">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0</v>
      </c>
      <c r="U91" s="170" cm="1">
        <f t="array" ref="U91">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0</v>
      </c>
    </row>
    <row r="92" spans="1:24" ht="15.75" outlineLevel="1" x14ac:dyDescent="0.25">
      <c r="A92" s="1"/>
    </row>
    <row r="93" spans="1:24" ht="15.75" outlineLevel="1" x14ac:dyDescent="0.25">
      <c r="A93" s="1"/>
      <c r="C93" s="30" t="s">
        <v>601</v>
      </c>
      <c r="H93" s="88"/>
      <c r="M93" s="30" t="s">
        <v>602</v>
      </c>
      <c r="R93" s="88"/>
      <c r="X93" s="79"/>
    </row>
    <row r="94" spans="1:24" ht="15.75" outlineLevel="2" x14ac:dyDescent="0.25">
      <c r="A94" s="1"/>
      <c r="C94" s="199" t="s">
        <v>340</v>
      </c>
      <c r="D94" s="199" t="s">
        <v>111</v>
      </c>
      <c r="E94" s="199" t="s">
        <v>99</v>
      </c>
      <c r="F94" s="44" t="s">
        <v>11</v>
      </c>
      <c r="G94" s="61" t="s">
        <v>277</v>
      </c>
      <c r="H94" s="61" t="s">
        <v>278</v>
      </c>
      <c r="I94" s="61" t="s">
        <v>279</v>
      </c>
      <c r="J94" s="61" t="s">
        <v>280</v>
      </c>
      <c r="K94" s="86" t="s">
        <v>281</v>
      </c>
      <c r="M94" s="199" t="s">
        <v>340</v>
      </c>
      <c r="N94" s="199" t="s">
        <v>111</v>
      </c>
      <c r="O94" s="199" t="s">
        <v>99</v>
      </c>
      <c r="P94" s="44" t="s">
        <v>11</v>
      </c>
      <c r="Q94" s="61" t="s">
        <v>277</v>
      </c>
      <c r="R94" s="61" t="s">
        <v>278</v>
      </c>
      <c r="S94" s="61" t="s">
        <v>279</v>
      </c>
      <c r="T94" s="61" t="s">
        <v>280</v>
      </c>
      <c r="U94" s="86" t="s">
        <v>281</v>
      </c>
    </row>
    <row r="95" spans="1:24" ht="15.75" outlineLevel="2" x14ac:dyDescent="0.25">
      <c r="A95" s="1"/>
      <c r="C95" s="24" t="s">
        <v>509</v>
      </c>
      <c r="D95" s="24" t="s">
        <v>118</v>
      </c>
      <c r="E95" s="24" t="s">
        <v>100</v>
      </c>
      <c r="F95" s="24" t="s">
        <v>11</v>
      </c>
      <c r="G95" s="63">
        <f>IF(SUMIFS(Calc_Rates!G$263:G$293,Calc_Rates!$C$263:$C$293,OP_Rates!$C95,Calc_Rates!$F$263:$F$293,OP_Rates!$E95)=0,"-",SUMIFS(Calc_Rates!G$263:G$293,Calc_Rates!$C$263:$C$293,OP_Rates!$C95,Calc_Rates!$F$263:$F$293,OP_Rates!$E95))</f>
        <v>1.1940616018401751</v>
      </c>
      <c r="H95" s="63">
        <f>IF(SUMIFS(Calc_Rates!H$263:H$293,Calc_Rates!$C$263:$C$293,OP_Rates!$C95,Calc_Rates!$F$263:$F$293,OP_Rates!$E95)=0,"-",SUMIFS(Calc_Rates!H$263:H$293,Calc_Rates!$C$263:$C$293,OP_Rates!$C95,Calc_Rates!$F$263:$F$293,OP_Rates!$E95))</f>
        <v>1.1128869650182571</v>
      </c>
      <c r="I95" s="63">
        <f>IF(SUMIFS(Calc_Rates!I$263:I$293,Calc_Rates!$C$263:$C$293,OP_Rates!$C95,Calc_Rates!$F$263:$F$293,OP_Rates!$E95)=0,"-",SUMIFS(Calc_Rates!I$263:I$293,Calc_Rates!$C$263:$C$293,OP_Rates!$C95,Calc_Rates!$F$263:$F$293,OP_Rates!$E95))</f>
        <v>1.0712690249634627</v>
      </c>
      <c r="J95" s="63">
        <f>IF(SUMIFS(Calc_Rates!J$263:J$293,Calc_Rates!$C$263:$C$293,OP_Rates!$C95,Calc_Rates!$F$263:$F$293,OP_Rates!$E95)=0,"-",SUMIFS(Calc_Rates!J$263:J$293,Calc_Rates!$C$263:$C$293,OP_Rates!$C95,Calc_Rates!$F$263:$F$293,OP_Rates!$E95))</f>
        <v>1.2680985845799009</v>
      </c>
      <c r="K95" s="63">
        <f>IF(SUMIFS(Calc_Rates!K$263:K$293,Calc_Rates!$C$263:$C$293,OP_Rates!$C95,Calc_Rates!$F$263:$F$293,OP_Rates!$E95)=0,"-",SUMIFS(Calc_Rates!K$263:K$293,Calc_Rates!$C$263:$C$293,OP_Rates!$C95,Calc_Rates!$F$263:$F$293,OP_Rates!$E95))</f>
        <v>1.0282609440867503</v>
      </c>
      <c r="M95" s="24" t="s">
        <v>509</v>
      </c>
      <c r="N95" s="24" t="s">
        <v>118</v>
      </c>
      <c r="O95" s="24" t="s">
        <v>101</v>
      </c>
      <c r="P95" s="24" t="s">
        <v>11</v>
      </c>
      <c r="Q95" s="63">
        <f>IF(SUMIFS(Calc_Rates!G$263:G$293,Calc_Rates!$C$263:$C$293,OP_Rates!$M95,Calc_Rates!$F$263:$F$293,OP_Rates!$O95)=0,"-",SUMIFS(Calc_Rates!G$263:G$293,Calc_Rates!$C$263:$C$293,OP_Rates!$M95,Calc_Rates!$F$263:$F$293,OP_Rates!$O95))</f>
        <v>1.1940616018401751</v>
      </c>
      <c r="R95" s="63">
        <f>IF(SUMIFS(Calc_Rates!H$263:H$293,Calc_Rates!$C$263:$C$293,OP_Rates!$M95,Calc_Rates!$F$263:$F$293,OP_Rates!$O95)=0,"-",SUMIFS(Calc_Rates!H$263:H$293,Calc_Rates!$C$263:$C$293,OP_Rates!$M95,Calc_Rates!$F$263:$F$293,OP_Rates!$O95))</f>
        <v>1.3366101570182571</v>
      </c>
      <c r="S95" s="63">
        <f>IF(SUMIFS(Calc_Rates!I$263:I$293,Calc_Rates!$C$263:$C$293,OP_Rates!$M95,Calc_Rates!$F$263:$F$293,OP_Rates!$O95)=0,"-",SUMIFS(Calc_Rates!I$263:I$293,Calc_Rates!$C$263:$C$293,OP_Rates!$M95,Calc_Rates!$F$263:$F$293,OP_Rates!$O95))</f>
        <v>1.2383096244155174</v>
      </c>
      <c r="T95" s="63">
        <f>IF(SUMIFS(Calc_Rates!J$263:J$293,Calc_Rates!$C$263:$C$293,OP_Rates!$M95,Calc_Rates!$F$263:$F$293,OP_Rates!$O95)=0,"-",SUMIFS(Calc_Rates!J$263:J$293,Calc_Rates!$C$263:$C$293,OP_Rates!$M95,Calc_Rates!$F$263:$F$293,OP_Rates!$O95))</f>
        <v>1.3959404085799008</v>
      </c>
      <c r="U95" s="63">
        <f>IF(SUMIFS(Calc_Rates!K$263:K$293,Calc_Rates!$C$263:$C$293,OP_Rates!$M95,Calc_Rates!$F$263:$F$293,OP_Rates!$O95)=0,"-",SUMIFS(Calc_Rates!K$263:K$293,Calc_Rates!$C$263:$C$293,OP_Rates!$M95,Calc_Rates!$F$263:$F$293,OP_Rates!$O95))</f>
        <v>1.1561027680867502</v>
      </c>
    </row>
    <row r="96" spans="1:24" ht="15.75" outlineLevel="2" x14ac:dyDescent="0.25">
      <c r="A96" s="1"/>
      <c r="C96" s="24" t="s">
        <v>230</v>
      </c>
      <c r="D96" s="24" t="s">
        <v>291</v>
      </c>
      <c r="E96" s="24" t="s">
        <v>100</v>
      </c>
      <c r="F96" s="24" t="s">
        <v>11</v>
      </c>
      <c r="G96" s="63">
        <f>IF(SUMIFS(Calc_Rates!G$307:G$385,Calc_Rates!$C$307:$C$385,OP_Rates!$C96&amp;" charge",Calc_Rates!$F$307:$F$385,OP_Rates!$E96)=0,"-",SUMIFS(Calc_Rates!G$307:G$385,Calc_Rates!$C$307:$C$385,OP_Rates!$C96&amp;" charge",Calc_Rates!$F$307:$F$385,OP_Rates!$E96))</f>
        <v>0.25823302380932078</v>
      </c>
      <c r="H96" s="63" t="str">
        <f>IF(SUMIFS(Calc_Rates!H$307:H$385,Calc_Rates!$C$307:$C$385,OP_Rates!$C96&amp;" charge",Calc_Rates!$F$307:$F$385,OP_Rates!$E96)=0,"-",SUMIFS(Calc_Rates!H$307:H$385,Calc_Rates!$C$307:$C$385,OP_Rates!$C96&amp;" charge",Calc_Rates!$F$307:$F$385,OP_Rates!$E96))</f>
        <v>-</v>
      </c>
      <c r="I96" s="63" t="str">
        <f>IF(SUMIFS(Calc_Rates!I$307:I$385,Calc_Rates!$C$307:$C$385,OP_Rates!$C96&amp;" charge",Calc_Rates!$F$307:$F$385,OP_Rates!$E96)=0,"-",SUMIFS(Calc_Rates!I$307:I$385,Calc_Rates!$C$307:$C$385,OP_Rates!$C96&amp;" charge",Calc_Rates!$F$307:$F$385,OP_Rates!$E96))</f>
        <v>-</v>
      </c>
      <c r="J96" s="63" t="str">
        <f>IF(SUMIFS(Calc_Rates!J$307:J$385,Calc_Rates!$C$307:$C$385,OP_Rates!$C96&amp;" charge",Calc_Rates!$F$307:$F$385,OP_Rates!$E96)=0,"-",SUMIFS(Calc_Rates!J$307:J$385,Calc_Rates!$C$307:$C$385,OP_Rates!$C96&amp;" charge",Calc_Rates!$F$307:$F$385,OP_Rates!$E96))</f>
        <v>-</v>
      </c>
      <c r="K96" s="63" t="str">
        <f>IF(SUMIFS(Calc_Rates!K$307:K$385,Calc_Rates!$C$307:$C$385,OP_Rates!$C96&amp;" charge",Calc_Rates!$F$307:$F$385,OP_Rates!$E96)=0,"-",SUMIFS(Calc_Rates!K$307:K$385,Calc_Rates!$C$307:$C$385,OP_Rates!$C96&amp;" charge",Calc_Rates!$F$307:$F$385,OP_Rates!$E96))</f>
        <v>-</v>
      </c>
      <c r="M96" s="24" t="s">
        <v>230</v>
      </c>
      <c r="N96" s="24" t="s">
        <v>291</v>
      </c>
      <c r="O96" s="24" t="s">
        <v>101</v>
      </c>
      <c r="P96" s="24" t="s">
        <v>11</v>
      </c>
      <c r="Q96" s="63">
        <f>IF(SUMIFS(Calc_Rates!G$307:G$385,Calc_Rates!$C$307:$C$385,OP_Rates!$M96&amp;" charge",Calc_Rates!$F$307:$F$385,OP_Rates!$O96)=0,"-",SUMIFS(Calc_Rates!G$307:G$385,Calc_Rates!$C$307:$C$385,OP_Rates!$M96&amp;" charge",Calc_Rates!$F$307:$F$385,OP_Rates!$O96))</f>
        <v>0.29496627233989919</v>
      </c>
      <c r="R96" s="63" t="str">
        <f>IF(SUMIFS(Calc_Rates!H$307:H$385,Calc_Rates!$C$307:$C$385,OP_Rates!$M96&amp;" charge",Calc_Rates!$F$307:$F$385,OP_Rates!$O96)=0,"-",SUMIFS(Calc_Rates!H$307:H$385,Calc_Rates!$C$307:$C$385,OP_Rates!$M96&amp;" charge",Calc_Rates!$F$307:$F$385,OP_Rates!$O96))</f>
        <v>-</v>
      </c>
      <c r="S96" s="63" t="str">
        <f>IF(SUMIFS(Calc_Rates!I$307:I$385,Calc_Rates!$C$307:$C$385,OP_Rates!$M96&amp;" charge",Calc_Rates!$F$307:$F$385,OP_Rates!$O96)=0,"-",SUMIFS(Calc_Rates!I$307:I$385,Calc_Rates!$C$307:$C$385,OP_Rates!$M96&amp;" charge",Calc_Rates!$F$307:$F$385,OP_Rates!$O96))</f>
        <v>-</v>
      </c>
      <c r="T96" s="63" t="str">
        <f>IF(SUMIFS(Calc_Rates!J$307:J$385,Calc_Rates!$C$307:$C$385,OP_Rates!$M96&amp;" charge",Calc_Rates!$F$307:$F$385,OP_Rates!$O96)=0,"-",SUMIFS(Calc_Rates!J$307:J$385,Calc_Rates!$C$307:$C$385,OP_Rates!$M96&amp;" charge",Calc_Rates!$F$307:$F$385,OP_Rates!$O96))</f>
        <v>-</v>
      </c>
      <c r="U96" s="63" t="str">
        <f>IF(SUMIFS(Calc_Rates!K$307:K$385,Calc_Rates!$C$307:$C$385,OP_Rates!$M96&amp;" charge",Calc_Rates!$F$307:$F$385,OP_Rates!$O96)=0,"-",SUMIFS(Calc_Rates!K$307:K$385,Calc_Rates!$C$307:$C$385,OP_Rates!$M96&amp;" charge",Calc_Rates!$F$307:$F$385,OP_Rates!$O96))</f>
        <v>-</v>
      </c>
    </row>
    <row r="97" spans="1:23" ht="15.75" outlineLevel="2" x14ac:dyDescent="0.25">
      <c r="A97" s="1"/>
      <c r="C97" s="24" t="s">
        <v>237</v>
      </c>
      <c r="D97" s="24" t="s">
        <v>291</v>
      </c>
      <c r="E97" s="24" t="s">
        <v>100</v>
      </c>
      <c r="F97" s="24" t="s">
        <v>11</v>
      </c>
      <c r="G97" s="63">
        <f>IF(SUMIFS(Calc_Rates!G$307:G$385,Calc_Rates!$C$307:$C$385,OP_Rates!$C97&amp;" charge",Calc_Rates!$F$307:$F$385,OP_Rates!$E97)=0,"-",SUMIFS(Calc_Rates!G$307:G$385,Calc_Rates!$C$307:$C$385,OP_Rates!$C97&amp;" charge",Calc_Rates!$F$307:$F$385,OP_Rates!$E97))</f>
        <v>0.27442204456932073</v>
      </c>
      <c r="H97" s="63" t="str">
        <f>IF(SUMIFS(Calc_Rates!H$307:H$385,Calc_Rates!$C$307:$C$385,OP_Rates!$C97&amp;" charge",Calc_Rates!$F$307:$F$385,OP_Rates!$E97)=0,"-",SUMIFS(Calc_Rates!H$307:H$385,Calc_Rates!$C$307:$C$385,OP_Rates!$C97&amp;" charge",Calc_Rates!$F$307:$F$385,OP_Rates!$E97))</f>
        <v>-</v>
      </c>
      <c r="I97" s="63" t="str">
        <f>IF(SUMIFS(Calc_Rates!I$307:I$385,Calc_Rates!$C$307:$C$385,OP_Rates!$C97&amp;" charge",Calc_Rates!$F$307:$F$385,OP_Rates!$E97)=0,"-",SUMIFS(Calc_Rates!I$307:I$385,Calc_Rates!$C$307:$C$385,OP_Rates!$C97&amp;" charge",Calc_Rates!$F$307:$F$385,OP_Rates!$E97))</f>
        <v>-</v>
      </c>
      <c r="J97" s="63" t="str">
        <f>IF(SUMIFS(Calc_Rates!J$307:J$385,Calc_Rates!$C$307:$C$385,OP_Rates!$C97&amp;" charge",Calc_Rates!$F$307:$F$385,OP_Rates!$E97)=0,"-",SUMIFS(Calc_Rates!J$307:J$385,Calc_Rates!$C$307:$C$385,OP_Rates!$C97&amp;" charge",Calc_Rates!$F$307:$F$385,OP_Rates!$E97))</f>
        <v>-</v>
      </c>
      <c r="K97" s="63" t="str">
        <f>IF(SUMIFS(Calc_Rates!K$307:K$385,Calc_Rates!$C$307:$C$385,OP_Rates!$C97&amp;" charge",Calc_Rates!$F$307:$F$385,OP_Rates!$E97)=0,"-",SUMIFS(Calc_Rates!K$307:K$385,Calc_Rates!$C$307:$C$385,OP_Rates!$C97&amp;" charge",Calc_Rates!$F$307:$F$385,OP_Rates!$E97))</f>
        <v>-</v>
      </c>
      <c r="M97" s="24" t="s">
        <v>237</v>
      </c>
      <c r="N97" s="24" t="s">
        <v>291</v>
      </c>
      <c r="O97" s="24" t="s">
        <v>101</v>
      </c>
      <c r="P97" s="24" t="s">
        <v>11</v>
      </c>
      <c r="Q97" s="63">
        <f>IF(SUMIFS(Calc_Rates!G$307:G$385,Calc_Rates!$C$307:$C$385,OP_Rates!$M97&amp;" charge",Calc_Rates!$F$307:$F$385,OP_Rates!$O97)=0,"-",SUMIFS(Calc_Rates!G$307:G$385,Calc_Rates!$C$307:$C$385,OP_Rates!$M97&amp;" charge",Calc_Rates!$F$307:$F$385,OP_Rates!$O97))</f>
        <v>0.3267879219798992</v>
      </c>
      <c r="R97" s="63" t="str">
        <f>IF(SUMIFS(Calc_Rates!H$307:H$385,Calc_Rates!$C$307:$C$385,OP_Rates!$M97&amp;" charge",Calc_Rates!$F$307:$F$385,OP_Rates!$O97)=0,"-",SUMIFS(Calc_Rates!H$307:H$385,Calc_Rates!$C$307:$C$385,OP_Rates!$M97&amp;" charge",Calc_Rates!$F$307:$F$385,OP_Rates!$O97))</f>
        <v>-</v>
      </c>
      <c r="S97" s="63" t="str">
        <f>IF(SUMIFS(Calc_Rates!I$307:I$385,Calc_Rates!$C$307:$C$385,OP_Rates!$M97&amp;" charge",Calc_Rates!$F$307:$F$385,OP_Rates!$O97)=0,"-",SUMIFS(Calc_Rates!I$307:I$385,Calc_Rates!$C$307:$C$385,OP_Rates!$M97&amp;" charge",Calc_Rates!$F$307:$F$385,OP_Rates!$O97))</f>
        <v>-</v>
      </c>
      <c r="T97" s="63" t="str">
        <f>IF(SUMIFS(Calc_Rates!J$307:J$385,Calc_Rates!$C$307:$C$385,OP_Rates!$M97&amp;" charge",Calc_Rates!$F$307:$F$385,OP_Rates!$O97)=0,"-",SUMIFS(Calc_Rates!J$307:J$385,Calc_Rates!$C$307:$C$385,OP_Rates!$M97&amp;" charge",Calc_Rates!$F$307:$F$385,OP_Rates!$O97))</f>
        <v>-</v>
      </c>
      <c r="U97" s="63" t="str">
        <f>IF(SUMIFS(Calc_Rates!K$307:K$385,Calc_Rates!$C$307:$C$385,OP_Rates!$M97&amp;" charge",Calc_Rates!$F$307:$F$385,OP_Rates!$O97)=0,"-",SUMIFS(Calc_Rates!K$307:K$385,Calc_Rates!$C$307:$C$385,OP_Rates!$M97&amp;" charge",Calc_Rates!$F$307:$F$385,OP_Rates!$O97))</f>
        <v>-</v>
      </c>
    </row>
    <row r="98" spans="1:23" outlineLevel="2" x14ac:dyDescent="0.25">
      <c r="C98" s="24" t="s">
        <v>508</v>
      </c>
      <c r="D98" s="24" t="s">
        <v>291</v>
      </c>
      <c r="E98" s="24" t="s">
        <v>100</v>
      </c>
      <c r="F98" s="24" t="s">
        <v>11</v>
      </c>
      <c r="G98" s="63" t="str">
        <f>IF(SUMIFS(Calc_Rates!G$307:G$385,Calc_Rates!$C$307:$C$385,OP_Rates!$C98&amp;" charge",Calc_Rates!$F$307:$F$385,OP_Rates!$E98)=0,"-",SUMIFS(Calc_Rates!G$307:G$385,Calc_Rates!$C$307:$C$385,OP_Rates!$C98&amp;" charge",Calc_Rates!$F$307:$F$385,OP_Rates!$E98))</f>
        <v>-</v>
      </c>
      <c r="H98" s="63">
        <f>IF(SUMIFS(Calc_Rates!H$307:H$385,Calc_Rates!$C$307:$C$385,OP_Rates!$C98&amp;" charge",Calc_Rates!$F$307:$F$385,OP_Rates!$E98)=0,"-",SUMIFS(Calc_Rates!H$307:H$385,Calc_Rates!$C$307:$C$385,OP_Rates!$C98&amp;" charge",Calc_Rates!$F$307:$F$385,OP_Rates!$E98))</f>
        <v>0.21049951424288196</v>
      </c>
      <c r="I98" s="63">
        <f>IF(SUMIFS(Calc_Rates!I$307:I$385,Calc_Rates!$C$307:$C$385,OP_Rates!$C98&amp;" charge",Calc_Rates!$F$307:$F$385,OP_Rates!$E98)=0,"-",SUMIFS(Calc_Rates!I$307:I$385,Calc_Rates!$C$307:$C$385,OP_Rates!$C98&amp;" charge",Calc_Rates!$F$307:$F$385,OP_Rates!$E98))</f>
        <v>0.22425868427313167</v>
      </c>
      <c r="J98" s="63">
        <f>IF(SUMIFS(Calc_Rates!J$307:J$385,Calc_Rates!$C$307:$C$385,OP_Rates!$C98&amp;" charge",Calc_Rates!$F$307:$F$385,OP_Rates!$E98)=0,"-",SUMIFS(Calc_Rates!J$307:J$385,Calc_Rates!$C$307:$C$385,OP_Rates!$C98&amp;" charge",Calc_Rates!$F$307:$F$385,OP_Rates!$E98))</f>
        <v>0.21678437815771656</v>
      </c>
      <c r="K98" s="63">
        <f>IF(SUMIFS(Calc_Rates!K$307:K$385,Calc_Rates!$C$307:$C$385,OP_Rates!$C98&amp;" charge",Calc_Rates!$F$307:$F$385,OP_Rates!$E98)=0,"-",SUMIFS(Calc_Rates!K$307:K$385,Calc_Rates!$C$307:$C$385,OP_Rates!$C98&amp;" charge",Calc_Rates!$F$307:$F$385,OP_Rates!$E98))</f>
        <v>0.21765322749005236</v>
      </c>
      <c r="M98" s="24" t="s">
        <v>508</v>
      </c>
      <c r="N98" s="24" t="s">
        <v>291</v>
      </c>
      <c r="O98" s="24" t="s">
        <v>101</v>
      </c>
      <c r="P98" s="24" t="s">
        <v>11</v>
      </c>
      <c r="Q98" s="63" t="str">
        <f>IF(SUMIFS(Calc_Rates!G$307:G$385,Calc_Rates!$C$307:$C$385,OP_Rates!$M98&amp;" charge",Calc_Rates!$F$307:$F$385,OP_Rates!$O98)=0,"-",SUMIFS(Calc_Rates!G$307:G$385,Calc_Rates!$C$307:$C$385,OP_Rates!$M98&amp;" charge",Calc_Rates!$F$307:$F$385,OP_Rates!$O98))</f>
        <v>-</v>
      </c>
      <c r="R98" s="63">
        <f>IF(SUMIFS(Calc_Rates!H$307:H$385,Calc_Rates!$C$307:$C$385,OP_Rates!$M98&amp;" charge",Calc_Rates!$F$307:$F$385,OP_Rates!$O98)=0,"-",SUMIFS(Calc_Rates!H$307:H$385,Calc_Rates!$C$307:$C$385,OP_Rates!$M98&amp;" charge",Calc_Rates!$F$307:$F$385,OP_Rates!$O98))</f>
        <v>0.20751383199490131</v>
      </c>
      <c r="S98" s="63">
        <f>IF(SUMIFS(Calc_Rates!I$307:I$385,Calc_Rates!$C$307:$C$385,OP_Rates!$M98&amp;" charge",Calc_Rates!$F$307:$F$385,OP_Rates!$O98)=0,"-",SUMIFS(Calc_Rates!I$307:I$385,Calc_Rates!$C$307:$C$385,OP_Rates!$M98&amp;" charge",Calc_Rates!$F$307:$F$385,OP_Rates!$O98))</f>
        <v>0.23924366871726979</v>
      </c>
      <c r="T98" s="63">
        <f>IF(SUMIFS(Calc_Rates!J$307:J$385,Calc_Rates!$C$307:$C$385,OP_Rates!$M98&amp;" charge",Calc_Rates!$F$307:$F$385,OP_Rates!$O98)=0,"-",SUMIFS(Calc_Rates!J$307:J$385,Calc_Rates!$C$307:$C$385,OP_Rates!$M98&amp;" charge",Calc_Rates!$F$307:$F$385,OP_Rates!$O98))</f>
        <v>0.21904541853424805</v>
      </c>
      <c r="U98" s="63">
        <f>IF(SUMIFS(Calc_Rates!K$307:K$385,Calc_Rates!$C$307:$C$385,OP_Rates!$M98&amp;" charge",Calc_Rates!$F$307:$F$385,OP_Rates!$O98)=0,"-",SUMIFS(Calc_Rates!K$307:K$385,Calc_Rates!$C$307:$C$385,OP_Rates!$M98&amp;" charge",Calc_Rates!$F$307:$F$385,OP_Rates!$O98))</f>
        <v>0.21593466334042918</v>
      </c>
    </row>
    <row r="99" spans="1:23" outlineLevel="2" x14ac:dyDescent="0.25">
      <c r="C99" s="24" t="s">
        <v>510</v>
      </c>
      <c r="D99" s="24" t="s">
        <v>118</v>
      </c>
      <c r="E99" s="24" t="s">
        <v>100</v>
      </c>
      <c r="F99" s="24" t="s">
        <v>11</v>
      </c>
      <c r="G99" s="63">
        <f>IF(SUMIFS(Calc_Rates!G$263:G$293,Calc_Rates!$C$263:$C$293,OP_Rates!$C99,Calc_Rates!$F$263:$F$293,OP_Rates!$E99)=0,"-",SUMIFS(Calc_Rates!G$263:G$293,Calc_Rates!$C$263:$C$293,OP_Rates!$C99,Calc_Rates!$F$263:$F$293,OP_Rates!$E99))</f>
        <v>1.1940616018401751</v>
      </c>
      <c r="H99" s="63">
        <f>IF(SUMIFS(Calc_Rates!H$263:H$293,Calc_Rates!$C$263:$C$293,OP_Rates!$C99,Calc_Rates!$F$263:$F$293,OP_Rates!$E99)=0,"-",SUMIFS(Calc_Rates!H$263:H$293,Calc_Rates!$C$263:$C$293,OP_Rates!$C99,Calc_Rates!$F$263:$F$293,OP_Rates!$E99))</f>
        <v>1.1128869650182571</v>
      </c>
      <c r="I99" s="63">
        <f>IF(SUMIFS(Calc_Rates!I$263:I$293,Calc_Rates!$C$263:$C$293,OP_Rates!$C99,Calc_Rates!$F$263:$F$293,OP_Rates!$E99)=0,"-",SUMIFS(Calc_Rates!I$263:I$293,Calc_Rates!$C$263:$C$293,OP_Rates!$C99,Calc_Rates!$F$263:$F$293,OP_Rates!$E99))</f>
        <v>1.0712690249634627</v>
      </c>
      <c r="J99" s="63">
        <f>IF(SUMIFS(Calc_Rates!J$263:J$293,Calc_Rates!$C$263:$C$293,OP_Rates!$C99,Calc_Rates!$F$263:$F$293,OP_Rates!$E99)=0,"-",SUMIFS(Calc_Rates!J$263:J$293,Calc_Rates!$C$263:$C$293,OP_Rates!$C99,Calc_Rates!$F$263:$F$293,OP_Rates!$E99))</f>
        <v>1.2680985845799009</v>
      </c>
      <c r="K99" s="63">
        <f>IF(SUMIFS(Calc_Rates!K$263:K$293,Calc_Rates!$C$263:$C$293,OP_Rates!$C99,Calc_Rates!$F$263:$F$293,OP_Rates!$E99)=0,"-",SUMIFS(Calc_Rates!K$263:K$293,Calc_Rates!$C$263:$C$293,OP_Rates!$C99,Calc_Rates!$F$263:$F$293,OP_Rates!$E99))</f>
        <v>1.0282609440867503</v>
      </c>
      <c r="M99" s="24" t="s">
        <v>510</v>
      </c>
      <c r="N99" s="24" t="s">
        <v>118</v>
      </c>
      <c r="O99" s="24" t="s">
        <v>101</v>
      </c>
      <c r="P99" s="24" t="s">
        <v>11</v>
      </c>
      <c r="Q99" s="63">
        <f>IF(SUMIFS(Calc_Rates!G$263:G$293,Calc_Rates!$C$263:$C$293,OP_Rates!$M99,Calc_Rates!$F$263:$F$293,OP_Rates!$O99)=0,"-",SUMIFS(Calc_Rates!G$263:G$293,Calc_Rates!$C$263:$C$293,OP_Rates!$M99,Calc_Rates!$F$263:$F$293,OP_Rates!$O99))</f>
        <v>1.1940616018401751</v>
      </c>
      <c r="R99" s="63">
        <f>IF(SUMIFS(Calc_Rates!H$263:H$293,Calc_Rates!$C$263:$C$293,OP_Rates!$M99,Calc_Rates!$F$263:$F$293,OP_Rates!$O99)=0,"-",SUMIFS(Calc_Rates!H$263:H$293,Calc_Rates!$C$263:$C$293,OP_Rates!$M99,Calc_Rates!$F$263:$F$293,OP_Rates!$O99))</f>
        <v>1.3366101570182571</v>
      </c>
      <c r="S99" s="63">
        <f>IF(SUMIFS(Calc_Rates!I$263:I$293,Calc_Rates!$C$263:$C$293,OP_Rates!$M99,Calc_Rates!$F$263:$F$293,OP_Rates!$O99)=0,"-",SUMIFS(Calc_Rates!I$263:I$293,Calc_Rates!$C$263:$C$293,OP_Rates!$M99,Calc_Rates!$F$263:$F$293,OP_Rates!$O99))</f>
        <v>1.5823550970730516</v>
      </c>
      <c r="T99" s="63">
        <f>IF(SUMIFS(Calc_Rates!J$263:J$293,Calc_Rates!$C$263:$C$293,OP_Rates!$M99,Calc_Rates!$F$263:$F$293,OP_Rates!$O99)=0,"-",SUMIFS(Calc_Rates!J$263:J$293,Calc_Rates!$C$263:$C$293,OP_Rates!$M99,Calc_Rates!$F$263:$F$293,OP_Rates!$O99))</f>
        <v>1.3959404085799008</v>
      </c>
      <c r="U99" s="63">
        <f>IF(SUMIFS(Calc_Rates!K$263:K$293,Calc_Rates!$C$263:$C$293,OP_Rates!$M99,Calc_Rates!$F$263:$F$293,OP_Rates!$O99)=0,"-",SUMIFS(Calc_Rates!K$263:K$293,Calc_Rates!$C$263:$C$293,OP_Rates!$M99,Calc_Rates!$F$263:$F$293,OP_Rates!$O99))</f>
        <v>1.1561027680867502</v>
      </c>
    </row>
    <row r="100" spans="1:23" outlineLevel="2" x14ac:dyDescent="0.25">
      <c r="C100" s="24" t="s">
        <v>239</v>
      </c>
      <c r="D100" s="24" t="s">
        <v>291</v>
      </c>
      <c r="E100" s="24" t="s">
        <v>100</v>
      </c>
      <c r="F100" s="24" t="s">
        <v>11</v>
      </c>
      <c r="G100" s="63">
        <f>IF(SUMIFS(Calc_Rates!G$307:G$385,Calc_Rates!$C$307:$C$385,OP_Rates!$C100&amp;" charge",Calc_Rates!$F$307:$F$385,OP_Rates!$E100)=0,"-",SUMIFS(Calc_Rates!G$307:G$385,Calc_Rates!$C$307:$C$385,OP_Rates!$C100&amp;" charge",Calc_Rates!$F$307:$F$385,OP_Rates!$E100))</f>
        <v>0.36791221056932072</v>
      </c>
      <c r="H100" s="63">
        <f>IF(SUMIFS(Calc_Rates!H$307:H$385,Calc_Rates!$C$307:$C$385,OP_Rates!$C100&amp;" charge",Calc_Rates!$F$307:$F$385,OP_Rates!$E100)=0,"-",SUMIFS(Calc_Rates!H$307:H$385,Calc_Rates!$C$307:$C$385,OP_Rates!$C100&amp;" charge",Calc_Rates!$F$307:$F$385,OP_Rates!$E100))</f>
        <v>0.30253163024288193</v>
      </c>
      <c r="I100" s="63">
        <f>IF(SUMIFS(Calc_Rates!I$307:I$385,Calc_Rates!$C$307:$C$385,OP_Rates!$C100&amp;" charge",Calc_Rates!$F$307:$F$385,OP_Rates!$E100)=0,"-",SUMIFS(Calc_Rates!I$307:I$385,Calc_Rates!$C$307:$C$385,OP_Rates!$C100&amp;" charge",Calc_Rates!$F$307:$F$385,OP_Rates!$E100))</f>
        <v>0.28050442107313167</v>
      </c>
      <c r="J100" s="63">
        <f>IF(SUMIFS(Calc_Rates!J$307:J$385,Calc_Rates!$C$307:$C$385,OP_Rates!$C100&amp;" charge",Calc_Rates!$F$307:$F$385,OP_Rates!$E100)=0,"-",SUMIFS(Calc_Rates!J$307:J$385,Calc_Rates!$C$307:$C$385,OP_Rates!$C100&amp;" charge",Calc_Rates!$F$307:$F$385,OP_Rates!$E100))</f>
        <v>0.30683354615771652</v>
      </c>
      <c r="K100" s="63">
        <f>IF(SUMIFS(Calc_Rates!K$307:K$385,Calc_Rates!$C$307:$C$385,OP_Rates!$C100&amp;" charge",Calc_Rates!$F$307:$F$385,OP_Rates!$E100)=0,"-",SUMIFS(Calc_Rates!K$307:K$385,Calc_Rates!$C$307:$C$385,OP_Rates!$C100&amp;" charge",Calc_Rates!$F$307:$F$385,OP_Rates!$E100))</f>
        <v>0.30863554749005234</v>
      </c>
      <c r="M100" s="24" t="s">
        <v>239</v>
      </c>
      <c r="N100" s="24" t="s">
        <v>291</v>
      </c>
      <c r="O100" s="24" t="s">
        <v>101</v>
      </c>
      <c r="P100" s="24" t="s">
        <v>11</v>
      </c>
      <c r="Q100" s="63">
        <f>IF(SUMIFS(Calc_Rates!G$307:G$385,Calc_Rates!$C$307:$C$385,OP_Rates!$M100&amp;" charge",Calc_Rates!$F$307:$F$385,OP_Rates!$O100)=0,"-",SUMIFS(Calc_Rates!G$307:G$385,Calc_Rates!$C$307:$C$385,OP_Rates!$M100&amp;" charge",Calc_Rates!$F$307:$F$385,OP_Rates!$O100))</f>
        <v>0.31794630677989932</v>
      </c>
      <c r="R100" s="63">
        <f>IF(SUMIFS(Calc_Rates!H$307:H$385,Calc_Rates!$C$307:$C$385,OP_Rates!$M100&amp;" charge",Calc_Rates!$F$307:$F$385,OP_Rates!$O100)=0,"-",SUMIFS(Calc_Rates!H$307:H$385,Calc_Rates!$C$307:$C$385,OP_Rates!$M100&amp;" charge",Calc_Rates!$F$307:$F$385,OP_Rates!$O100))</f>
        <v>0.26361959599490126</v>
      </c>
      <c r="S100" s="63">
        <f>IF(SUMIFS(Calc_Rates!I$307:I$385,Calc_Rates!$C$307:$C$385,OP_Rates!$M100&amp;" charge",Calc_Rates!$F$307:$F$385,OP_Rates!$O100)=0,"-",SUMIFS(Calc_Rates!I$307:I$385,Calc_Rates!$C$307:$C$385,OP_Rates!$M100&amp;" charge",Calc_Rates!$F$307:$F$385,OP_Rates!$O100))</f>
        <v>0.27841272391726979</v>
      </c>
      <c r="T100" s="63">
        <f>IF(SUMIFS(Calc_Rates!J$307:J$385,Calc_Rates!$C$307:$C$385,OP_Rates!$M100&amp;" charge",Calc_Rates!$F$307:$F$385,OP_Rates!$O100)=0,"-",SUMIFS(Calc_Rates!J$307:J$385,Calc_Rates!$C$307:$C$385,OP_Rates!$M100&amp;" charge",Calc_Rates!$F$307:$F$385,OP_Rates!$O100))</f>
        <v>0.28273304253424808</v>
      </c>
      <c r="U100" s="63">
        <f>IF(SUMIFS(Calc_Rates!K$307:K$385,Calc_Rates!$C$307:$C$385,OP_Rates!$M100&amp;" charge",Calc_Rates!$F$307:$F$385,OP_Rates!$O100)=0,"-",SUMIFS(Calc_Rates!K$307:K$385,Calc_Rates!$C$307:$C$385,OP_Rates!$M100&amp;" charge",Calc_Rates!$F$307:$F$385,OP_Rates!$O100))</f>
        <v>0.27658954334042918</v>
      </c>
    </row>
    <row r="101" spans="1:23" outlineLevel="2" x14ac:dyDescent="0.25">
      <c r="C101" s="24" t="s">
        <v>538</v>
      </c>
      <c r="D101" s="24" t="s">
        <v>291</v>
      </c>
      <c r="E101" s="24" t="s">
        <v>100</v>
      </c>
      <c r="F101" s="24" t="s">
        <v>11</v>
      </c>
      <c r="G101" s="63">
        <f>IF(SUMIFS(Calc_Rates!G$307:G$385,Calc_Rates!$C$307:$C$385,OP_Rates!$C101&amp;" charge",Calc_Rates!$F$307:$F$385,OP_Rates!$E101)=0,"-",SUMIFS(Calc_Rates!G$307:G$385,Calc_Rates!$C$307:$C$385,OP_Rates!$C101&amp;" charge",Calc_Rates!$F$307:$F$385,OP_Rates!$E101))</f>
        <v>0.17531780284932075</v>
      </c>
      <c r="H101" s="63">
        <f>IF(SUMIFS(Calc_Rates!H$307:H$385,Calc_Rates!$C$307:$C$385,OP_Rates!$C101&amp;" charge",Calc_Rates!$F$307:$F$385,OP_Rates!$E101)=0,"-",SUMIFS(Calc_Rates!H$307:H$385,Calc_Rates!$C$307:$C$385,OP_Rates!$C101&amp;" charge",Calc_Rates!$F$307:$F$385,OP_Rates!$E101))</f>
        <v>0.16302540624288198</v>
      </c>
      <c r="I101" s="63">
        <f>IF(SUMIFS(Calc_Rates!I$307:I$385,Calc_Rates!$C$307:$C$385,OP_Rates!$C101&amp;" charge",Calc_Rates!$F$307:$F$385,OP_Rates!$E101)=0,"-",SUMIFS(Calc_Rates!I$307:I$385,Calc_Rates!$C$307:$C$385,OP_Rates!$C101&amp;" charge",Calc_Rates!$F$307:$F$385,OP_Rates!$E101))</f>
        <v>0.16850285227313166</v>
      </c>
      <c r="J101" s="63">
        <f>IF(SUMIFS(Calc_Rates!J$307:J$385,Calc_Rates!$C$307:$C$385,OP_Rates!$C101&amp;" charge",Calc_Rates!$F$307:$F$385,OP_Rates!$E101)=0,"-",SUMIFS(Calc_Rates!J$307:J$385,Calc_Rates!$C$307:$C$385,OP_Rates!$C101&amp;" charge",Calc_Rates!$F$307:$F$385,OP_Rates!$E101))</f>
        <v>0.16791054215771656</v>
      </c>
      <c r="K101" s="63">
        <f>IF(SUMIFS(Calc_Rates!K$307:K$385,Calc_Rates!$C$307:$C$385,OP_Rates!$C101&amp;" charge",Calc_Rates!$F$307:$F$385,OP_Rates!$E101)=0,"-",SUMIFS(Calc_Rates!K$307:K$385,Calc_Rates!$C$307:$C$385,OP_Rates!$C101&amp;" charge",Calc_Rates!$F$307:$F$385,OP_Rates!$E101))</f>
        <v>0.17052905149005237</v>
      </c>
      <c r="M101" s="24" t="s">
        <v>538</v>
      </c>
      <c r="N101" s="24" t="s">
        <v>291</v>
      </c>
      <c r="O101" s="24" t="s">
        <v>101</v>
      </c>
      <c r="P101" s="24" t="s">
        <v>11</v>
      </c>
      <c r="Q101" s="63">
        <f>IF(SUMIFS(Calc_Rates!G$307:G$385,Calc_Rates!$C$307:$C$385,OP_Rates!$M101&amp;" charge",Calc_Rates!$F$307:$F$385,OP_Rates!$O101)=0,"-",SUMIFS(Calc_Rates!G$307:G$385,Calc_Rates!$C$307:$C$385,OP_Rates!$M101&amp;" charge",Calc_Rates!$F$307:$F$385,OP_Rates!$O101))</f>
        <v>0.16347349113989923</v>
      </c>
      <c r="R101" s="63">
        <f>IF(SUMIFS(Calc_Rates!H$307:H$385,Calc_Rates!$C$307:$C$385,OP_Rates!$M101&amp;" charge",Calc_Rates!$F$307:$F$385,OP_Rates!$O101)=0,"-",SUMIFS(Calc_Rates!H$307:H$385,Calc_Rates!$C$307:$C$385,OP_Rates!$M101&amp;" charge",Calc_Rates!$F$307:$F$385,OP_Rates!$O101))</f>
        <v>0.1454592239949013</v>
      </c>
      <c r="S101" s="63">
        <f>IF(SUMIFS(Calc_Rates!I$307:I$385,Calc_Rates!$C$307:$C$385,OP_Rates!$M101&amp;" charge",Calc_Rates!$F$307:$F$385,OP_Rates!$O101)=0,"-",SUMIFS(Calc_Rates!I$307:I$385,Calc_Rates!$C$307:$C$385,OP_Rates!$M101&amp;" charge",Calc_Rates!$F$307:$F$385,OP_Rates!$O101))</f>
        <v>0.1468499563172698</v>
      </c>
      <c r="T101" s="63">
        <f>IF(SUMIFS(Calc_Rates!J$307:J$385,Calc_Rates!$C$307:$C$385,OP_Rates!$M101&amp;" charge",Calc_Rates!$F$307:$F$385,OP_Rates!$O101)=0,"-",SUMIFS(Calc_Rates!J$307:J$385,Calc_Rates!$C$307:$C$385,OP_Rates!$M101&amp;" charge",Calc_Rates!$F$307:$F$385,OP_Rates!$O101))</f>
        <v>0.14894237453424808</v>
      </c>
      <c r="U101" s="63">
        <f>IF(SUMIFS(Calc_Rates!K$307:K$385,Calc_Rates!$C$307:$C$385,OP_Rates!$M101&amp;" charge",Calc_Rates!$F$307:$F$385,OP_Rates!$O101)=0,"-",SUMIFS(Calc_Rates!K$307:K$385,Calc_Rates!$C$307:$C$385,OP_Rates!$M101&amp;" charge",Calc_Rates!$F$307:$F$385,OP_Rates!$O101))</f>
        <v>0.14968087134042918</v>
      </c>
    </row>
    <row r="102" spans="1:23" outlineLevel="2" x14ac:dyDescent="0.25">
      <c r="C102" s="24" t="s">
        <v>296</v>
      </c>
      <c r="D102" s="24" t="s">
        <v>291</v>
      </c>
      <c r="E102" s="24" t="s">
        <v>100</v>
      </c>
      <c r="F102" s="24" t="s">
        <v>11</v>
      </c>
      <c r="G102" s="63">
        <f>IF(SUMIFS(Calc_Rates!G$307:G$385,Calc_Rates!$C$307:$C$385,OP_Rates!$C102&amp;" charge",Calc_Rates!$F$307:$F$385,OP_Rates!$E102)=0,"-",SUMIFS(Calc_Rates!G$307:G$385,Calc_Rates!$C$307:$C$385,OP_Rates!$C102&amp;" charge",Calc_Rates!$F$307:$F$385,OP_Rates!$E102))</f>
        <v>0.17438931660932072</v>
      </c>
      <c r="H102" s="63">
        <f>IF(SUMIFS(Calc_Rates!H$307:H$385,Calc_Rates!$C$307:$C$385,OP_Rates!$C102&amp;" charge",Calc_Rates!$F$307:$F$385,OP_Rates!$E102)=0,"-",SUMIFS(Calc_Rates!H$307:H$385,Calc_Rates!$C$307:$C$385,OP_Rates!$C102&amp;" charge",Calc_Rates!$F$307:$F$385,OP_Rates!$E102))</f>
        <v>0.14541216224288195</v>
      </c>
      <c r="I102" s="63">
        <f>IF(SUMIFS(Calc_Rates!I$307:I$385,Calc_Rates!$C$307:$C$385,OP_Rates!$C102&amp;" charge",Calc_Rates!$F$307:$F$385,OP_Rates!$E102)=0,"-",SUMIFS(Calc_Rates!I$307:I$385,Calc_Rates!$C$307:$C$385,OP_Rates!$C102&amp;" charge",Calc_Rates!$F$307:$F$385,OP_Rates!$E102))</f>
        <v>0.16510851187313164</v>
      </c>
      <c r="J102" s="63">
        <f>IF(SUMIFS(Calc_Rates!J$307:J$385,Calc_Rates!$C$307:$C$385,OP_Rates!$C102&amp;" charge",Calc_Rates!$F$307:$F$385,OP_Rates!$E102)=0,"-",SUMIFS(Calc_Rates!J$307:J$385,Calc_Rates!$C$307:$C$385,OP_Rates!$C102&amp;" charge",Calc_Rates!$F$307:$F$385,OP_Rates!$E102))</f>
        <v>0.14959743415771656</v>
      </c>
      <c r="K102" s="63">
        <f>IF(SUMIFS(Calc_Rates!K$307:K$385,Calc_Rates!$C$307:$C$385,OP_Rates!$C102&amp;" charge",Calc_Rates!$F$307:$F$385,OP_Rates!$E102)=0,"-",SUMIFS(Calc_Rates!K$307:K$385,Calc_Rates!$C$307:$C$385,OP_Rates!$C102&amp;" charge",Calc_Rates!$F$307:$F$385,OP_Rates!$E102))</f>
        <v>0.14976641949005237</v>
      </c>
      <c r="M102" s="24"/>
      <c r="N102" s="24"/>
      <c r="O102" s="24"/>
      <c r="P102" s="24" t="s">
        <v>11</v>
      </c>
      <c r="Q102" s="63"/>
      <c r="R102" s="63"/>
      <c r="S102" s="63"/>
      <c r="T102" s="63"/>
      <c r="U102" s="63"/>
    </row>
    <row r="103" spans="1:23" outlineLevel="1" x14ac:dyDescent="0.25"/>
    <row r="104" spans="1:23" ht="15.75" outlineLevel="1" x14ac:dyDescent="0.25">
      <c r="C104" s="30" t="s">
        <v>600</v>
      </c>
      <c r="M104" s="30" t="s">
        <v>603</v>
      </c>
    </row>
    <row r="105" spans="1:23" ht="15.75" outlineLevel="2" x14ac:dyDescent="0.25">
      <c r="C105" s="199" t="s">
        <v>340</v>
      </c>
      <c r="D105" s="199" t="s">
        <v>111</v>
      </c>
      <c r="E105" s="199" t="s">
        <v>99</v>
      </c>
      <c r="F105" s="44" t="s">
        <v>53</v>
      </c>
      <c r="G105" s="61" t="s">
        <v>277</v>
      </c>
      <c r="H105" s="61" t="s">
        <v>278</v>
      </c>
      <c r="I105" s="61" t="s">
        <v>279</v>
      </c>
      <c r="J105" s="61" t="s">
        <v>280</v>
      </c>
      <c r="K105" s="86" t="s">
        <v>281</v>
      </c>
      <c r="M105" s="199" t="s">
        <v>340</v>
      </c>
      <c r="N105" s="199" t="s">
        <v>111</v>
      </c>
      <c r="O105" s="199" t="s">
        <v>99</v>
      </c>
      <c r="P105" s="44" t="s">
        <v>53</v>
      </c>
      <c r="Q105" s="61" t="s">
        <v>277</v>
      </c>
      <c r="R105" s="61" t="s">
        <v>278</v>
      </c>
      <c r="S105" s="61" t="s">
        <v>279</v>
      </c>
      <c r="T105" s="61" t="s">
        <v>280</v>
      </c>
      <c r="U105" s="86" t="s">
        <v>281</v>
      </c>
    </row>
    <row r="106" spans="1:23" outlineLevel="2" x14ac:dyDescent="0.25">
      <c r="C106" s="60" t="s">
        <v>515</v>
      </c>
      <c r="D106" s="60" t="s">
        <v>118</v>
      </c>
      <c r="E106" s="60" t="s">
        <v>100</v>
      </c>
      <c r="F106" s="60" t="s">
        <v>130</v>
      </c>
      <c r="G106" s="200" cm="1">
        <f t="array" ref="G106">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6.5942940910810238E-2</v>
      </c>
      <c r="H106" s="200" cm="1">
        <f t="array" ref="H106">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8.9431863759251856E-2</v>
      </c>
      <c r="I106" s="200" cm="1">
        <f t="array" ref="I106">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7.7831933455424371E-2</v>
      </c>
      <c r="J106" s="200" cm="1">
        <f t="array" ref="J106">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7.7818093461869797E-2</v>
      </c>
      <c r="K106" s="200" cm="1">
        <f t="array" ref="K106">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3.5126537362516849E-2</v>
      </c>
      <c r="M106" s="60" t="s">
        <v>515</v>
      </c>
      <c r="N106" s="60" t="s">
        <v>118</v>
      </c>
      <c r="O106" s="60" t="s">
        <v>101</v>
      </c>
      <c r="P106" s="60" t="s">
        <v>130</v>
      </c>
      <c r="Q106" s="200" cm="1">
        <f t="array" ref="Q106">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0.14155426304843055</v>
      </c>
      <c r="R106" s="200" cm="1">
        <f t="array" ref="R106">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5.0997769858831137E-2</v>
      </c>
      <c r="S106" s="200" cm="1">
        <f t="array" ref="S106">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0.14652115442345531</v>
      </c>
      <c r="T106" s="200" cm="1">
        <f t="array" ref="T106">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6.5334232735095366E-2</v>
      </c>
      <c r="U106" s="200" cm="1">
        <f t="array" ref="U106">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-4.0499060250920585E-3</v>
      </c>
    </row>
    <row r="107" spans="1:23" outlineLevel="2" x14ac:dyDescent="0.25">
      <c r="C107" s="60" t="s">
        <v>516</v>
      </c>
      <c r="D107" s="60" t="s">
        <v>118</v>
      </c>
      <c r="E107" s="60" t="s">
        <v>100</v>
      </c>
      <c r="F107" s="60" t="s">
        <v>130</v>
      </c>
      <c r="G107" s="200" cm="1">
        <f t="array" ref="G107">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-3.5347295640949759E-2</v>
      </c>
      <c r="H107" s="200" cm="1">
        <f t="array" ref="H107">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8.191292949868044E-2</v>
      </c>
      <c r="I107" s="200" cm="1">
        <f t="array" ref="I107">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-2.0508647156825287E-2</v>
      </c>
      <c r="J107" s="200" cm="1">
        <f t="array" ref="J107">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6.1968521810324292E-2</v>
      </c>
      <c r="K107" s="200" cm="1">
        <f t="array" ref="K107">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2.7021712120602229E-2</v>
      </c>
      <c r="M107" s="60" t="s">
        <v>516</v>
      </c>
      <c r="N107" s="60" t="s">
        <v>118</v>
      </c>
      <c r="O107" s="60" t="s">
        <v>101</v>
      </c>
      <c r="P107" s="60" t="s">
        <v>130</v>
      </c>
      <c r="Q107" s="200" cm="1">
        <f t="array" ref="Q107">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-0.32925474284111511</v>
      </c>
      <c r="R107" s="200" cm="1">
        <f t="array" ref="R107">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2.0161263023850056E-2</v>
      </c>
      <c r="S107" s="200" cm="1">
        <f t="array" ref="S107">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5.7153640043026116E-2</v>
      </c>
      <c r="T107" s="200" cm="1">
        <f t="array" ref="T107">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3.1607073842049929E-2</v>
      </c>
      <c r="U107" s="200" cm="1">
        <f t="array" ref="U107">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-3.4237314344040502E-2</v>
      </c>
      <c r="W107" s="79"/>
    </row>
    <row r="108" spans="1:23" outlineLevel="2" x14ac:dyDescent="0.25">
      <c r="C108" s="60" t="s">
        <v>296</v>
      </c>
      <c r="D108" s="60" t="s">
        <v>291</v>
      </c>
      <c r="E108" s="60" t="s">
        <v>100</v>
      </c>
      <c r="F108" s="60" t="s">
        <v>130</v>
      </c>
      <c r="G108" s="200" cm="1">
        <f t="array" ref="G108">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2.3791062236162628E-3</v>
      </c>
      <c r="H108" s="200" cm="1">
        <f t="array" ref="H108">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2.2539525429423595E-3</v>
      </c>
      <c r="I108" s="200" cm="1">
        <f t="array" ref="I108">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4.0511831232358702E-3</v>
      </c>
      <c r="J108" s="200" cm="1">
        <f t="array" ref="J108">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1.4828635150936562E-3</v>
      </c>
      <c r="K108" s="200" cm="1">
        <f t="array" ref="K108">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2.6098397865648355E-3</v>
      </c>
      <c r="M108" s="198"/>
      <c r="N108" s="198"/>
      <c r="O108" s="198"/>
      <c r="P108" s="198"/>
      <c r="Q108" s="200" t="str" cm="1">
        <f t="array" ref="Q108">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v>
      </c>
      <c r="R108" s="200" t="str" cm="1">
        <f t="array" ref="R108">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v>
      </c>
      <c r="S108" s="200" t="str" cm="1">
        <f t="array" ref="S108">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v>
      </c>
      <c r="T108" s="200" t="str" cm="1">
        <f t="array" ref="T108">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v>
      </c>
      <c r="U108" s="200" t="str" cm="1">
        <f t="array" ref="U108">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v>
      </c>
    </row>
    <row r="109" spans="1:23" outlineLevel="2" x14ac:dyDescent="0.25">
      <c r="C109" s="60" t="s">
        <v>230</v>
      </c>
      <c r="D109" s="60" t="s">
        <v>291</v>
      </c>
      <c r="E109" s="60" t="s">
        <v>100</v>
      </c>
      <c r="F109" s="60" t="s">
        <v>160</v>
      </c>
      <c r="G109" s="200" cm="1">
        <f t="array" ref="G109">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6.66713910181736E-3</v>
      </c>
      <c r="H109" s="200" cm="1">
        <f t="array" ref="H109">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0</v>
      </c>
      <c r="I109" s="200" cm="1">
        <f t="array" ref="I109">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0</v>
      </c>
      <c r="J109" s="200" cm="1">
        <f t="array" ref="J109">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0</v>
      </c>
      <c r="K109" s="200" cm="1">
        <f t="array" ref="K109">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0</v>
      </c>
      <c r="M109" s="60" t="s">
        <v>230</v>
      </c>
      <c r="N109" s="60" t="s">
        <v>291</v>
      </c>
      <c r="O109" s="60" t="s">
        <v>101</v>
      </c>
      <c r="P109" s="60" t="s">
        <v>160</v>
      </c>
      <c r="Q109" s="200" cm="1">
        <f t="array" ref="Q109">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6.66713910181736E-3</v>
      </c>
      <c r="R109" s="200" cm="1">
        <f t="array" ref="R109">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0</v>
      </c>
      <c r="S109" s="200" cm="1">
        <f t="array" ref="S109">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0</v>
      </c>
      <c r="T109" s="200" cm="1">
        <f t="array" ref="T109">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0</v>
      </c>
      <c r="U109" s="200" cm="1">
        <f t="array" ref="U109">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0</v>
      </c>
    </row>
    <row r="110" spans="1:23" outlineLevel="2" x14ac:dyDescent="0.25">
      <c r="C110" s="60" t="s">
        <v>237</v>
      </c>
      <c r="D110" s="60" t="s">
        <v>291</v>
      </c>
      <c r="E110" s="60" t="s">
        <v>100</v>
      </c>
      <c r="F110" s="60" t="s">
        <v>160</v>
      </c>
      <c r="G110" s="200" cm="1">
        <f t="array" ref="G110">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6.66713910181736E-3</v>
      </c>
      <c r="H110" s="200" cm="1">
        <f t="array" ref="H110">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0</v>
      </c>
      <c r="I110" s="200" cm="1">
        <f t="array" ref="I110">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0</v>
      </c>
      <c r="J110" s="200" cm="1">
        <f t="array" ref="J110">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0</v>
      </c>
      <c r="K110" s="200" cm="1">
        <f t="array" ref="K110">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0</v>
      </c>
      <c r="M110" s="60" t="s">
        <v>237</v>
      </c>
      <c r="N110" s="60" t="s">
        <v>291</v>
      </c>
      <c r="O110" s="60" t="s">
        <v>101</v>
      </c>
      <c r="P110" s="60" t="s">
        <v>160</v>
      </c>
      <c r="Q110" s="200" cm="1">
        <f t="array" ref="Q110">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6.66713910181736E-3</v>
      </c>
      <c r="R110" s="200" cm="1">
        <f t="array" ref="R110">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0</v>
      </c>
      <c r="S110" s="200" cm="1">
        <f t="array" ref="S110">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0</v>
      </c>
      <c r="T110" s="200" cm="1">
        <f t="array" ref="T110">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0</v>
      </c>
      <c r="U110" s="200" cm="1">
        <f t="array" ref="U110">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0</v>
      </c>
    </row>
    <row r="111" spans="1:23" outlineLevel="2" x14ac:dyDescent="0.25">
      <c r="C111" s="60" t="s">
        <v>508</v>
      </c>
      <c r="D111" s="60" t="s">
        <v>291</v>
      </c>
      <c r="E111" s="60" t="s">
        <v>100</v>
      </c>
      <c r="F111" s="60" t="s">
        <v>160</v>
      </c>
      <c r="G111" s="200" cm="1">
        <f t="array" ref="G11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0</v>
      </c>
      <c r="H111" s="200" cm="1">
        <f t="array" ref="H11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6.5518983001313221E-3</v>
      </c>
      <c r="I111" s="200" cm="1">
        <f t="array" ref="I11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6.4834552967827147E-3</v>
      </c>
      <c r="J111" s="200" cm="1">
        <f t="array" ref="J11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6.6923795662660671E-3</v>
      </c>
      <c r="K111" s="200" cm="1">
        <f t="array" ref="K11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6.5757968919376237E-3</v>
      </c>
      <c r="M111" s="60" t="s">
        <v>508</v>
      </c>
      <c r="N111" s="60" t="s">
        <v>291</v>
      </c>
      <c r="O111" s="60" t="s">
        <v>101</v>
      </c>
      <c r="P111" s="60" t="s">
        <v>160</v>
      </c>
      <c r="Q111" s="200" cm="1">
        <f t="array" ref="Q11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0</v>
      </c>
      <c r="R111" s="200" cm="1">
        <f t="array" ref="R11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6.5518983001313221E-3</v>
      </c>
      <c r="S111" s="200" cm="1">
        <f t="array" ref="S11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6.4834552967827147E-3</v>
      </c>
      <c r="T111" s="200" cm="1">
        <f t="array" ref="T11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6.6923795662660671E-3</v>
      </c>
      <c r="U111" s="200" cm="1">
        <f t="array" ref="U11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6.5757968919376237E-3</v>
      </c>
    </row>
    <row r="112" spans="1:23" outlineLevel="2" x14ac:dyDescent="0.25">
      <c r="C112" s="60" t="s">
        <v>239</v>
      </c>
      <c r="D112" s="60" t="s">
        <v>291</v>
      </c>
      <c r="E112" s="60" t="s">
        <v>100</v>
      </c>
      <c r="F112" s="60" t="s">
        <v>160</v>
      </c>
      <c r="G112" s="200" cm="1">
        <f t="array" ref="G112">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6.66713910181736E-3</v>
      </c>
      <c r="H112" s="200" cm="1">
        <f t="array" ref="H112">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6.5518983001313221E-3</v>
      </c>
      <c r="I112" s="200" cm="1">
        <f t="array" ref="I112">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6.4834552967827147E-3</v>
      </c>
      <c r="J112" s="200" cm="1">
        <f t="array" ref="J112">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6.6923795662660671E-3</v>
      </c>
      <c r="K112" s="200" cm="1">
        <f t="array" ref="K112">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6.5757968919376237E-3</v>
      </c>
      <c r="M112" s="60" t="s">
        <v>239</v>
      </c>
      <c r="N112" s="60" t="s">
        <v>291</v>
      </c>
      <c r="O112" s="60" t="s">
        <v>101</v>
      </c>
      <c r="P112" s="60" t="s">
        <v>160</v>
      </c>
      <c r="Q112" s="200" cm="1">
        <f t="array" ref="Q112">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6.66713910181736E-3</v>
      </c>
      <c r="R112" s="200" cm="1">
        <f t="array" ref="R112">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6.5518983001313221E-3</v>
      </c>
      <c r="S112" s="200" cm="1">
        <f t="array" ref="S112">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6.4834552967827147E-3</v>
      </c>
      <c r="T112" s="200" cm="1">
        <f t="array" ref="T112">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6.6923795662660671E-3</v>
      </c>
      <c r="U112" s="200" cm="1">
        <f t="array" ref="U112">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6.5757968919376237E-3</v>
      </c>
    </row>
    <row r="113" spans="3:21" outlineLevel="2" x14ac:dyDescent="0.25">
      <c r="C113" s="60" t="s">
        <v>538</v>
      </c>
      <c r="D113" s="60" t="s">
        <v>291</v>
      </c>
      <c r="E113" s="60" t="s">
        <v>100</v>
      </c>
      <c r="F113" s="60" t="s">
        <v>160</v>
      </c>
      <c r="G113" s="200" cm="1">
        <f t="array" ref="G113">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6.66713910181736E-3</v>
      </c>
      <c r="H113" s="200" cm="1">
        <f t="array" ref="H113">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6.5518983001313221E-3</v>
      </c>
      <c r="I113" s="200" cm="1">
        <f t="array" ref="I113">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6.4834552967827147E-3</v>
      </c>
      <c r="J113" s="200" cm="1">
        <f t="array" ref="J113">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6.6923795662660671E-3</v>
      </c>
      <c r="K113" s="200" cm="1">
        <f t="array" ref="K113">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6.5757968919376237E-3</v>
      </c>
      <c r="M113" s="60" t="s">
        <v>538</v>
      </c>
      <c r="N113" s="60" t="s">
        <v>291</v>
      </c>
      <c r="O113" s="60" t="s">
        <v>101</v>
      </c>
      <c r="P113" s="60" t="s">
        <v>160</v>
      </c>
      <c r="Q113" s="200" cm="1">
        <f t="array" ref="Q113">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6.66713910181736E-3</v>
      </c>
      <c r="R113" s="200" cm="1">
        <f t="array" ref="R113">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6.5518983001313221E-3</v>
      </c>
      <c r="S113" s="200" cm="1">
        <f t="array" ref="S113">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6.4834552967827147E-3</v>
      </c>
      <c r="T113" s="200" cm="1">
        <f t="array" ref="T113">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6.6923795662660671E-3</v>
      </c>
      <c r="U113" s="200" cm="1">
        <f t="array" ref="U113">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6.5757968919376237E-3</v>
      </c>
    </row>
    <row r="114" spans="3:21" outlineLevel="2" x14ac:dyDescent="0.25">
      <c r="C114" s="60" t="s">
        <v>296</v>
      </c>
      <c r="D114" s="60" t="s">
        <v>291</v>
      </c>
      <c r="E114" s="60" t="s">
        <v>100</v>
      </c>
      <c r="F114" s="60" t="s">
        <v>160</v>
      </c>
      <c r="G114" s="200" cm="1">
        <f t="array" ref="G114">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6.66713910181736E-3</v>
      </c>
      <c r="H114" s="200" cm="1">
        <f t="array" ref="H114">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6.5518983001313221E-3</v>
      </c>
      <c r="I114" s="200" cm="1">
        <f t="array" ref="I114">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6.4834552967827147E-3</v>
      </c>
      <c r="J114" s="200" cm="1">
        <f t="array" ref="J114">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6.6923795662660671E-3</v>
      </c>
      <c r="K114" s="200" cm="1">
        <f t="array" ref="K114">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6.5757968919376237E-3</v>
      </c>
      <c r="M114" s="60"/>
      <c r="N114" s="60"/>
      <c r="O114" s="60"/>
      <c r="P114" s="60"/>
      <c r="Q114" s="200" t="str" cm="1">
        <f t="array" ref="Q114">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v>
      </c>
      <c r="R114" s="200" t="str" cm="1">
        <f t="array" ref="R114">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v>
      </c>
      <c r="S114" s="200" t="str" cm="1">
        <f t="array" ref="S114">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v>
      </c>
      <c r="T114" s="200" t="str" cm="1">
        <f t="array" ref="T114">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v>
      </c>
      <c r="U114" s="200" t="str" cm="1">
        <f t="array" ref="U114">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v>
      </c>
    </row>
    <row r="115" spans="3:21" outlineLevel="1" x14ac:dyDescent="0.25">
      <c r="P115" s="88"/>
      <c r="Q115" s="88"/>
      <c r="R115" s="88"/>
    </row>
    <row r="116" spans="3:21" ht="15.75" outlineLevel="1" x14ac:dyDescent="0.25">
      <c r="C116" s="82" t="s">
        <v>25</v>
      </c>
      <c r="G116" s="79"/>
      <c r="H116" s="79"/>
      <c r="I116" s="79"/>
      <c r="J116" s="79"/>
      <c r="K116" s="79"/>
      <c r="P116" s="88"/>
      <c r="Q116" s="88"/>
      <c r="R116" s="88"/>
    </row>
    <row r="117" spans="3:21" ht="15.75" outlineLevel="2" x14ac:dyDescent="0.25">
      <c r="C117" s="30" t="str">
        <f>C$82&amp;" - checks"</f>
        <v>VDO residential rates - checks</v>
      </c>
      <c r="M117" s="30" t="str">
        <f>M$82&amp;" - checks"</f>
        <v>VDO small business rates - checks</v>
      </c>
    </row>
    <row r="118" spans="3:21" ht="15.75" outlineLevel="2" x14ac:dyDescent="0.25">
      <c r="C118" s="43" t="s">
        <v>340</v>
      </c>
      <c r="D118" s="43" t="s">
        <v>111</v>
      </c>
      <c r="E118" s="43" t="s">
        <v>99</v>
      </c>
      <c r="G118" s="51" t="s">
        <v>277</v>
      </c>
      <c r="H118" s="51" t="s">
        <v>278</v>
      </c>
      <c r="I118" s="51" t="s">
        <v>279</v>
      </c>
      <c r="J118" s="51" t="s">
        <v>280</v>
      </c>
      <c r="K118" s="51" t="s">
        <v>281</v>
      </c>
      <c r="M118" s="43" t="s">
        <v>340</v>
      </c>
      <c r="N118" s="43" t="s">
        <v>111</v>
      </c>
      <c r="O118" s="43" t="s">
        <v>99</v>
      </c>
      <c r="Q118" s="51" t="s">
        <v>277</v>
      </c>
      <c r="R118" s="51" t="s">
        <v>278</v>
      </c>
      <c r="S118" s="51" t="s">
        <v>279</v>
      </c>
      <c r="T118" s="51" t="s">
        <v>280</v>
      </c>
      <c r="U118" s="51" t="s">
        <v>281</v>
      </c>
    </row>
    <row r="119" spans="3:21" ht="15.75" outlineLevel="2" x14ac:dyDescent="0.25">
      <c r="C119" s="60" t="s">
        <v>509</v>
      </c>
      <c r="D119" s="60" t="s">
        <v>118</v>
      </c>
      <c r="E119" s="60" t="s">
        <v>100</v>
      </c>
      <c r="G119" s="94">
        <f>IF(ROUND(G84,4)=ROUND(
SUMIFS(OP_Rates_RES_2[Ausnet],OP_Rates_RES_2[[Rate name]:[Rate name]],$C119)+
SUMIFS(OP_RatesTU_RES_2[Ausnet],OP_RatesTU_RES_2[[Rate name]:[Rate name]],
IF($D119&lt;&gt;"$",$C119,
IF($C119="Anytime - supply","Anytime","TOU"))),4),
0,1)</f>
        <v>0</v>
      </c>
      <c r="H119" s="94">
        <f>IF(ROUND(H84,4)=ROUND(
SUMIFS(OP_Rates_RES_2[Citipower],OP_Rates_RES_2[[Rate name]:[Rate name]],$C119)+
SUMIFS(OP_RatesTU_RES_2[Citipower],OP_RatesTU_RES_2[[Rate name]:[Rate name]],
IF($D119&lt;&gt;"$",$C119,
IF($C119="Anytime - supply","Anytime","TOU"))),4),
0,1)</f>
        <v>0</v>
      </c>
      <c r="I119" s="94">
        <f>IF(ROUND(I84,4)=ROUND(
SUMIFS(OP_Rates_RES_2[Jemena],OP_Rates_RES_2[[Rate name]:[Rate name]],$C119)+
SUMIFS(OP_RatesTU_RES_2[Jemena],OP_RatesTU_RES_2[[Rate name]:[Rate name]],
IF($D119&lt;&gt;"$",$C119,
IF($C119="Anytime - supply","Anytime","TOU"))),4),
0,1)</f>
        <v>0</v>
      </c>
      <c r="J119" s="94">
        <f>IF(ROUND(J84,4)=ROUND(
SUMIFS(OP_Rates_RES_2[Powercor],OP_Rates_RES_2[[Rate name]:[Rate name]],$C119)+
SUMIFS(OP_RatesTU_RES_2[Powercor],OP_RatesTU_RES_2[[Rate name]:[Rate name]],
IF($D119&lt;&gt;"$",$C119,
IF($C119="Anytime - supply","Anytime","TOU"))),4),
0,1)</f>
        <v>0</v>
      </c>
      <c r="K119" s="94">
        <f>IF(ROUND(K84,4)=ROUND(
SUMIFS(OP_Rates_RES_2[United Energy],OP_Rates_RES_2[[Rate name]:[Rate name]],$C119)+
SUMIFS(OP_RatesTU_RES_2[United Energy],OP_RatesTU_RES_2[[Rate name]:[Rate name]],
IF($D119&lt;&gt;"$",$C119,
IF($C119="Anytime - supply","Anytime","TOU"))),4),
0,1)</f>
        <v>0</v>
      </c>
      <c r="M119" s="60" t="s">
        <v>509</v>
      </c>
      <c r="N119" s="60" t="s">
        <v>118</v>
      </c>
      <c r="O119" s="60" t="s">
        <v>101</v>
      </c>
      <c r="Q119" s="94">
        <f>IF(ROUND(Q84,4)=ROUND(
SUMIFS(OP_Rates_SME_2[Ausnet],OP_Rates_SME_2[[Rate name]:[Rate name]],$M119)+
SUMIFS(OP_RatesTU_SME_2[Ausnet],OP_RatesTU_SME_2[[Rate name]:[Rate name]],
IF($N119&lt;&gt;"$",$M119,
IF($M119="Anytime - supply","Anytime","TOU"))),4),
0,1)</f>
        <v>0</v>
      </c>
      <c r="R119" s="94">
        <f>IF(ROUND(R84,4)=ROUND(
SUMIFS(OP_Rates_SME_2[Citipower],OP_Rates_SME_2[[Rate name]:[Rate name]],$M119)+
SUMIFS(OP_RatesTU_SME_2[Citipower],OP_RatesTU_SME_2[[Rate name]:[Rate name]],
IF($N119&lt;&gt;"$",$M119,
IF($M119="Anytime - supply","Anytime","TOU"))),4),
0,1)</f>
        <v>0</v>
      </c>
      <c r="S119" s="94">
        <f>IF(ROUND(S84,4)=ROUND(
SUMIFS(OP_Rates_SME_2[Jemena],OP_Rates_SME_2[[Rate name]:[Rate name]],$M119)+
SUMIFS(OP_RatesTU_SME_2[Jemena],OP_RatesTU_SME_2[[Rate name]:[Rate name]],
IF($N119&lt;&gt;"$",$M119,
IF($M119="Anytime - supply","Anytime","TOU"))),4),
0,1)</f>
        <v>0</v>
      </c>
      <c r="T119" s="94">
        <f>IF(ROUND(T84,4)=ROUND(
SUMIFS(OP_Rates_SME_2[Powercor],OP_Rates_SME_2[[Rate name]:[Rate name]],$M119)+
SUMIFS(OP_RatesTU_SME_2[Powercor],OP_RatesTU_SME_2[[Rate name]:[Rate name]],
IF($N119&lt;&gt;"$",$M119,
IF($M119="Anytime - supply","Anytime","TOU"))),4),
0,1)</f>
        <v>0</v>
      </c>
      <c r="U119" s="94">
        <f>IF(ROUND(U84,4)=ROUND(
SUMIFS(OP_Rates_SME_2[United Energy],OP_Rates_SME_2[[Rate name]:[Rate name]],$M119)+
SUMIFS(OP_RatesTU_SME_2[United Energy],OP_RatesTU_SME_2[[Rate name]:[Rate name]],
IF($N119&lt;&gt;"$",$M119,
IF($M119="Anytime - supply","Anytime","TOU"))),4),
0,1)</f>
        <v>0</v>
      </c>
    </row>
    <row r="120" spans="3:21" ht="15.75" outlineLevel="2" x14ac:dyDescent="0.25">
      <c r="C120" s="60" t="s">
        <v>230</v>
      </c>
      <c r="D120" s="60" t="s">
        <v>291</v>
      </c>
      <c r="E120" s="60" t="s">
        <v>100</v>
      </c>
      <c r="G120" s="94">
        <f>IF(ROUND(G85,4)=ROUND(
SUMIFS(OP_Rates_RES_2[Ausnet],OP_Rates_RES_2[[Rate name]:[Rate name]],$C120)+
SUMIFS(OP_RatesTU_RES_2[Ausnet],OP_RatesTU_RES_2[[Rate name]:[Rate name]],
IF($D120&lt;&gt;"$",$C120,
IF($C120="Anytime - supply","Anytime","TOU"))),4),
0,1)</f>
        <v>0</v>
      </c>
      <c r="H120" s="94">
        <f>IF(ROUND(H85,4)=ROUND(
SUMIFS(OP_Rates_RES_2[Citipower],OP_Rates_RES_2[[Rate name]:[Rate name]],$C120)+
SUMIFS(OP_RatesTU_RES_2[Citipower],OP_RatesTU_RES_2[[Rate name]:[Rate name]],
IF($D120&lt;&gt;"$",$C120,
IF($C120="Anytime - supply","Anytime","TOU"))),4),
0,1)</f>
        <v>0</v>
      </c>
      <c r="I120" s="94">
        <f>IF(ROUND(I85,4)=ROUND(
SUMIFS(OP_Rates_RES_2[Jemena],OP_Rates_RES_2[[Rate name]:[Rate name]],$C120)+
SUMIFS(OP_RatesTU_RES_2[Jemena],OP_RatesTU_RES_2[[Rate name]:[Rate name]],
IF($D120&lt;&gt;"$",$C120,
IF($C120="Anytime - supply","Anytime","TOU"))),4),
0,1)</f>
        <v>0</v>
      </c>
      <c r="J120" s="94">
        <f>IF(ROUND(J85,4)=ROUND(
SUMIFS(OP_Rates_RES_2[Powercor],OP_Rates_RES_2[[Rate name]:[Rate name]],$C120)+
SUMIFS(OP_RatesTU_RES_2[Powercor],OP_RatesTU_RES_2[[Rate name]:[Rate name]],
IF($D120&lt;&gt;"$",$C120,
IF($C120="Anytime - supply","Anytime","TOU"))),4),
0,1)</f>
        <v>0</v>
      </c>
      <c r="K120" s="94">
        <f>IF(ROUND(K85,4)=ROUND(
SUMIFS(OP_Rates_RES_2[United Energy],OP_Rates_RES_2[[Rate name]:[Rate name]],$C120)+
SUMIFS(OP_RatesTU_RES_2[United Energy],OP_RatesTU_RES_2[[Rate name]:[Rate name]],
IF($D120&lt;&gt;"$",$C120,
IF($C120="Anytime - supply","Anytime","TOU"))),4),
0,1)</f>
        <v>0</v>
      </c>
      <c r="M120" s="60" t="s">
        <v>230</v>
      </c>
      <c r="N120" s="60" t="s">
        <v>291</v>
      </c>
      <c r="O120" s="60" t="s">
        <v>101</v>
      </c>
      <c r="Q120" s="94">
        <f>IF(ROUND(Q85,4)=ROUND(
SUMIFS(OP_Rates_SME_2[Ausnet],OP_Rates_SME_2[[Rate name]:[Rate name]],$M120)+
SUMIFS(OP_RatesTU_SME_2[Ausnet],OP_RatesTU_SME_2[[Rate name]:[Rate name]],
IF($N120&lt;&gt;"$",$M120,
IF($M120="Anytime - supply","Anytime","TOU"))),4),
0,1)</f>
        <v>0</v>
      </c>
      <c r="R120" s="94">
        <f>IF(ROUND(R85,4)=ROUND(
SUMIFS(OP_Rates_SME_2[Citipower],OP_Rates_SME_2[[Rate name]:[Rate name]],$M120)+
SUMIFS(OP_RatesTU_SME_2[Citipower],OP_RatesTU_SME_2[[Rate name]:[Rate name]],
IF($N120&lt;&gt;"$",$M120,
IF($M120="Anytime - supply","Anytime","TOU"))),4),
0,1)</f>
        <v>0</v>
      </c>
      <c r="S120" s="94">
        <f>IF(ROUND(S85,4)=ROUND(
SUMIFS(OP_Rates_SME_2[Jemena],OP_Rates_SME_2[[Rate name]:[Rate name]],$M120)+
SUMIFS(OP_RatesTU_SME_2[Jemena],OP_RatesTU_SME_2[[Rate name]:[Rate name]],
IF($N120&lt;&gt;"$",$M120,
IF($M120="Anytime - supply","Anytime","TOU"))),4),
0,1)</f>
        <v>0</v>
      </c>
      <c r="T120" s="94">
        <f>IF(ROUND(T85,4)=ROUND(
SUMIFS(OP_Rates_SME_2[Powercor],OP_Rates_SME_2[[Rate name]:[Rate name]],$M120)+
SUMIFS(OP_RatesTU_SME_2[Powercor],OP_RatesTU_SME_2[[Rate name]:[Rate name]],
IF($N120&lt;&gt;"$",$M120,
IF($M120="Anytime - supply","Anytime","TOU"))),4),
0,1)</f>
        <v>0</v>
      </c>
      <c r="U120" s="94">
        <f>IF(ROUND(U85,4)=ROUND(
SUMIFS(OP_Rates_SME_2[United Energy],OP_Rates_SME_2[[Rate name]:[Rate name]],$M120)+
SUMIFS(OP_RatesTU_SME_2[United Energy],OP_RatesTU_SME_2[[Rate name]:[Rate name]],
IF($N120&lt;&gt;"$",$M120,
IF($M120="Anytime - supply","Anytime","TOU"))),4),
0,1)</f>
        <v>0</v>
      </c>
    </row>
    <row r="121" spans="3:21" ht="15.75" outlineLevel="2" x14ac:dyDescent="0.25">
      <c r="C121" s="60" t="s">
        <v>237</v>
      </c>
      <c r="D121" s="60" t="s">
        <v>291</v>
      </c>
      <c r="E121" s="60" t="s">
        <v>100</v>
      </c>
      <c r="G121" s="94">
        <f>IF(ROUND(G86,4)=ROUND(
SUMIFS(OP_Rates_RES_2[Ausnet],OP_Rates_RES_2[[Rate name]:[Rate name]],$C121)+
SUMIFS(OP_RatesTU_RES_2[Ausnet],OP_RatesTU_RES_2[[Rate name]:[Rate name]],
IF($D121&lt;&gt;"$",$C121,
IF($C121="Anytime - supply","Anytime","TOU"))),4),
0,1)</f>
        <v>0</v>
      </c>
      <c r="H121" s="94">
        <f>IF(ROUND(H86,4)=ROUND(
SUMIFS(OP_Rates_RES_2[Citipower],OP_Rates_RES_2[[Rate name]:[Rate name]],$C121)+
SUMIFS(OP_RatesTU_RES_2[Citipower],OP_RatesTU_RES_2[[Rate name]:[Rate name]],
IF($D121&lt;&gt;"$",$C121,
IF($C121="Anytime - supply","Anytime","TOU"))),4),
0,1)</f>
        <v>0</v>
      </c>
      <c r="I121" s="94">
        <f>IF(ROUND(I86,4)=ROUND(
SUMIFS(OP_Rates_RES_2[Jemena],OP_Rates_RES_2[[Rate name]:[Rate name]],$C121)+
SUMIFS(OP_RatesTU_RES_2[Jemena],OP_RatesTU_RES_2[[Rate name]:[Rate name]],
IF($D121&lt;&gt;"$",$C121,
IF($C121="Anytime - supply","Anytime","TOU"))),4),
0,1)</f>
        <v>0</v>
      </c>
      <c r="J121" s="94">
        <f>IF(ROUND(J86,4)=ROUND(
SUMIFS(OP_Rates_RES_2[Powercor],OP_Rates_RES_2[[Rate name]:[Rate name]],$C121)+
SUMIFS(OP_RatesTU_RES_2[Powercor],OP_RatesTU_RES_2[[Rate name]:[Rate name]],
IF($D121&lt;&gt;"$",$C121,
IF($C121="Anytime - supply","Anytime","TOU"))),4),
0,1)</f>
        <v>0</v>
      </c>
      <c r="K121" s="94">
        <f>IF(ROUND(K86,4)=ROUND(
SUMIFS(OP_Rates_RES_2[United Energy],OP_Rates_RES_2[[Rate name]:[Rate name]],$C121)+
SUMIFS(OP_RatesTU_RES_2[United Energy],OP_RatesTU_RES_2[[Rate name]:[Rate name]],
IF($D121&lt;&gt;"$",$C121,
IF($C121="Anytime - supply","Anytime","TOU"))),4),
0,1)</f>
        <v>0</v>
      </c>
      <c r="M121" s="60" t="s">
        <v>237</v>
      </c>
      <c r="N121" s="60" t="s">
        <v>291</v>
      </c>
      <c r="O121" s="60" t="s">
        <v>101</v>
      </c>
      <c r="Q121" s="94">
        <f>IF(ROUND(Q86,4)=ROUND(
SUMIFS(OP_Rates_SME_2[Ausnet],OP_Rates_SME_2[[Rate name]:[Rate name]],$M121)+
SUMIFS(OP_RatesTU_SME_2[Ausnet],OP_RatesTU_SME_2[[Rate name]:[Rate name]],
IF($N121&lt;&gt;"$",$M121,
IF($M121="Anytime - supply","Anytime","TOU"))),4),
0,1)</f>
        <v>0</v>
      </c>
      <c r="R121" s="94">
        <f>IF(ROUND(R86,4)=ROUND(
SUMIFS(OP_Rates_SME_2[Citipower],OP_Rates_SME_2[[Rate name]:[Rate name]],$M121)+
SUMIFS(OP_RatesTU_SME_2[Citipower],OP_RatesTU_SME_2[[Rate name]:[Rate name]],
IF($N121&lt;&gt;"$",$M121,
IF($M121="Anytime - supply","Anytime","TOU"))),4),
0,1)</f>
        <v>0</v>
      </c>
      <c r="S121" s="94">
        <f>IF(ROUND(S86,4)=ROUND(
SUMIFS(OP_Rates_SME_2[Jemena],OP_Rates_SME_2[[Rate name]:[Rate name]],$M121)+
SUMIFS(OP_RatesTU_SME_2[Jemena],OP_RatesTU_SME_2[[Rate name]:[Rate name]],
IF($N121&lt;&gt;"$",$M121,
IF($M121="Anytime - supply","Anytime","TOU"))),4),
0,1)</f>
        <v>0</v>
      </c>
      <c r="T121" s="94">
        <f>IF(ROUND(T86,4)=ROUND(
SUMIFS(OP_Rates_SME_2[Powercor],OP_Rates_SME_2[[Rate name]:[Rate name]],$M121)+
SUMIFS(OP_RatesTU_SME_2[Powercor],OP_RatesTU_SME_2[[Rate name]:[Rate name]],
IF($N121&lt;&gt;"$",$M121,
IF($M121="Anytime - supply","Anytime","TOU"))),4),
0,1)</f>
        <v>0</v>
      </c>
      <c r="U121" s="94">
        <f>IF(ROUND(U86,4)=ROUND(
SUMIFS(OP_Rates_SME_2[United Energy],OP_Rates_SME_2[[Rate name]:[Rate name]],$M121)+
SUMIFS(OP_RatesTU_SME_2[United Energy],OP_RatesTU_SME_2[[Rate name]:[Rate name]],
IF($N121&lt;&gt;"$",$M121,
IF($M121="Anytime - supply","Anytime","TOU"))),4),
0,1)</f>
        <v>0</v>
      </c>
    </row>
    <row r="122" spans="3:21" ht="15.75" outlineLevel="2" x14ac:dyDescent="0.25">
      <c r="C122" s="60" t="s">
        <v>508</v>
      </c>
      <c r="D122" s="60" t="s">
        <v>291</v>
      </c>
      <c r="E122" s="60" t="s">
        <v>100</v>
      </c>
      <c r="G122" s="94">
        <f>IF(ROUND(G87,4)=ROUND(
SUMIFS(OP_Rates_RES_2[Ausnet],OP_Rates_RES_2[[Rate name]:[Rate name]],$C122)+
SUMIFS(OP_RatesTU_RES_2[Ausnet],OP_RatesTU_RES_2[[Rate name]:[Rate name]],
IF($D122&lt;&gt;"$",$C122,
IF($C122="Anytime - supply","Anytime","TOU"))),4),
0,1)</f>
        <v>0</v>
      </c>
      <c r="H122" s="94">
        <f>IF(ROUND(H87,4)=ROUND(
SUMIFS(OP_Rates_RES_2[Citipower],OP_Rates_RES_2[[Rate name]:[Rate name]],$C122)+
SUMIFS(OP_RatesTU_RES_2[Citipower],OP_RatesTU_RES_2[[Rate name]:[Rate name]],
IF($D122&lt;&gt;"$",$C122,
IF($C122="Anytime - supply","Anytime","TOU"))),4),
0,1)</f>
        <v>0</v>
      </c>
      <c r="I122" s="94">
        <f>IF(ROUND(I87,4)=ROUND(
SUMIFS(OP_Rates_RES_2[Jemena],OP_Rates_RES_2[[Rate name]:[Rate name]],$C122)+
SUMIFS(OP_RatesTU_RES_2[Jemena],OP_RatesTU_RES_2[[Rate name]:[Rate name]],
IF($D122&lt;&gt;"$",$C122,
IF($C122="Anytime - supply","Anytime","TOU"))),4),
0,1)</f>
        <v>0</v>
      </c>
      <c r="J122" s="94">
        <f>IF(ROUND(J87,4)=ROUND(
SUMIFS(OP_Rates_RES_2[Powercor],OP_Rates_RES_2[[Rate name]:[Rate name]],$C122)+
SUMIFS(OP_RatesTU_RES_2[Powercor],OP_RatesTU_RES_2[[Rate name]:[Rate name]],
IF($D122&lt;&gt;"$",$C122,
IF($C122="Anytime - supply","Anytime","TOU"))),4),
0,1)</f>
        <v>0</v>
      </c>
      <c r="K122" s="94">
        <f>IF(ROUND(K87,4)=ROUND(
SUMIFS(OP_Rates_RES_2[United Energy],OP_Rates_RES_2[[Rate name]:[Rate name]],$C122)+
SUMIFS(OP_RatesTU_RES_2[United Energy],OP_RatesTU_RES_2[[Rate name]:[Rate name]],
IF($D122&lt;&gt;"$",$C122,
IF($C122="Anytime - supply","Anytime","TOU"))),4),
0,1)</f>
        <v>0</v>
      </c>
      <c r="M122" s="60" t="s">
        <v>508</v>
      </c>
      <c r="N122" s="60" t="s">
        <v>291</v>
      </c>
      <c r="O122" s="60" t="s">
        <v>101</v>
      </c>
      <c r="Q122" s="94">
        <f>IF(ROUND(Q87,4)=ROUND(
SUMIFS(OP_Rates_SME_2[Ausnet],OP_Rates_SME_2[[Rate name]:[Rate name]],$M122)+
SUMIFS(OP_RatesTU_SME_2[Ausnet],OP_RatesTU_SME_2[[Rate name]:[Rate name]],
IF($N122&lt;&gt;"$",$M122,
IF($M122="Anytime - supply","Anytime","TOU"))),4),
0,1)</f>
        <v>0</v>
      </c>
      <c r="R122" s="94">
        <f>IF(ROUND(R87,4)=ROUND(
SUMIFS(OP_Rates_SME_2[Citipower],OP_Rates_SME_2[[Rate name]:[Rate name]],$M122)+
SUMIFS(OP_RatesTU_SME_2[Citipower],OP_RatesTU_SME_2[[Rate name]:[Rate name]],
IF($N122&lt;&gt;"$",$M122,
IF($M122="Anytime - supply","Anytime","TOU"))),4),
0,1)</f>
        <v>0</v>
      </c>
      <c r="S122" s="94">
        <f>IF(ROUND(S87,4)=ROUND(
SUMIFS(OP_Rates_SME_2[Jemena],OP_Rates_SME_2[[Rate name]:[Rate name]],$M122)+
SUMIFS(OP_RatesTU_SME_2[Jemena],OP_RatesTU_SME_2[[Rate name]:[Rate name]],
IF($N122&lt;&gt;"$",$M122,
IF($M122="Anytime - supply","Anytime","TOU"))),4),
0,1)</f>
        <v>0</v>
      </c>
      <c r="T122" s="94">
        <f>IF(ROUND(T87,4)=ROUND(
SUMIFS(OP_Rates_SME_2[Powercor],OP_Rates_SME_2[[Rate name]:[Rate name]],$M122)+
SUMIFS(OP_RatesTU_SME_2[Powercor],OP_RatesTU_SME_2[[Rate name]:[Rate name]],
IF($N122&lt;&gt;"$",$M122,
IF($M122="Anytime - supply","Anytime","TOU"))),4),
0,1)</f>
        <v>0</v>
      </c>
      <c r="U122" s="94">
        <f>IF(ROUND(U87,4)=ROUND(
SUMIFS(OP_Rates_SME_2[United Energy],OP_Rates_SME_2[[Rate name]:[Rate name]],$M122)+
SUMIFS(OP_RatesTU_SME_2[United Energy],OP_RatesTU_SME_2[[Rate name]:[Rate name]],
IF($N122&lt;&gt;"$",$M122,
IF($M122="Anytime - supply","Anytime","TOU"))),4),
0,1)</f>
        <v>0</v>
      </c>
    </row>
    <row r="123" spans="3:21" ht="15.75" outlineLevel="2" x14ac:dyDescent="0.25">
      <c r="C123" s="60" t="s">
        <v>510</v>
      </c>
      <c r="D123" s="60" t="s">
        <v>118</v>
      </c>
      <c r="E123" s="60" t="s">
        <v>100</v>
      </c>
      <c r="G123" s="94">
        <f>IF(ROUND(G88,4)=ROUND(
SUMIFS(OP_Rates_RES_2[Ausnet],OP_Rates_RES_2[[Rate name]:[Rate name]],$C123)+
SUMIFS(OP_RatesTU_RES_2[Ausnet],OP_RatesTU_RES_2[[Rate name]:[Rate name]],
IF($D123&lt;&gt;"$",$C123,
IF($C123="Anytime - supply","Anytime","TOU"))),4),
0,1)</f>
        <v>0</v>
      </c>
      <c r="H123" s="94">
        <f>IF(ROUND(H88,4)=ROUND(
SUMIFS(OP_Rates_RES_2[Citipower],OP_Rates_RES_2[[Rate name]:[Rate name]],$C123)+
SUMIFS(OP_RatesTU_RES_2[Citipower],OP_RatesTU_RES_2[[Rate name]:[Rate name]],
IF($D123&lt;&gt;"$",$C123,
IF($C123="Anytime - supply","Anytime","TOU"))),4),
0,1)</f>
        <v>0</v>
      </c>
      <c r="I123" s="94">
        <f>IF(ROUND(I88,4)=ROUND(
SUMIFS(OP_Rates_RES_2[Jemena],OP_Rates_RES_2[[Rate name]:[Rate name]],$C123)+
SUMIFS(OP_RatesTU_RES_2[Jemena],OP_RatesTU_RES_2[[Rate name]:[Rate name]],
IF($D123&lt;&gt;"$",$C123,
IF($C123="Anytime - supply","Anytime","TOU"))),4),
0,1)</f>
        <v>0</v>
      </c>
      <c r="J123" s="94">
        <f>IF(ROUND(J88,4)=ROUND(
SUMIFS(OP_Rates_RES_2[Powercor],OP_Rates_RES_2[[Rate name]:[Rate name]],$C123)+
SUMIFS(OP_RatesTU_RES_2[Powercor],OP_RatesTU_RES_2[[Rate name]:[Rate name]],
IF($D123&lt;&gt;"$",$C123,
IF($C123="Anytime - supply","Anytime","TOU"))),4),
0,1)</f>
        <v>0</v>
      </c>
      <c r="K123" s="94">
        <f>IF(ROUND(K88,4)=ROUND(
SUMIFS(OP_Rates_RES_2[United Energy],OP_Rates_RES_2[[Rate name]:[Rate name]],$C123)+
SUMIFS(OP_RatesTU_RES_2[United Energy],OP_RatesTU_RES_2[[Rate name]:[Rate name]],
IF($D123&lt;&gt;"$",$C123,
IF($C123="Anytime - supply","Anytime","TOU"))),4),
0,1)</f>
        <v>0</v>
      </c>
      <c r="M123" s="60" t="s">
        <v>510</v>
      </c>
      <c r="N123" s="60" t="s">
        <v>118</v>
      </c>
      <c r="O123" s="60" t="s">
        <v>101</v>
      </c>
      <c r="Q123" s="94">
        <f>IF(ROUND(Q88,4)=ROUND(
SUMIFS(OP_Rates_SME_2[Ausnet],OP_Rates_SME_2[[Rate name]:[Rate name]],$M123)+
SUMIFS(OP_RatesTU_SME_2[Ausnet],OP_RatesTU_SME_2[[Rate name]:[Rate name]],
IF($N123&lt;&gt;"$",$M123,
IF($M123="Anytime - supply","Anytime","TOU"))),4),
0,1)</f>
        <v>0</v>
      </c>
      <c r="R123" s="94">
        <f>IF(ROUND(R88,4)=ROUND(
SUMIFS(OP_Rates_SME_2[Citipower],OP_Rates_SME_2[[Rate name]:[Rate name]],$M123)+
SUMIFS(OP_RatesTU_SME_2[Citipower],OP_RatesTU_SME_2[[Rate name]:[Rate name]],
IF($N123&lt;&gt;"$",$M123,
IF($M123="Anytime - supply","Anytime","TOU"))),4),
0,1)</f>
        <v>0</v>
      </c>
      <c r="S123" s="94">
        <f>IF(ROUND(S88,4)=ROUND(
SUMIFS(OP_Rates_SME_2[Jemena],OP_Rates_SME_2[[Rate name]:[Rate name]],$M123)+
SUMIFS(OP_RatesTU_SME_2[Jemena],OP_RatesTU_SME_2[[Rate name]:[Rate name]],
IF($N123&lt;&gt;"$",$M123,
IF($M123="Anytime - supply","Anytime","TOU"))),4),
0,1)</f>
        <v>0</v>
      </c>
      <c r="T123" s="94">
        <f>IF(ROUND(T88,4)=ROUND(
SUMIFS(OP_Rates_SME_2[Powercor],OP_Rates_SME_2[[Rate name]:[Rate name]],$M123)+
SUMIFS(OP_RatesTU_SME_2[Powercor],OP_RatesTU_SME_2[[Rate name]:[Rate name]],
IF($N123&lt;&gt;"$",$M123,
IF($M123="Anytime - supply","Anytime","TOU"))),4),
0,1)</f>
        <v>0</v>
      </c>
      <c r="U123" s="94">
        <f>IF(ROUND(U88,4)=ROUND(
SUMIFS(OP_Rates_SME_2[United Energy],OP_Rates_SME_2[[Rate name]:[Rate name]],$M123)+
SUMIFS(OP_RatesTU_SME_2[United Energy],OP_RatesTU_SME_2[[Rate name]:[Rate name]],
IF($N123&lt;&gt;"$",$M123,
IF($M123="Anytime - supply","Anytime","TOU"))),4),
0,1)</f>
        <v>0</v>
      </c>
    </row>
    <row r="124" spans="3:21" ht="15.75" outlineLevel="2" x14ac:dyDescent="0.25">
      <c r="C124" s="60" t="s">
        <v>239</v>
      </c>
      <c r="D124" s="60" t="s">
        <v>291</v>
      </c>
      <c r="E124" s="60" t="s">
        <v>100</v>
      </c>
      <c r="G124" s="94">
        <f>IF(ROUND(G89,4)=ROUND(
SUMIFS(OP_Rates_RES_2[Ausnet],OP_Rates_RES_2[[Rate name]:[Rate name]],$C124)+
SUMIFS(OP_RatesTU_RES_2[Ausnet],OP_RatesTU_RES_2[[Rate name]:[Rate name]],
IF($D124&lt;&gt;"$",$C124,
IF($C124="Anytime - supply","Anytime","TOU"))),4),
0,1)</f>
        <v>0</v>
      </c>
      <c r="H124" s="94">
        <f>IF(ROUND(H89,4)=ROUND(
SUMIFS(OP_Rates_RES_2[Citipower],OP_Rates_RES_2[[Rate name]:[Rate name]],$C124)+
SUMIFS(OP_RatesTU_RES_2[Citipower],OP_RatesTU_RES_2[[Rate name]:[Rate name]],
IF($D124&lt;&gt;"$",$C124,
IF($C124="Anytime - supply","Anytime","TOU"))),4),
0,1)</f>
        <v>0</v>
      </c>
      <c r="I124" s="94">
        <f>IF(ROUND(I89,4)=ROUND(
SUMIFS(OP_Rates_RES_2[Jemena],OP_Rates_RES_2[[Rate name]:[Rate name]],$C124)+
SUMIFS(OP_RatesTU_RES_2[Jemena],OP_RatesTU_RES_2[[Rate name]:[Rate name]],
IF($D124&lt;&gt;"$",$C124,
IF($C124="Anytime - supply","Anytime","TOU"))),4),
0,1)</f>
        <v>0</v>
      </c>
      <c r="J124" s="94">
        <f>IF(ROUND(J89,4)=ROUND(
SUMIFS(OP_Rates_RES_2[Powercor],OP_Rates_RES_2[[Rate name]:[Rate name]],$C124)+
SUMIFS(OP_RatesTU_RES_2[Powercor],OP_RatesTU_RES_2[[Rate name]:[Rate name]],
IF($D124&lt;&gt;"$",$C124,
IF($C124="Anytime - supply","Anytime","TOU"))),4),
0,1)</f>
        <v>0</v>
      </c>
      <c r="K124" s="94">
        <f>IF(ROUND(K89,4)=ROUND(
SUMIFS(OP_Rates_RES_2[United Energy],OP_Rates_RES_2[[Rate name]:[Rate name]],$C124)+
SUMIFS(OP_RatesTU_RES_2[United Energy],OP_RatesTU_RES_2[[Rate name]:[Rate name]],
IF($D124&lt;&gt;"$",$C124,
IF($C124="Anytime - supply","Anytime","TOU"))),4),
0,1)</f>
        <v>0</v>
      </c>
      <c r="M124" s="60" t="s">
        <v>239</v>
      </c>
      <c r="N124" s="60" t="s">
        <v>291</v>
      </c>
      <c r="O124" s="60" t="s">
        <v>101</v>
      </c>
      <c r="Q124" s="94">
        <f>IF(ROUND(Q89,4)=ROUND(
SUMIFS(OP_Rates_SME_2[Ausnet],OP_Rates_SME_2[[Rate name]:[Rate name]],$M124)+
SUMIFS(OP_RatesTU_SME_2[Ausnet],OP_RatesTU_SME_2[[Rate name]:[Rate name]],
IF($N124&lt;&gt;"$",$M124,
IF($M124="Anytime - supply","Anytime","TOU"))),4),
0,1)</f>
        <v>0</v>
      </c>
      <c r="R124" s="94">
        <f>IF(ROUND(R89,4)=ROUND(
SUMIFS(OP_Rates_SME_2[Citipower],OP_Rates_SME_2[[Rate name]:[Rate name]],$M124)+
SUMIFS(OP_RatesTU_SME_2[Citipower],OP_RatesTU_SME_2[[Rate name]:[Rate name]],
IF($N124&lt;&gt;"$",$M124,
IF($M124="Anytime - supply","Anytime","TOU"))),4),
0,1)</f>
        <v>0</v>
      </c>
      <c r="S124" s="94">
        <f>IF(ROUND(S89,4)=ROUND(
SUMIFS(OP_Rates_SME_2[Jemena],OP_Rates_SME_2[[Rate name]:[Rate name]],$M124)+
SUMIFS(OP_RatesTU_SME_2[Jemena],OP_RatesTU_SME_2[[Rate name]:[Rate name]],
IF($N124&lt;&gt;"$",$M124,
IF($M124="Anytime - supply","Anytime","TOU"))),4),
0,1)</f>
        <v>0</v>
      </c>
      <c r="T124" s="94">
        <f>IF(ROUND(T89,4)=ROUND(
SUMIFS(OP_Rates_SME_2[Powercor],OP_Rates_SME_2[[Rate name]:[Rate name]],$M124)+
SUMIFS(OP_RatesTU_SME_2[Powercor],OP_RatesTU_SME_2[[Rate name]:[Rate name]],
IF($N124&lt;&gt;"$",$M124,
IF($M124="Anytime - supply","Anytime","TOU"))),4),
0,1)</f>
        <v>0</v>
      </c>
      <c r="U124" s="94">
        <f>IF(ROUND(U89,4)=ROUND(
SUMIFS(OP_Rates_SME_2[United Energy],OP_Rates_SME_2[[Rate name]:[Rate name]],$M124)+
SUMIFS(OP_RatesTU_SME_2[United Energy],OP_RatesTU_SME_2[[Rate name]:[Rate name]],
IF($N124&lt;&gt;"$",$M124,
IF($M124="Anytime - supply","Anytime","TOU"))),4),
0,1)</f>
        <v>0</v>
      </c>
    </row>
    <row r="125" spans="3:21" ht="15.75" outlineLevel="2" x14ac:dyDescent="0.25">
      <c r="C125" s="60" t="s">
        <v>538</v>
      </c>
      <c r="D125" s="60" t="s">
        <v>291</v>
      </c>
      <c r="E125" s="60" t="s">
        <v>100</v>
      </c>
      <c r="G125" s="94">
        <f>IF(ROUND(G90,4)=ROUND(
SUMIFS(OP_Rates_RES_2[Ausnet],OP_Rates_RES_2[[Rate name]:[Rate name]],$C125)+
SUMIFS(OP_RatesTU_RES_2[Ausnet],OP_RatesTU_RES_2[[Rate name]:[Rate name]],
IF($D125&lt;&gt;"$",$C125,
IF($C125="Anytime - supply","Anytime","TOU"))),4),
0,1)</f>
        <v>0</v>
      </c>
      <c r="H125" s="94">
        <f>IF(ROUND(H90,4)=ROUND(
SUMIFS(OP_Rates_RES_2[Citipower],OP_Rates_RES_2[[Rate name]:[Rate name]],$C125)+
SUMIFS(OP_RatesTU_RES_2[Citipower],OP_RatesTU_RES_2[[Rate name]:[Rate name]],
IF($D125&lt;&gt;"$",$C125,
IF($C125="Anytime - supply","Anytime","TOU"))),4),
0,1)</f>
        <v>0</v>
      </c>
      <c r="I125" s="94">
        <f>IF(ROUND(I90,4)=ROUND(
SUMIFS(OP_Rates_RES_2[Jemena],OP_Rates_RES_2[[Rate name]:[Rate name]],$C125)+
SUMIFS(OP_RatesTU_RES_2[Jemena],OP_RatesTU_RES_2[[Rate name]:[Rate name]],
IF($D125&lt;&gt;"$",$C125,
IF($C125="Anytime - supply","Anytime","TOU"))),4),
0,1)</f>
        <v>0</v>
      </c>
      <c r="J125" s="94">
        <f>IF(ROUND(J90,4)=ROUND(
SUMIFS(OP_Rates_RES_2[Powercor],OP_Rates_RES_2[[Rate name]:[Rate name]],$C125)+
SUMIFS(OP_RatesTU_RES_2[Powercor],OP_RatesTU_RES_2[[Rate name]:[Rate name]],
IF($D125&lt;&gt;"$",$C125,
IF($C125="Anytime - supply","Anytime","TOU"))),4),
0,1)</f>
        <v>0</v>
      </c>
      <c r="K125" s="94">
        <f>IF(ROUND(K90,4)=ROUND(
SUMIFS(OP_Rates_RES_2[United Energy],OP_Rates_RES_2[[Rate name]:[Rate name]],$C125)+
SUMIFS(OP_RatesTU_RES_2[United Energy],OP_RatesTU_RES_2[[Rate name]:[Rate name]],
IF($D125&lt;&gt;"$",$C125,
IF($C125="Anytime - supply","Anytime","TOU"))),4),
0,1)</f>
        <v>0</v>
      </c>
      <c r="M125" s="60" t="s">
        <v>538</v>
      </c>
      <c r="N125" s="60" t="s">
        <v>291</v>
      </c>
      <c r="O125" s="60" t="s">
        <v>101</v>
      </c>
      <c r="Q125" s="94">
        <f>IF(ROUND(Q90,4)=ROUND(
SUMIFS(OP_Rates_SME_2[Ausnet],OP_Rates_SME_2[[Rate name]:[Rate name]],$M125)+
SUMIFS(OP_RatesTU_SME_2[Ausnet],OP_RatesTU_SME_2[[Rate name]:[Rate name]],
IF($N125&lt;&gt;"$",$M125,
IF($M125="Anytime - supply","Anytime","TOU"))),4),
0,1)</f>
        <v>0</v>
      </c>
      <c r="R125" s="94">
        <f>IF(ROUND(R90,4)=ROUND(
SUMIFS(OP_Rates_SME_2[Citipower],OP_Rates_SME_2[[Rate name]:[Rate name]],$M125)+
SUMIFS(OP_RatesTU_SME_2[Citipower],OP_RatesTU_SME_2[[Rate name]:[Rate name]],
IF($N125&lt;&gt;"$",$M125,
IF($M125="Anytime - supply","Anytime","TOU"))),4),
0,1)</f>
        <v>0</v>
      </c>
      <c r="S125" s="94">
        <f>IF(ROUND(S90,4)=ROUND(
SUMIFS(OP_Rates_SME_2[Jemena],OP_Rates_SME_2[[Rate name]:[Rate name]],$M125)+
SUMIFS(OP_RatesTU_SME_2[Jemena],OP_RatesTU_SME_2[[Rate name]:[Rate name]],
IF($N125&lt;&gt;"$",$M125,
IF($M125="Anytime - supply","Anytime","TOU"))),4),
0,1)</f>
        <v>0</v>
      </c>
      <c r="T125" s="94">
        <f>IF(ROUND(T90,4)=ROUND(
SUMIFS(OP_Rates_SME_2[Powercor],OP_Rates_SME_2[[Rate name]:[Rate name]],$M125)+
SUMIFS(OP_RatesTU_SME_2[Powercor],OP_RatesTU_SME_2[[Rate name]:[Rate name]],
IF($N125&lt;&gt;"$",$M125,
IF($M125="Anytime - supply","Anytime","TOU"))),4),
0,1)</f>
        <v>0</v>
      </c>
      <c r="U125" s="94">
        <f>IF(ROUND(U90,4)=ROUND(
SUMIFS(OP_Rates_SME_2[United Energy],OP_Rates_SME_2[[Rate name]:[Rate name]],$M125)+
SUMIFS(OP_RatesTU_SME_2[United Energy],OP_RatesTU_SME_2[[Rate name]:[Rate name]],
IF($N125&lt;&gt;"$",$M125,
IF($M125="Anytime - supply","Anytime","TOU"))),4),
0,1)</f>
        <v>0</v>
      </c>
    </row>
    <row r="126" spans="3:21" ht="15.75" outlineLevel="2" x14ac:dyDescent="0.25">
      <c r="C126" s="60" t="s">
        <v>296</v>
      </c>
      <c r="D126" s="60" t="s">
        <v>291</v>
      </c>
      <c r="E126" s="60" t="s">
        <v>100</v>
      </c>
      <c r="G126" s="94">
        <f>IF(ROUND(G91,4)=ROUND(
SUMIFS(OP_Rates_RES_2[Ausnet],OP_Rates_RES_2[[Rate name]:[Rate name]],$C126)+
SUMIFS(OP_RatesTU_RES_2[Ausnet],OP_RatesTU_RES_2[[Rate name]:[Rate name]],
IF($D126&lt;&gt;"$",$C126,
IF($C126="Anytime - supply","Anytime","TOU"))),4),
0,1)</f>
        <v>0</v>
      </c>
      <c r="H126" s="94">
        <f>IF(ROUND(H91,4)=ROUND(
SUMIFS(OP_Rates_RES_2[Citipower],OP_Rates_RES_2[[Rate name]:[Rate name]],$C126)+
SUMIFS(OP_RatesTU_RES_2[Citipower],OP_RatesTU_RES_2[[Rate name]:[Rate name]],
IF($D126&lt;&gt;"$",$C126,
IF($C126="Anytime - supply","Anytime","TOU"))),4),
0,1)</f>
        <v>0</v>
      </c>
      <c r="I126" s="94">
        <f>IF(ROUND(I91,4)=ROUND(
SUMIFS(OP_Rates_RES_2[Jemena],OP_Rates_RES_2[[Rate name]:[Rate name]],$C126)+
SUMIFS(OP_RatesTU_RES_2[Jemena],OP_RatesTU_RES_2[[Rate name]:[Rate name]],
IF($D126&lt;&gt;"$",$C126,
IF($C126="Anytime - supply","Anytime","TOU"))),4),
0,1)</f>
        <v>0</v>
      </c>
      <c r="J126" s="94">
        <f>IF(ROUND(J91,4)=ROUND(
SUMIFS(OP_Rates_RES_2[Powercor],OP_Rates_RES_2[[Rate name]:[Rate name]],$C126)+
SUMIFS(OP_RatesTU_RES_2[Powercor],OP_RatesTU_RES_2[[Rate name]:[Rate name]],
IF($D126&lt;&gt;"$",$C126,
IF($C126="Anytime - supply","Anytime","TOU"))),4),
0,1)</f>
        <v>0</v>
      </c>
      <c r="K126" s="94">
        <f>IF(ROUND(K91,4)=ROUND(
SUMIFS(OP_Rates_RES_2[United Energy],OP_Rates_RES_2[[Rate name]:[Rate name]],$C126)+
SUMIFS(OP_RatesTU_RES_2[United Energy],OP_RatesTU_RES_2[[Rate name]:[Rate name]],
IF($D126&lt;&gt;"$",$C126,
IF($C126="Anytime - supply","Anytime","TOU"))),4),
0,1)</f>
        <v>0</v>
      </c>
      <c r="M126" s="60"/>
      <c r="N126" s="60"/>
      <c r="O126" s="60"/>
      <c r="Q126" s="94"/>
      <c r="R126" s="94"/>
      <c r="S126" s="94"/>
      <c r="T126" s="94"/>
      <c r="U126" s="94"/>
    </row>
    <row r="127" spans="3:21" outlineLevel="2" x14ac:dyDescent="0.25">
      <c r="P127" s="88"/>
      <c r="Q127" s="88"/>
      <c r="R127" s="88"/>
    </row>
    <row r="128" spans="3:21" ht="15.75" outlineLevel="2" x14ac:dyDescent="0.25">
      <c r="C128" s="30" t="str">
        <f>C$93&amp;" - checks"</f>
        <v>Residential calculated rate - checks</v>
      </c>
      <c r="M128" s="30" t="str">
        <f>M$93&amp;" - checks"</f>
        <v>Small business calculated rate - checks</v>
      </c>
    </row>
    <row r="129" spans="3:21" ht="15.75" outlineLevel="2" x14ac:dyDescent="0.25">
      <c r="C129" s="43" t="s">
        <v>340</v>
      </c>
      <c r="D129" s="43" t="s">
        <v>111</v>
      </c>
      <c r="E129" s="43" t="s">
        <v>99</v>
      </c>
      <c r="G129" s="51" t="s">
        <v>277</v>
      </c>
      <c r="H129" s="51" t="s">
        <v>278</v>
      </c>
      <c r="I129" s="51" t="s">
        <v>279</v>
      </c>
      <c r="J129" s="51" t="s">
        <v>280</v>
      </c>
      <c r="K129" s="51" t="s">
        <v>281</v>
      </c>
      <c r="M129" s="43" t="s">
        <v>340</v>
      </c>
      <c r="N129" s="43" t="s">
        <v>111</v>
      </c>
      <c r="O129" s="43" t="s">
        <v>99</v>
      </c>
      <c r="Q129" s="51" t="s">
        <v>277</v>
      </c>
      <c r="R129" s="51" t="s">
        <v>278</v>
      </c>
      <c r="S129" s="51" t="s">
        <v>279</v>
      </c>
      <c r="T129" s="51" t="s">
        <v>280</v>
      </c>
      <c r="U129" s="51" t="s">
        <v>281</v>
      </c>
    </row>
    <row r="130" spans="3:21" ht="15.75" outlineLevel="2" x14ac:dyDescent="0.25">
      <c r="C130" s="24" t="s">
        <v>509</v>
      </c>
      <c r="D130" s="24" t="s">
        <v>118</v>
      </c>
      <c r="E130" s="24" t="s">
        <v>100</v>
      </c>
      <c r="G130" s="94" cm="1">
        <f t="array" ref="G130">IF(G95="-","-",
IF(ROUND(G95,8)=
ROUND(((
(SUMIFS(Calc_NetworkF_2[Ausnet],Calc_NetworkF_2[[Cost item]:[Cost item]],$C130,Calc_NetworkF_2[[Customer type]:[Customer type]],$E130)+
SUMIFS(Calc_Fixed_2[Ausnet],Calc_Fixed_2[[Customer type]:[Customer type]],"All")+
SUMIFS(Calc_Fixed_2[Ausnet],Calc_Fixed_2[[Customer type]:[Customer type]],$E130))/DiY)*(1+Calc_ROM_2[Ausnet]))*(1+GST),8),0,1))</f>
        <v>0</v>
      </c>
      <c r="H130" s="94" cm="1">
        <f t="array" ref="H130">IF(H95="-","-",
IF(ROUND(H95,8)=
ROUND(((
(SUMIFS(Calc_NetworkF_2[Citipower],Calc_NetworkF_2[[Cost item]:[Cost item]],$C130,Calc_NetworkF_2[[Customer type]:[Customer type]],$E130)+
SUMIFS(Calc_Fixed_2[Citipower],Calc_Fixed_2[[Customer type]:[Customer type]],"All")+
SUMIFS(Calc_Fixed_2[Citipower],Calc_Fixed_2[[Customer type]:[Customer type]],$E130))/DiY)*(1+Calc_ROM_2[Citipower]))*(1+GST),8),0,1))</f>
        <v>0</v>
      </c>
      <c r="I130" s="94" cm="1">
        <f t="array" ref="I130">IF(I95="-","-",
IF(ROUND(I95,8)=
ROUND(((
(SUMIFS(Calc_NetworkF_2[Jemena],Calc_NetworkF_2[[Cost item]:[Cost item]],$C130,Calc_NetworkF_2[[Customer type]:[Customer type]],$E130)+
SUMIFS(Calc_Fixed_2[Jemena],Calc_Fixed_2[[Customer type]:[Customer type]],"All")+
SUMIFS(Calc_Fixed_2[Jemena],Calc_Fixed_2[[Customer type]:[Customer type]],$E130))/DiY)*(1+Calc_ROM_2[Jemena]))*(1+GST),8),0,1))</f>
        <v>0</v>
      </c>
      <c r="J130" s="94" cm="1">
        <f t="array" ref="J130">IF(J95="-","-",
IF(ROUND(J95,8)=
ROUND(((
(SUMIFS(Calc_NetworkF_2[Powercor],Calc_NetworkF_2[[Cost item]:[Cost item]],$C130,Calc_NetworkF_2[[Customer type]:[Customer type]],$E130)+
SUMIFS(Calc_Fixed_2[Powercor],Calc_Fixed_2[[Customer type]:[Customer type]],"All")+
SUMIFS(Calc_Fixed_2[Powercor],Calc_Fixed_2[[Customer type]:[Customer type]],$E130))/DiY)*(1+Calc_ROM_2[Powercor]))*(1+GST),8),0,1))</f>
        <v>0</v>
      </c>
      <c r="K130" s="94" cm="1">
        <f t="array" ref="K130">IF(K95="-","-",
IF(ROUND(K95,8)=
ROUND(((
(SUMIFS(Calc_NetworkF_2[United Energy],Calc_NetworkF_2[[Cost item]:[Cost item]],$C130,Calc_NetworkF_2[[Customer type]:[Customer type]],$E130)+
SUMIFS(Calc_Fixed_2[United Energy],Calc_Fixed_2[[Customer type]:[Customer type]],"All")+
SUMIFS(Calc_Fixed_2[United Energy],Calc_Fixed_2[[Customer type]:[Customer type]],$E130))/DiY)*(1+Calc_ROM_2[United Energy]))*(1+GST),8),0,1))</f>
        <v>0</v>
      </c>
      <c r="M130" s="24" t="s">
        <v>509</v>
      </c>
      <c r="N130" s="24" t="s">
        <v>118</v>
      </c>
      <c r="O130" s="24" t="s">
        <v>101</v>
      </c>
      <c r="Q130" s="94" cm="1">
        <f t="array" ref="Q130">IF(Q95="-","-",
IF(ROUND(Q95,8)=
ROUND((((SUMIFS(Calc_NetworkF_2[Ausnet],Calc_NetworkF_2[[Cost item]:[Cost item]],$M130,Calc_NetworkF_2[[Customer type]:[Customer type]],$O130)+SUMIFS(Calc_Fixed_2[Ausnet],Calc_Fixed_2[[Customer type]:[Customer type]],"All")+SUMIFS(Calc_Fixed_2[Ausnet],Calc_Fixed_2[[Customer type]:[Customer type]],$O130))/DiY)*(1+Calc_ROM_2[Ausnet]))*(1+GST),8),0,1))</f>
        <v>0</v>
      </c>
      <c r="R130" s="94" cm="1">
        <f t="array" ref="R130">IF(R95="-","-",
IF(ROUND(R95,8)=
ROUND((((SUMIFS(Calc_NetworkF_2[Citipower],Calc_NetworkF_2[[Cost item]:[Cost item]],$M130,Calc_NetworkF_2[[Customer type]:[Customer type]],$O130)+SUMIFS(Calc_Fixed_2[Citipower],Calc_Fixed_2[[Customer type]:[Customer type]],"All")+SUMIFS(Calc_Fixed_2[Citipower],Calc_Fixed_2[[Customer type]:[Customer type]],$O130))/DiY)*(1+Calc_ROM_2[Citipower]))*(1+GST),8),0,1))</f>
        <v>0</v>
      </c>
      <c r="S130" s="94" cm="1">
        <f t="array" ref="S130">IF(S95="-","-",
IF(ROUND(S95,8)=
ROUND((((SUMIFS(Calc_NetworkF_2[Jemena],Calc_NetworkF_2[[Cost item]:[Cost item]],$M130,Calc_NetworkF_2[[Customer type]:[Customer type]],$O130)+SUMIFS(Calc_Fixed_2[Jemena],Calc_Fixed_2[[Customer type]:[Customer type]],"All")+SUMIFS(Calc_Fixed_2[Jemena],Calc_Fixed_2[[Customer type]:[Customer type]],$O130))/DiY)*(1+Calc_ROM_2[Jemena]))*(1+GST),8),0,1))</f>
        <v>0</v>
      </c>
      <c r="T130" s="94" cm="1">
        <f t="array" ref="T130">IF(T95="-","-",
IF(ROUND(T95,8)=
ROUND((((SUMIFS(Calc_NetworkF_2[Powercor],Calc_NetworkF_2[[Cost item]:[Cost item]],$M130,Calc_NetworkF_2[[Customer type]:[Customer type]],$O130)+SUMIFS(Calc_Fixed_2[Powercor],Calc_Fixed_2[[Customer type]:[Customer type]],"All")+SUMIFS(Calc_Fixed_2[Powercor],Calc_Fixed_2[[Customer type]:[Customer type]],$O130))/DiY)*(1+Calc_ROM_2[Powercor]))*(1+GST),8),0,1))</f>
        <v>0</v>
      </c>
      <c r="U130" s="94" cm="1">
        <f t="array" ref="U130">IF(U95="-","-",
IF(ROUND(U95,8)=
ROUND((((SUMIFS(Calc_NetworkF_2[United Energy],Calc_NetworkF_2[[Cost item]:[Cost item]],$M130,Calc_NetworkF_2[[Customer type]:[Customer type]],$O130)+SUMIFS(Calc_Fixed_2[United Energy],Calc_Fixed_2[[Customer type]:[Customer type]],"All")+SUMIFS(Calc_Fixed_2[United Energy],Calc_Fixed_2[[Customer type]:[Customer type]],$O130))/DiY)*(1+Calc_ROM_2[United Energy]))*(1+GST),8),0,1))</f>
        <v>0</v>
      </c>
    </row>
    <row r="131" spans="3:21" ht="15.75" outlineLevel="2" x14ac:dyDescent="0.25">
      <c r="C131" s="24" t="s">
        <v>230</v>
      </c>
      <c r="D131" s="24" t="s">
        <v>291</v>
      </c>
      <c r="E131" s="24" t="s">
        <v>100</v>
      </c>
      <c r="G131" s="94" cm="1">
        <f t="array" ref="G131">IF(G96="-","-",
IF(ROUND(G96,8)=ROUND(
((SUMIFS(Calc_Variable_2[Ausnet],Calc_Variable_2[[Customer type]:[Customer type]],"All")+
SUMIFS(Calc_Variable_2[Ausnet],Calc_Variable_2[[Customer type]:[Customer type]],OP_Rates!$E131)+
SUMIFS(Calc_NetworkV_2[Ausnet],Calc_NetworkV_2[[Customer type]:[Customer type]],OP_Rates!$E131,Calc_NetworkV_2[[Cost item]:[Cost item]],OP_Rates!$C131))*(1+Calc_ROM_2[Ausnet]))*(1+GST),8),0,1))</f>
        <v>0</v>
      </c>
      <c r="H131" s="94" t="str" cm="1">
        <f t="array" ref="H131">IF(H96="-","-",
IF(ROUND(H96,8)=ROUND(
((SUMIFS(Calc_Variable_2[Citipower],Calc_Variable_2[[Customer type]:[Customer type]],"All")+
SUMIFS(Calc_Variable_2[Citipower],Calc_Variable_2[[Customer type]:[Customer type]],OP_Rates!$E131)+
SUMIFS(Calc_NetworkV_2[Citipower],Calc_NetworkV_2[[Customer type]:[Customer type]],OP_Rates!$E131,Calc_NetworkV_2[[Cost item]:[Cost item]],OP_Rates!$C131))*(1+Calc_ROM_2[Citipower]))*(1+GST),8),0,1))</f>
        <v>-</v>
      </c>
      <c r="I131" s="94" t="str" cm="1">
        <f t="array" ref="I131">IF(I96="-","-",
IF(ROUND(I96,8)=ROUND(
((SUMIFS(Calc_Variable_2[Jemena],Calc_Variable_2[[Customer type]:[Customer type]],"All")+
SUMIFS(Calc_Variable_2[Jemena],Calc_Variable_2[[Customer type]:[Customer type]],OP_Rates!$E131)+
SUMIFS(Calc_NetworkV_2[Jemena],Calc_NetworkV_2[[Customer type]:[Customer type]],OP_Rates!$E131,Calc_NetworkV_2[[Cost item]:[Cost item]],OP_Rates!$C131))*(1+Calc_ROM_2[Jemena]))*(1+GST),8),0,1))</f>
        <v>-</v>
      </c>
      <c r="J131" s="94" t="str" cm="1">
        <f t="array" ref="J131">IF(J96="-","-",
IF(ROUND(J96,8)=ROUND(
((SUMIFS(Calc_Variable_2[Powercor],Calc_Variable_2[[Customer type]:[Customer type]],"All")+
SUMIFS(Calc_Variable_2[Powercor],Calc_Variable_2[[Customer type]:[Customer type]],OP_Rates!$E131)+
SUMIFS(Calc_NetworkV_2[Powercor],Calc_NetworkV_2[[Customer type]:[Customer type]],OP_Rates!$E131,Calc_NetworkV_2[[Cost item]:[Cost item]],OP_Rates!$C131))*(1+Calc_ROM_2[Powercor]))*(1+GST),8),0,1))</f>
        <v>-</v>
      </c>
      <c r="K131" s="94" t="str" cm="1">
        <f t="array" ref="K131">IF(K96="-","-",
IF(ROUND(K96,8)=ROUND(
((SUMIFS(Calc_Variable_2[United Energy],Calc_Variable_2[[Customer type]:[Customer type]],"All")+
SUMIFS(Calc_Variable_2[United Energy],Calc_Variable_2[[Customer type]:[Customer type]],OP_Rates!$E131)+
SUMIFS(Calc_NetworkV_2[United Energy],Calc_NetworkV_2[[Customer type]:[Customer type]],OP_Rates!$E131,Calc_NetworkV_2[[Cost item]:[Cost item]],OP_Rates!$C131))*(1+Calc_ROM_2[United Energy]))*(1+GST),8),0,1))</f>
        <v>-</v>
      </c>
      <c r="M131" s="24" t="s">
        <v>230</v>
      </c>
      <c r="N131" s="24" t="s">
        <v>291</v>
      </c>
      <c r="O131" s="24" t="s">
        <v>101</v>
      </c>
      <c r="Q131" s="94" cm="1">
        <f t="array" ref="Q131">IF(Q96="-","-",
IF(ROUND(Q96,8)=ROUND(
((SUMIFS(Calc_Variable_2[Ausnet],Calc_Variable_2[[Customer type]:[Customer type]],"All")+SUMIFS(Calc_Variable_2[Ausnet],Calc_Variable_2[[Customer type]:[Customer type]],OP_Rates!$O131)+
SUMIFS(Calc_NetworkV_2[Ausnet],Calc_NetworkV_2[[Customer type]:[Customer type]],OP_Rates!$O131,Calc_NetworkV_2[[Cost item]:[Cost item]],OP_Rates!$M131))*(1+Calc_ROM_2[Ausnet]))*(1+GST),8),0,1))</f>
        <v>0</v>
      </c>
      <c r="R131" s="94" t="str" cm="1">
        <f t="array" ref="R131">IF(R96="-","-",
IF(ROUND(R96,8)=ROUND(
((SUMIFS(Calc_Variable_2[Citipower],Calc_Variable_2[[Customer type]:[Customer type]],"All")+SUMIFS(Calc_Variable_2[Citipower],Calc_Variable_2[[Customer type]:[Customer type]],OP_Rates!$O131)+
SUMIFS(Calc_NetworkV_2[Citipower],Calc_NetworkV_2[[Customer type]:[Customer type]],OP_Rates!$O131,Calc_NetworkV_2[[Cost item]:[Cost item]],OP_Rates!$M131))*(1+Calc_ROM_2[Citipower]))*(1+GST),8),0,1))</f>
        <v>-</v>
      </c>
      <c r="S131" s="94" t="str" cm="1">
        <f t="array" ref="S131">IF(S96="-","-",
IF(ROUND(S96,8)=ROUND(
((SUMIFS(Calc_Variable_2[Jemena],Calc_Variable_2[[Customer type]:[Customer type]],"All")+SUMIFS(Calc_Variable_2[Jemena],Calc_Variable_2[[Customer type]:[Customer type]],OP_Rates!$O131)+
SUMIFS(Calc_NetworkV_2[Jemena],Calc_NetworkV_2[[Customer type]:[Customer type]],OP_Rates!$O131,Calc_NetworkV_2[[Cost item]:[Cost item]],OP_Rates!$M131))*(1+Calc_ROM_2[Jemena]))*(1+GST),8),0,1))</f>
        <v>-</v>
      </c>
      <c r="T131" s="94" t="str" cm="1">
        <f t="array" ref="T131">IF(T96="-","-",
IF(ROUND(T96,8)=ROUND(
((SUMIFS(Calc_Variable_2[Powercor],Calc_Variable_2[[Customer type]:[Customer type]],"All")+SUMIFS(Calc_Variable_2[Powercor],Calc_Variable_2[[Customer type]:[Customer type]],OP_Rates!$O131)+
SUMIFS(Calc_NetworkV_2[Powercor],Calc_NetworkV_2[[Customer type]:[Customer type]],OP_Rates!$O131,Calc_NetworkV_2[[Cost item]:[Cost item]],OP_Rates!$M131))*(1+Calc_ROM_2[Powercor]))*(1+GST),8),0,1))</f>
        <v>-</v>
      </c>
      <c r="U131" s="94" t="str" cm="1">
        <f t="array" ref="U131">IF(U96="-","-",
IF(ROUND(U96,8)=ROUND(
((SUMIFS(Calc_Variable_2[United Energy],Calc_Variable_2[[Customer type]:[Customer type]],"All")+SUMIFS(Calc_Variable_2[United Energy],Calc_Variable_2[[Customer type]:[Customer type]],OP_Rates!$O131)+
SUMIFS(Calc_NetworkV_2[United Energy],Calc_NetworkV_2[[Customer type]:[Customer type]],OP_Rates!$O131,Calc_NetworkV_2[[Cost item]:[Cost item]],OP_Rates!$M131))*(1+Calc_ROM_2[United Energy]))*(1+GST),8),0,1))</f>
        <v>-</v>
      </c>
    </row>
    <row r="132" spans="3:21" ht="15.75" outlineLevel="2" x14ac:dyDescent="0.25">
      <c r="C132" s="24" t="s">
        <v>237</v>
      </c>
      <c r="D132" s="24" t="s">
        <v>291</v>
      </c>
      <c r="E132" s="24" t="s">
        <v>100</v>
      </c>
      <c r="G132" s="94" cm="1">
        <f t="array" ref="G132">IF(G97="-","-",
IF(ROUND(G97,8)=ROUND(
((SUMIFS(Calc_Variable_2[Ausnet],Calc_Variable_2[[Customer type]:[Customer type]],"All")+
SUMIFS(Calc_Variable_2[Ausnet],Calc_Variable_2[[Customer type]:[Customer type]],OP_Rates!$E132)+
SUMIFS(Calc_NetworkV_2[Ausnet],Calc_NetworkV_2[[Customer type]:[Customer type]],OP_Rates!$E132,Calc_NetworkV_2[[Cost item]:[Cost item]],OP_Rates!$C132))*(1+Calc_ROM_2[Ausnet]))*(1+GST),8),0,1))</f>
        <v>0</v>
      </c>
      <c r="H132" s="94" t="str" cm="1">
        <f t="array" ref="H132">IF(H97="-","-",
IF(ROUND(H97,8)=ROUND(
((SUMIFS(Calc_Variable_2[Citipower],Calc_Variable_2[[Customer type]:[Customer type]],"All")+
SUMIFS(Calc_Variable_2[Citipower],Calc_Variable_2[[Customer type]:[Customer type]],OP_Rates!$E132)+
SUMIFS(Calc_NetworkV_2[Citipower],Calc_NetworkV_2[[Customer type]:[Customer type]],OP_Rates!$E132,Calc_NetworkV_2[[Cost item]:[Cost item]],OP_Rates!$C132))*(1+Calc_ROM_2[Citipower]))*(1+GST),8),0,1))</f>
        <v>-</v>
      </c>
      <c r="I132" s="94" t="str" cm="1">
        <f t="array" ref="I132">IF(I97="-","-",
IF(ROUND(I97,8)=ROUND(
((SUMIFS(Calc_Variable_2[Jemena],Calc_Variable_2[[Customer type]:[Customer type]],"All")+
SUMIFS(Calc_Variable_2[Jemena],Calc_Variable_2[[Customer type]:[Customer type]],OP_Rates!$E132)+
SUMIFS(Calc_NetworkV_2[Jemena],Calc_NetworkV_2[[Customer type]:[Customer type]],OP_Rates!$E132,Calc_NetworkV_2[[Cost item]:[Cost item]],OP_Rates!$C132))*(1+Calc_ROM_2[Jemena]))*(1+GST),8),0,1))</f>
        <v>-</v>
      </c>
      <c r="J132" s="94" t="str" cm="1">
        <f t="array" ref="J132">IF(J97="-","-",
IF(ROUND(J97,8)=ROUND(
((SUMIFS(Calc_Variable_2[Powercor],Calc_Variable_2[[Customer type]:[Customer type]],"All")+
SUMIFS(Calc_Variable_2[Powercor],Calc_Variable_2[[Customer type]:[Customer type]],OP_Rates!$E132)+
SUMIFS(Calc_NetworkV_2[Powercor],Calc_NetworkV_2[[Customer type]:[Customer type]],OP_Rates!$E132,Calc_NetworkV_2[[Cost item]:[Cost item]],OP_Rates!$C132))*(1+Calc_ROM_2[Powercor]))*(1+GST),8),0,1))</f>
        <v>-</v>
      </c>
      <c r="K132" s="94" t="str" cm="1">
        <f t="array" ref="K132">IF(K97="-","-",
IF(ROUND(K97,8)=ROUND(
((SUMIFS(Calc_Variable_2[United Energy],Calc_Variable_2[[Customer type]:[Customer type]],"All")+
SUMIFS(Calc_Variable_2[United Energy],Calc_Variable_2[[Customer type]:[Customer type]],OP_Rates!$E132)+
SUMIFS(Calc_NetworkV_2[United Energy],Calc_NetworkV_2[[Customer type]:[Customer type]],OP_Rates!$E132,Calc_NetworkV_2[[Cost item]:[Cost item]],OP_Rates!$C132))*(1+Calc_ROM_2[United Energy]))*(1+GST),8),0,1))</f>
        <v>-</v>
      </c>
      <c r="M132" s="24" t="s">
        <v>237</v>
      </c>
      <c r="N132" s="24" t="s">
        <v>291</v>
      </c>
      <c r="O132" s="24" t="s">
        <v>101</v>
      </c>
      <c r="Q132" s="94" cm="1">
        <f t="array" ref="Q132">IF(Q97="-","-",
IF(ROUND(Q97,8)=ROUND(
((SUMIFS(Calc_Variable_2[Ausnet],Calc_Variable_2[[Customer type]:[Customer type]],"All")+SUMIFS(Calc_Variable_2[Ausnet],Calc_Variable_2[[Customer type]:[Customer type]],OP_Rates!$O132)+
SUMIFS(Calc_NetworkV_2[Ausnet],Calc_NetworkV_2[[Customer type]:[Customer type]],OP_Rates!$O132,Calc_NetworkV_2[[Cost item]:[Cost item]],OP_Rates!$M132))*(1+Calc_ROM_2[Ausnet]))*(1+GST),8),0,1))</f>
        <v>0</v>
      </c>
      <c r="R132" s="94" t="str" cm="1">
        <f t="array" ref="R132">IF(R97="-","-",
IF(ROUND(R97,8)=ROUND(
((SUMIFS(Calc_Variable_2[Citipower],Calc_Variable_2[[Customer type]:[Customer type]],"All")+SUMIFS(Calc_Variable_2[Citipower],Calc_Variable_2[[Customer type]:[Customer type]],OP_Rates!$O132)+
SUMIFS(Calc_NetworkV_2[Citipower],Calc_NetworkV_2[[Customer type]:[Customer type]],OP_Rates!$O132,Calc_NetworkV_2[[Cost item]:[Cost item]],OP_Rates!$M132))*(1+Calc_ROM_2[Citipower]))*(1+GST),8),0,1))</f>
        <v>-</v>
      </c>
      <c r="S132" s="94" t="str" cm="1">
        <f t="array" ref="S132">IF(S97="-","-",
IF(ROUND(S97,8)=ROUND(
((SUMIFS(Calc_Variable_2[Jemena],Calc_Variable_2[[Customer type]:[Customer type]],"All")+SUMIFS(Calc_Variable_2[Jemena],Calc_Variable_2[[Customer type]:[Customer type]],OP_Rates!$O132)+
SUMIFS(Calc_NetworkV_2[Jemena],Calc_NetworkV_2[[Customer type]:[Customer type]],OP_Rates!$O132,Calc_NetworkV_2[[Cost item]:[Cost item]],OP_Rates!$M132))*(1+Calc_ROM_2[Jemena]))*(1+GST),8),0,1))</f>
        <v>-</v>
      </c>
      <c r="T132" s="94" t="str" cm="1">
        <f t="array" ref="T132">IF(T97="-","-",
IF(ROUND(T97,8)=ROUND(
((SUMIFS(Calc_Variable_2[Powercor],Calc_Variable_2[[Customer type]:[Customer type]],"All")+SUMIFS(Calc_Variable_2[Powercor],Calc_Variable_2[[Customer type]:[Customer type]],OP_Rates!$O132)+
SUMIFS(Calc_NetworkV_2[Powercor],Calc_NetworkV_2[[Customer type]:[Customer type]],OP_Rates!$O132,Calc_NetworkV_2[[Cost item]:[Cost item]],OP_Rates!$M132))*(1+Calc_ROM_2[Powercor]))*(1+GST),8),0,1))</f>
        <v>-</v>
      </c>
      <c r="U132" s="94" t="str" cm="1">
        <f t="array" ref="U132">IF(U97="-","-",
IF(ROUND(U97,8)=ROUND(
((SUMIFS(Calc_Variable_2[United Energy],Calc_Variable_2[[Customer type]:[Customer type]],"All")+SUMIFS(Calc_Variable_2[United Energy],Calc_Variable_2[[Customer type]:[Customer type]],OP_Rates!$O132)+
SUMIFS(Calc_NetworkV_2[United Energy],Calc_NetworkV_2[[Customer type]:[Customer type]],OP_Rates!$O132,Calc_NetworkV_2[[Cost item]:[Cost item]],OP_Rates!$M132))*(1+Calc_ROM_2[United Energy]))*(1+GST),8),0,1))</f>
        <v>-</v>
      </c>
    </row>
    <row r="133" spans="3:21" ht="15.75" outlineLevel="2" x14ac:dyDescent="0.25">
      <c r="C133" s="24" t="s">
        <v>508</v>
      </c>
      <c r="D133" s="24" t="s">
        <v>291</v>
      </c>
      <c r="E133" s="24" t="s">
        <v>100</v>
      </c>
      <c r="G133" s="94" t="str" cm="1">
        <f t="array" ref="G133">IF(G98="-","-",
IF(ROUND(G98,8)=ROUND(
((SUMIFS(Calc_Variable_2[Ausnet],Calc_Variable_2[[Customer type]:[Customer type]],"All")+
SUMIFS(Calc_Variable_2[Ausnet],Calc_Variable_2[[Customer type]:[Customer type]],OP_Rates!$E133)+
SUMIFS(Calc_NetworkV_2[Ausnet],Calc_NetworkV_2[[Customer type]:[Customer type]],OP_Rates!$E133,Calc_NetworkV_2[[Cost item]:[Cost item]],OP_Rates!$C133))*(1+Calc_ROM_2[Ausnet]))*(1+GST),8),0,1))</f>
        <v>-</v>
      </c>
      <c r="H133" s="94" cm="1">
        <f t="array" ref="H133">IF(H98="-","-",
IF(ROUND(H98,8)=ROUND(
((SUMIFS(Calc_Variable_2[Citipower],Calc_Variable_2[[Customer type]:[Customer type]],"All")+
SUMIFS(Calc_Variable_2[Citipower],Calc_Variable_2[[Customer type]:[Customer type]],OP_Rates!$E133)+
SUMIFS(Calc_NetworkV_2[Citipower],Calc_NetworkV_2[[Customer type]:[Customer type]],OP_Rates!$E133,Calc_NetworkV_2[[Cost item]:[Cost item]],OP_Rates!$C133))*(1+Calc_ROM_2[Citipower]))*(1+GST),8),0,1))</f>
        <v>0</v>
      </c>
      <c r="I133" s="94" cm="1">
        <f t="array" ref="I133">IF(I98="-","-",
IF(ROUND(I98,8)=ROUND(
((SUMIFS(Calc_Variable_2[Jemena],Calc_Variable_2[[Customer type]:[Customer type]],"All")+
SUMIFS(Calc_Variable_2[Jemena],Calc_Variable_2[[Customer type]:[Customer type]],OP_Rates!$E133)+
SUMIFS(Calc_NetworkV_2[Jemena],Calc_NetworkV_2[[Customer type]:[Customer type]],OP_Rates!$E133,Calc_NetworkV_2[[Cost item]:[Cost item]],OP_Rates!$C133))*(1+Calc_ROM_2[Jemena]))*(1+GST),8),0,1))</f>
        <v>0</v>
      </c>
      <c r="J133" s="94" cm="1">
        <f t="array" ref="J133">IF(J98="-","-",
IF(ROUND(J98,8)=ROUND(
((SUMIFS(Calc_Variable_2[Powercor],Calc_Variable_2[[Customer type]:[Customer type]],"All")+
SUMIFS(Calc_Variable_2[Powercor],Calc_Variable_2[[Customer type]:[Customer type]],OP_Rates!$E133)+
SUMIFS(Calc_NetworkV_2[Powercor],Calc_NetworkV_2[[Customer type]:[Customer type]],OP_Rates!$E133,Calc_NetworkV_2[[Cost item]:[Cost item]],OP_Rates!$C133))*(1+Calc_ROM_2[Powercor]))*(1+GST),8),0,1))</f>
        <v>0</v>
      </c>
      <c r="K133" s="94" cm="1">
        <f t="array" ref="K133">IF(K98="-","-",
IF(ROUND(K98,8)=ROUND(
((SUMIFS(Calc_Variable_2[United Energy],Calc_Variable_2[[Customer type]:[Customer type]],"All")+
SUMIFS(Calc_Variable_2[United Energy],Calc_Variable_2[[Customer type]:[Customer type]],OP_Rates!$E133)+
SUMIFS(Calc_NetworkV_2[United Energy],Calc_NetworkV_2[[Customer type]:[Customer type]],OP_Rates!$E133,Calc_NetworkV_2[[Cost item]:[Cost item]],OP_Rates!$C133))*(1+Calc_ROM_2[United Energy]))*(1+GST),8),0,1))</f>
        <v>0</v>
      </c>
      <c r="M133" s="24" t="s">
        <v>508</v>
      </c>
      <c r="N133" s="24" t="s">
        <v>291</v>
      </c>
      <c r="O133" s="24" t="s">
        <v>101</v>
      </c>
      <c r="Q133" s="94" t="str" cm="1">
        <f t="array" ref="Q133">IF(Q98="-","-",
IF(ROUND(Q98,8)=ROUND(
((SUMIFS(Calc_Variable_2[Ausnet],Calc_Variable_2[[Customer type]:[Customer type]],"All")+SUMIFS(Calc_Variable_2[Ausnet],Calc_Variable_2[[Customer type]:[Customer type]],OP_Rates!$O133)+
SUMIFS(Calc_NetworkV_2[Ausnet],Calc_NetworkV_2[[Customer type]:[Customer type]],OP_Rates!$O133,Calc_NetworkV_2[[Cost item]:[Cost item]],OP_Rates!$M133))*(1+Calc_ROM_2[Ausnet]))*(1+GST),8),0,1))</f>
        <v>-</v>
      </c>
      <c r="R133" s="94" cm="1">
        <f t="array" ref="R133">IF(R98="-","-",
IF(ROUND(R98,8)=ROUND(
((SUMIFS(Calc_Variable_2[Citipower],Calc_Variable_2[[Customer type]:[Customer type]],"All")+SUMIFS(Calc_Variable_2[Citipower],Calc_Variable_2[[Customer type]:[Customer type]],OP_Rates!$O133)+
SUMIFS(Calc_NetworkV_2[Citipower],Calc_NetworkV_2[[Customer type]:[Customer type]],OP_Rates!$O133,Calc_NetworkV_2[[Cost item]:[Cost item]],OP_Rates!$M133))*(1+Calc_ROM_2[Citipower]))*(1+GST),8),0,1))</f>
        <v>0</v>
      </c>
      <c r="S133" s="94" cm="1">
        <f t="array" ref="S133">IF(S98="-","-",
IF(ROUND(S98,8)=ROUND(
((SUMIFS(Calc_Variable_2[Jemena],Calc_Variable_2[[Customer type]:[Customer type]],"All")+SUMIFS(Calc_Variable_2[Jemena],Calc_Variable_2[[Customer type]:[Customer type]],OP_Rates!$O133)+
SUMIFS(Calc_NetworkV_2[Jemena],Calc_NetworkV_2[[Customer type]:[Customer type]],OP_Rates!$O133,Calc_NetworkV_2[[Cost item]:[Cost item]],OP_Rates!$M133))*(1+Calc_ROM_2[Jemena]))*(1+GST),8),0,1))</f>
        <v>0</v>
      </c>
      <c r="T133" s="94" cm="1">
        <f t="array" ref="T133">IF(T98="-","-",
IF(ROUND(T98,8)=ROUND(
((SUMIFS(Calc_Variable_2[Powercor],Calc_Variable_2[[Customer type]:[Customer type]],"All")+SUMIFS(Calc_Variable_2[Powercor],Calc_Variable_2[[Customer type]:[Customer type]],OP_Rates!$O133)+
SUMIFS(Calc_NetworkV_2[Powercor],Calc_NetworkV_2[[Customer type]:[Customer type]],OP_Rates!$O133,Calc_NetworkV_2[[Cost item]:[Cost item]],OP_Rates!$M133))*(1+Calc_ROM_2[Powercor]))*(1+GST),8),0,1))</f>
        <v>0</v>
      </c>
      <c r="U133" s="94" cm="1">
        <f t="array" ref="U133">IF(U98="-","-",
IF(ROUND(U98,8)=ROUND(
((SUMIFS(Calc_Variable_2[United Energy],Calc_Variable_2[[Customer type]:[Customer type]],"All")+SUMIFS(Calc_Variable_2[United Energy],Calc_Variable_2[[Customer type]:[Customer type]],OP_Rates!$O133)+
SUMIFS(Calc_NetworkV_2[United Energy],Calc_NetworkV_2[[Customer type]:[Customer type]],OP_Rates!$O133,Calc_NetworkV_2[[Cost item]:[Cost item]],OP_Rates!$M133))*(1+Calc_ROM_2[United Energy]))*(1+GST),8),0,1))</f>
        <v>0</v>
      </c>
    </row>
    <row r="134" spans="3:21" ht="15.75" outlineLevel="2" x14ac:dyDescent="0.25">
      <c r="C134" s="24" t="s">
        <v>510</v>
      </c>
      <c r="D134" s="24" t="s">
        <v>118</v>
      </c>
      <c r="E134" s="24" t="s">
        <v>100</v>
      </c>
      <c r="G134" s="94" cm="1">
        <f t="array" ref="G134">IF(G99="-","-",
IF(ROUND(G99,8)=
ROUND((((SUMIFS(Calc_NetworkF_2[Ausnet],Calc_NetworkF_2[[Cost item]:[Cost item]],$C134,Calc_NetworkF_2[[Customer type]:[Customer type]],$E134)+SUMIFS(Calc_Fixed_2[Ausnet],Calc_Fixed_2[[Customer type]:[Customer type]],"All")+SUMIFS(Calc_Fixed_2[Ausnet],Calc_Fixed_2[[Customer type]:[Customer type]],$E134))/DiY)*(1+Calc_ROM_2[Ausnet]))*(1+GST),8),0,1))</f>
        <v>0</v>
      </c>
      <c r="H134" s="94" cm="1">
        <f t="array" ref="H134">IF(H99="-","-",
IF(ROUND(H99,8)=
ROUND((((SUMIFS(Calc_NetworkF_2[Citipower],Calc_NetworkF_2[[Cost item]:[Cost item]],$C134,Calc_NetworkF_2[[Customer type]:[Customer type]],$E134)+SUMIFS(Calc_Fixed_2[Citipower],Calc_Fixed_2[[Customer type]:[Customer type]],"All")+SUMIFS(Calc_Fixed_2[Citipower],Calc_Fixed_2[[Customer type]:[Customer type]],$E134))/DiY)*(1+Calc_ROM_2[Citipower]))*(1+GST),8),0,1))</f>
        <v>0</v>
      </c>
      <c r="I134" s="94" cm="1">
        <f t="array" ref="I134">IF(I99="-","-",
IF(ROUND(I99,8)=
ROUND((((SUMIFS(Calc_NetworkF_2[Jemena],Calc_NetworkF_2[[Cost item]:[Cost item]],$C134,Calc_NetworkF_2[[Customer type]:[Customer type]],$E134)+SUMIFS(Calc_Fixed_2[Jemena],Calc_Fixed_2[[Customer type]:[Customer type]],"All")+SUMIFS(Calc_Fixed_2[Jemena],Calc_Fixed_2[[Customer type]:[Customer type]],$E134))/DiY)*(1+Calc_ROM_2[Jemena]))*(1+GST),8),0,1))</f>
        <v>0</v>
      </c>
      <c r="J134" s="94" cm="1">
        <f t="array" ref="J134">IF(J99="-","-",
IF(ROUND(J99,8)=
ROUND((((SUMIFS(Calc_NetworkF_2[Powercor],Calc_NetworkF_2[[Cost item]:[Cost item]],$C134,Calc_NetworkF_2[[Customer type]:[Customer type]],$E134)+SUMIFS(Calc_Fixed_2[Powercor],Calc_Fixed_2[[Customer type]:[Customer type]],"All")+SUMIFS(Calc_Fixed_2[Powercor],Calc_Fixed_2[[Customer type]:[Customer type]],$E134))/DiY)*(1+Calc_ROM_2[Powercor]))*(1+GST),8),0,1))</f>
        <v>0</v>
      </c>
      <c r="K134" s="94" cm="1">
        <f t="array" ref="K134">IF(K99="-","-",
IF(ROUND(K99,8)=
ROUND((((SUMIFS(Calc_NetworkF_2[United Energy],Calc_NetworkF_2[[Cost item]:[Cost item]],$C134,Calc_NetworkF_2[[Customer type]:[Customer type]],$E134)+SUMIFS(Calc_Fixed_2[United Energy],Calc_Fixed_2[[Customer type]:[Customer type]],"All")+SUMIFS(Calc_Fixed_2[United Energy],Calc_Fixed_2[[Customer type]:[Customer type]],$E134))/DiY)*(1+Calc_ROM_2[United Energy]))*(1+GST),8),0,1))</f>
        <v>0</v>
      </c>
      <c r="M134" s="24" t="s">
        <v>510</v>
      </c>
      <c r="N134" s="24" t="s">
        <v>118</v>
      </c>
      <c r="O134" s="24" t="s">
        <v>101</v>
      </c>
      <c r="Q134" s="94" cm="1">
        <f t="array" ref="Q134">IF(Q99="-","-",
IF(ROUND(Q99,8)=
ROUND((((SUMIFS(Calc_NetworkF_2[Ausnet],Calc_NetworkF_2[[Cost item]:[Cost item]],$M134,Calc_NetworkF_2[[Customer type]:[Customer type]],$O134)+SUMIFS(Calc_Fixed_2[Ausnet],Calc_Fixed_2[[Customer type]:[Customer type]],"All")+SUMIFS(Calc_Fixed_2[Ausnet],Calc_Fixed_2[[Customer type]:[Customer type]],$O134))/DiY)*(1+Calc_ROM_2[Ausnet]))*(1+GST),8),0,1))</f>
        <v>0</v>
      </c>
      <c r="R134" s="94" cm="1">
        <f t="array" ref="R134">IF(R99="-","-",
IF(ROUND(R99,8)=
ROUND((((SUMIFS(Calc_NetworkF_2[Citipower],Calc_NetworkF_2[[Cost item]:[Cost item]],$M134,Calc_NetworkF_2[[Customer type]:[Customer type]],$O134)+SUMIFS(Calc_Fixed_2[Citipower],Calc_Fixed_2[[Customer type]:[Customer type]],"All")+SUMIFS(Calc_Fixed_2[Citipower],Calc_Fixed_2[[Customer type]:[Customer type]],$O134))/DiY)*(1+Calc_ROM_2[Citipower]))*(1+GST),8),0,1))</f>
        <v>0</v>
      </c>
      <c r="S134" s="94" cm="1">
        <f t="array" ref="S134">IF(S99="-","-",
IF(ROUND(S99,8)=
ROUND((((SUMIFS(Calc_NetworkF_2[Jemena],Calc_NetworkF_2[[Cost item]:[Cost item]],$M134,Calc_NetworkF_2[[Customer type]:[Customer type]],$O134)+SUMIFS(Calc_Fixed_2[Jemena],Calc_Fixed_2[[Customer type]:[Customer type]],"All")+SUMIFS(Calc_Fixed_2[Jemena],Calc_Fixed_2[[Customer type]:[Customer type]],$O134))/DiY)*(1+Calc_ROM_2[Jemena]))*(1+GST),8),0,1))</f>
        <v>0</v>
      </c>
      <c r="T134" s="94" cm="1">
        <f t="array" ref="T134">IF(T99="-","-",
IF(ROUND(T99,8)=
ROUND((((SUMIFS(Calc_NetworkF_2[Powercor],Calc_NetworkF_2[[Cost item]:[Cost item]],$M134,Calc_NetworkF_2[[Customer type]:[Customer type]],$O134)+SUMIFS(Calc_Fixed_2[Powercor],Calc_Fixed_2[[Customer type]:[Customer type]],"All")+SUMIFS(Calc_Fixed_2[Powercor],Calc_Fixed_2[[Customer type]:[Customer type]],$O134))/DiY)*(1+Calc_ROM_2[Powercor]))*(1+GST),8),0,1))</f>
        <v>0</v>
      </c>
      <c r="U134" s="94" cm="1">
        <f t="array" ref="U134">IF(U99="-","-",
IF(ROUND(U99,8)=
ROUND((((SUMIFS(Calc_NetworkF_2[United Energy],Calc_NetworkF_2[[Cost item]:[Cost item]],$M134,Calc_NetworkF_2[[Customer type]:[Customer type]],$O134)+SUMIFS(Calc_Fixed_2[United Energy],Calc_Fixed_2[[Customer type]:[Customer type]],"All")+SUMIFS(Calc_Fixed_2[United Energy],Calc_Fixed_2[[Customer type]:[Customer type]],$O134))/DiY)*(1+Calc_ROM_2[United Energy]))*(1+GST),8),0,1))</f>
        <v>0</v>
      </c>
    </row>
    <row r="135" spans="3:21" ht="15.75" outlineLevel="2" x14ac:dyDescent="0.25">
      <c r="C135" s="24" t="s">
        <v>239</v>
      </c>
      <c r="D135" s="24" t="s">
        <v>291</v>
      </c>
      <c r="E135" s="24" t="s">
        <v>100</v>
      </c>
      <c r="G135" s="94" cm="1">
        <f t="array" ref="G135">IF(G100="-","-",
IF(ROUND(G100,8)=ROUND(
((SUMIFS(Calc_Variable_2[Ausnet],Calc_Variable_2[[Customer type]:[Customer type]],"All")+
SUMIFS(Calc_Variable_2[Ausnet],Calc_Variable_2[[Customer type]:[Customer type]],OP_Rates!$E135)+
SUMIFS(Calc_NetworkV_2[Ausnet],Calc_NetworkV_2[[Customer type]:[Customer type]],OP_Rates!$E135,Calc_NetworkV_2[[Cost item]:[Cost item]],OP_Rates!$C135))*(1+Calc_ROM_2[Ausnet]))*(1+GST),8),0,1))</f>
        <v>0</v>
      </c>
      <c r="H135" s="94" cm="1">
        <f t="array" ref="H135">IF(H100="-","-",
IF(ROUND(H100,8)=ROUND(
((SUMIFS(Calc_Variable_2[Citipower],Calc_Variable_2[[Customer type]:[Customer type]],"All")+
SUMIFS(Calc_Variable_2[Citipower],Calc_Variable_2[[Customer type]:[Customer type]],OP_Rates!$E135)+
SUMIFS(Calc_NetworkV_2[Citipower],Calc_NetworkV_2[[Customer type]:[Customer type]],OP_Rates!$E135,Calc_NetworkV_2[[Cost item]:[Cost item]],OP_Rates!$C135))*(1+Calc_ROM_2[Citipower]))*(1+GST),8),0,1))</f>
        <v>0</v>
      </c>
      <c r="I135" s="94" cm="1">
        <f t="array" ref="I135">IF(I100="-","-",
IF(ROUND(I100,8)=ROUND(
((SUMIFS(Calc_Variable_2[Jemena],Calc_Variable_2[[Customer type]:[Customer type]],"All")+
SUMIFS(Calc_Variable_2[Jemena],Calc_Variable_2[[Customer type]:[Customer type]],OP_Rates!$E135)+
SUMIFS(Calc_NetworkV_2[Jemena],Calc_NetworkV_2[[Customer type]:[Customer type]],OP_Rates!$E135,Calc_NetworkV_2[[Cost item]:[Cost item]],OP_Rates!$C135))*(1+Calc_ROM_2[Jemena]))*(1+GST),8),0,1))</f>
        <v>0</v>
      </c>
      <c r="J135" s="94" cm="1">
        <f t="array" ref="J135">IF(J100="-","-",
IF(ROUND(J100,8)=ROUND(
((SUMIFS(Calc_Variable_2[Powercor],Calc_Variable_2[[Customer type]:[Customer type]],"All")+
SUMIFS(Calc_Variable_2[Powercor],Calc_Variable_2[[Customer type]:[Customer type]],OP_Rates!$E135)+
SUMIFS(Calc_NetworkV_2[Powercor],Calc_NetworkV_2[[Customer type]:[Customer type]],OP_Rates!$E135,Calc_NetworkV_2[[Cost item]:[Cost item]],OP_Rates!$C135))*(1+Calc_ROM_2[Powercor]))*(1+GST),8),0,1))</f>
        <v>0</v>
      </c>
      <c r="K135" s="94" cm="1">
        <f t="array" ref="K135">IF(K100="-","-",
IF(ROUND(K100,8)=ROUND(
((SUMIFS(Calc_Variable_2[United Energy],Calc_Variable_2[[Customer type]:[Customer type]],"All")+
SUMIFS(Calc_Variable_2[United Energy],Calc_Variable_2[[Customer type]:[Customer type]],OP_Rates!$E135)+
SUMIFS(Calc_NetworkV_2[United Energy],Calc_NetworkV_2[[Customer type]:[Customer type]],OP_Rates!$E135,Calc_NetworkV_2[[Cost item]:[Cost item]],OP_Rates!$C135))*(1+Calc_ROM_2[United Energy]))*(1+GST),8),0,1))</f>
        <v>0</v>
      </c>
      <c r="M135" s="24" t="s">
        <v>239</v>
      </c>
      <c r="N135" s="24" t="s">
        <v>291</v>
      </c>
      <c r="O135" s="24" t="s">
        <v>101</v>
      </c>
      <c r="Q135" s="94" cm="1">
        <f t="array" ref="Q135">IF(Q100="-","-",
IF(ROUND(Q100,8)=ROUND(
((SUMIFS(Calc_Variable_2[Ausnet],Calc_Variable_2[[Customer type]:[Customer type]],"All")+SUMIFS(Calc_Variable_2[Ausnet],Calc_Variable_2[[Customer type]:[Customer type]],OP_Rates!$O135)+
SUMIFS(Calc_NetworkV_2[Ausnet],Calc_NetworkV_2[[Customer type]:[Customer type]],OP_Rates!$O135,Calc_NetworkV_2[[Cost item]:[Cost item]],OP_Rates!$M135))*(1+Calc_ROM_2[Ausnet]))*(1+GST),8),0,1))</f>
        <v>0</v>
      </c>
      <c r="R135" s="94" cm="1">
        <f t="array" ref="R135">IF(R100="-","-",
IF(ROUND(R100,8)=ROUND(
((SUMIFS(Calc_Variable_2[Citipower],Calc_Variable_2[[Customer type]:[Customer type]],"All")+SUMIFS(Calc_Variable_2[Citipower],Calc_Variable_2[[Customer type]:[Customer type]],OP_Rates!$O135)+
SUMIFS(Calc_NetworkV_2[Citipower],Calc_NetworkV_2[[Customer type]:[Customer type]],OP_Rates!$O135,Calc_NetworkV_2[[Cost item]:[Cost item]],OP_Rates!$M135))*(1+Calc_ROM_2[Citipower]))*(1+GST),8),0,1))</f>
        <v>0</v>
      </c>
      <c r="S135" s="94" cm="1">
        <f t="array" ref="S135">IF(S100="-","-",
IF(ROUND(S100,8)=ROUND(
((SUMIFS(Calc_Variable_2[Jemena],Calc_Variable_2[[Customer type]:[Customer type]],"All")+SUMIFS(Calc_Variable_2[Jemena],Calc_Variable_2[[Customer type]:[Customer type]],OP_Rates!$O135)+
SUMIFS(Calc_NetworkV_2[Jemena],Calc_NetworkV_2[[Customer type]:[Customer type]],OP_Rates!$O135,Calc_NetworkV_2[[Cost item]:[Cost item]],OP_Rates!$M135))*(1+Calc_ROM_2[Jemena]))*(1+GST),8),0,1))</f>
        <v>0</v>
      </c>
      <c r="T135" s="94" cm="1">
        <f t="array" ref="T135">IF(T100="-","-",
IF(ROUND(T100,8)=ROUND(
((SUMIFS(Calc_Variable_2[Powercor],Calc_Variable_2[[Customer type]:[Customer type]],"All")+SUMIFS(Calc_Variable_2[Powercor],Calc_Variable_2[[Customer type]:[Customer type]],OP_Rates!$O135)+
SUMIFS(Calc_NetworkV_2[Powercor],Calc_NetworkV_2[[Customer type]:[Customer type]],OP_Rates!$O135,Calc_NetworkV_2[[Cost item]:[Cost item]],OP_Rates!$M135))*(1+Calc_ROM_2[Powercor]))*(1+GST),8),0,1))</f>
        <v>0</v>
      </c>
      <c r="U135" s="94" cm="1">
        <f t="array" ref="U135">IF(U100="-","-",
IF(ROUND(U100,8)=ROUND(
((SUMIFS(Calc_Variable_2[United Energy],Calc_Variable_2[[Customer type]:[Customer type]],"All")+SUMIFS(Calc_Variable_2[United Energy],Calc_Variable_2[[Customer type]:[Customer type]],OP_Rates!$O135)+
SUMIFS(Calc_NetworkV_2[United Energy],Calc_NetworkV_2[[Customer type]:[Customer type]],OP_Rates!$O135,Calc_NetworkV_2[[Cost item]:[Cost item]],OP_Rates!$M135))*(1+Calc_ROM_2[United Energy]))*(1+GST),8),0,1))</f>
        <v>0</v>
      </c>
    </row>
    <row r="136" spans="3:21" ht="15.75" outlineLevel="2" x14ac:dyDescent="0.25">
      <c r="C136" s="24" t="s">
        <v>538</v>
      </c>
      <c r="D136" s="24" t="s">
        <v>291</v>
      </c>
      <c r="E136" s="24" t="s">
        <v>100</v>
      </c>
      <c r="G136" s="94" cm="1">
        <f t="array" ref="G136">IF(G101="-","-",
IF(ROUND(G101,8)=ROUND(
((SUMIFS(Calc_Variable_2[Ausnet],Calc_Variable_2[[Customer type]:[Customer type]],"All")+
SUMIFS(Calc_Variable_2[Ausnet],Calc_Variable_2[[Customer type]:[Customer type]],OP_Rates!$E136)+
SUMIFS(Calc_NetworkV_2[Ausnet],Calc_NetworkV_2[[Customer type]:[Customer type]],OP_Rates!$E136,Calc_NetworkV_2[[Cost item]:[Cost item]],OP_Rates!$C136))*(1+Calc_ROM_2[Ausnet]))*(1+GST),8),0,1))</f>
        <v>0</v>
      </c>
      <c r="H136" s="94" cm="1">
        <f t="array" ref="H136">IF(H101="-","-",
IF(ROUND(H101,8)=ROUND(
((SUMIFS(Calc_Variable_2[Citipower],Calc_Variable_2[[Customer type]:[Customer type]],"All")+
SUMIFS(Calc_Variable_2[Citipower],Calc_Variable_2[[Customer type]:[Customer type]],OP_Rates!$E136)+
SUMIFS(Calc_NetworkV_2[Citipower],Calc_NetworkV_2[[Customer type]:[Customer type]],OP_Rates!$E136,Calc_NetworkV_2[[Cost item]:[Cost item]],OP_Rates!$C136))*(1+Calc_ROM_2[Citipower]))*(1+GST),8),0,1))</f>
        <v>0</v>
      </c>
      <c r="I136" s="94" cm="1">
        <f t="array" ref="I136">IF(I101="-","-",
IF(ROUND(I101,8)=ROUND(
((SUMIFS(Calc_Variable_2[Jemena],Calc_Variable_2[[Customer type]:[Customer type]],"All")+
SUMIFS(Calc_Variable_2[Jemena],Calc_Variable_2[[Customer type]:[Customer type]],OP_Rates!$E136)+
SUMIFS(Calc_NetworkV_2[Jemena],Calc_NetworkV_2[[Customer type]:[Customer type]],OP_Rates!$E136,Calc_NetworkV_2[[Cost item]:[Cost item]],OP_Rates!$C136))*(1+Calc_ROM_2[Jemena]))*(1+GST),8),0,1))</f>
        <v>0</v>
      </c>
      <c r="J136" s="94" cm="1">
        <f t="array" ref="J136">IF(J101="-","-",
IF(ROUND(J101,8)=ROUND(
((SUMIFS(Calc_Variable_2[Powercor],Calc_Variable_2[[Customer type]:[Customer type]],"All")+
SUMIFS(Calc_Variable_2[Powercor],Calc_Variable_2[[Customer type]:[Customer type]],OP_Rates!$E136)+
SUMIFS(Calc_NetworkV_2[Powercor],Calc_NetworkV_2[[Customer type]:[Customer type]],OP_Rates!$E136,Calc_NetworkV_2[[Cost item]:[Cost item]],OP_Rates!$C136))*(1+Calc_ROM_2[Powercor]))*(1+GST),8),0,1))</f>
        <v>0</v>
      </c>
      <c r="K136" s="94" cm="1">
        <f t="array" ref="K136">IF(K101="-","-",
IF(ROUND(K101,8)=ROUND(
((SUMIFS(Calc_Variable_2[United Energy],Calc_Variable_2[[Customer type]:[Customer type]],"All")+
SUMIFS(Calc_Variable_2[United Energy],Calc_Variable_2[[Customer type]:[Customer type]],OP_Rates!$E136)+
SUMIFS(Calc_NetworkV_2[United Energy],Calc_NetworkV_2[[Customer type]:[Customer type]],OP_Rates!$E136,Calc_NetworkV_2[[Cost item]:[Cost item]],OP_Rates!$C136))*(1+Calc_ROM_2[United Energy]))*(1+GST),8),0,1))</f>
        <v>0</v>
      </c>
      <c r="M136" s="24" t="s">
        <v>538</v>
      </c>
      <c r="N136" s="24" t="s">
        <v>291</v>
      </c>
      <c r="O136" s="24" t="s">
        <v>101</v>
      </c>
      <c r="Q136" s="94" cm="1">
        <f t="array" ref="Q136">IF(Q101="-","-",
IF(ROUND(Q101,8)=ROUND(
((SUMIFS(Calc_Variable_2[Ausnet],Calc_Variable_2[[Customer type]:[Customer type]],"All")+SUMIFS(Calc_Variable_2[Ausnet],Calc_Variable_2[[Customer type]:[Customer type]],OP_Rates!$O136)+
SUMIFS(Calc_NetworkV_2[Ausnet],Calc_NetworkV_2[[Customer type]:[Customer type]],OP_Rates!$O136,Calc_NetworkV_2[[Cost item]:[Cost item]],OP_Rates!$M136))*(1+Calc_ROM_2[Ausnet]))*(1+GST),8),0,1))</f>
        <v>0</v>
      </c>
      <c r="R136" s="94" cm="1">
        <f t="array" ref="R136">IF(R101="-","-",
IF(ROUND(R101,8)=ROUND(
((SUMIFS(Calc_Variable_2[Citipower],Calc_Variable_2[[Customer type]:[Customer type]],"All")+SUMIFS(Calc_Variable_2[Citipower],Calc_Variable_2[[Customer type]:[Customer type]],OP_Rates!$O136)+
SUMIFS(Calc_NetworkV_2[Citipower],Calc_NetworkV_2[[Customer type]:[Customer type]],OP_Rates!$O136,Calc_NetworkV_2[[Cost item]:[Cost item]],OP_Rates!$M136))*(1+Calc_ROM_2[Citipower]))*(1+GST),8),0,1))</f>
        <v>0</v>
      </c>
      <c r="S136" s="94" cm="1">
        <f t="array" ref="S136">IF(S101="-","-",
IF(ROUND(S101,8)=ROUND(
((SUMIFS(Calc_Variable_2[Jemena],Calc_Variable_2[[Customer type]:[Customer type]],"All")+SUMIFS(Calc_Variable_2[Jemena],Calc_Variable_2[[Customer type]:[Customer type]],OP_Rates!$O136)+
SUMIFS(Calc_NetworkV_2[Jemena],Calc_NetworkV_2[[Customer type]:[Customer type]],OP_Rates!$O136,Calc_NetworkV_2[[Cost item]:[Cost item]],OP_Rates!$M136))*(1+Calc_ROM_2[Jemena]))*(1+GST),8),0,1))</f>
        <v>0</v>
      </c>
      <c r="T136" s="94" cm="1">
        <f t="array" ref="T136">IF(T101="-","-",
IF(ROUND(T101,8)=ROUND(
((SUMIFS(Calc_Variable_2[Powercor],Calc_Variable_2[[Customer type]:[Customer type]],"All")+SUMIFS(Calc_Variable_2[Powercor],Calc_Variable_2[[Customer type]:[Customer type]],OP_Rates!$O136)+
SUMIFS(Calc_NetworkV_2[Powercor],Calc_NetworkV_2[[Customer type]:[Customer type]],OP_Rates!$O136,Calc_NetworkV_2[[Cost item]:[Cost item]],OP_Rates!$M136))*(1+Calc_ROM_2[Powercor]))*(1+GST),8),0,1))</f>
        <v>0</v>
      </c>
      <c r="U136" s="94" cm="1">
        <f t="array" ref="U136">IF(U101="-","-",
IF(ROUND(U101,8)=ROUND(
((SUMIFS(Calc_Variable_2[United Energy],Calc_Variable_2[[Customer type]:[Customer type]],"All")+SUMIFS(Calc_Variable_2[United Energy],Calc_Variable_2[[Customer type]:[Customer type]],OP_Rates!$O136)+
SUMIFS(Calc_NetworkV_2[United Energy],Calc_NetworkV_2[[Customer type]:[Customer type]],OP_Rates!$O136,Calc_NetworkV_2[[Cost item]:[Cost item]],OP_Rates!$M136))*(1+Calc_ROM_2[United Energy]))*(1+GST),8),0,1))</f>
        <v>0</v>
      </c>
    </row>
    <row r="137" spans="3:21" ht="15.75" outlineLevel="2" x14ac:dyDescent="0.25">
      <c r="C137" s="24" t="s">
        <v>296</v>
      </c>
      <c r="D137" s="24" t="s">
        <v>291</v>
      </c>
      <c r="E137" s="24" t="s">
        <v>100</v>
      </c>
      <c r="G137" s="94" cm="1">
        <f t="array" ref="G137">IF(G102="-","-",
IF(ROUND(G102,8)=ROUND(
((SUMIFS(Calc_Variable_2[Ausnet],Calc_Variable_2[[Customer type]:[Customer type]],"All")+
SUMIFS(Calc_Variable_2[Ausnet],Calc_Variable_2[[Customer type]:[Customer type]],OP_Rates!$E137)+
SUMIFS(Calc_NetworkV_2[Ausnet],Calc_NetworkV_2[[Customer type]:[Customer type]],OP_Rates!$E137,Calc_NetworkV_2[[Cost item]:[Cost item]],OP_Rates!$C137))*(1+Calc_ROM_2[Ausnet]))*(1+GST),8),0,1))</f>
        <v>0</v>
      </c>
      <c r="H137" s="94" cm="1">
        <f t="array" ref="H137">IF(H102="-","-",
IF(ROUND(H102,8)=ROUND(
((SUMIFS(Calc_Variable_2[Citipower],Calc_Variable_2[[Customer type]:[Customer type]],"All")+
SUMIFS(Calc_Variable_2[Citipower],Calc_Variable_2[[Customer type]:[Customer type]],OP_Rates!$E137)+
SUMIFS(Calc_NetworkV_2[Citipower],Calc_NetworkV_2[[Customer type]:[Customer type]],OP_Rates!$E137,Calc_NetworkV_2[[Cost item]:[Cost item]],OP_Rates!$C137))*(1+Calc_ROM_2[Citipower]))*(1+GST),8),0,1))</f>
        <v>0</v>
      </c>
      <c r="I137" s="94" cm="1">
        <f t="array" ref="I137">IF(I102="-","-",
IF(ROUND(I102,8)=ROUND(
((SUMIFS(Calc_Variable_2[Jemena],Calc_Variable_2[[Customer type]:[Customer type]],"All")+
SUMIFS(Calc_Variable_2[Jemena],Calc_Variable_2[[Customer type]:[Customer type]],OP_Rates!$E137)+
SUMIFS(Calc_NetworkV_2[Jemena],Calc_NetworkV_2[[Customer type]:[Customer type]],OP_Rates!$E137,Calc_NetworkV_2[[Cost item]:[Cost item]],OP_Rates!$C137))*(1+Calc_ROM_2[Jemena]))*(1+GST),8),0,1))</f>
        <v>0</v>
      </c>
      <c r="J137" s="94" cm="1">
        <f t="array" ref="J137">IF(J102="-","-",
IF(ROUND(J102,8)=ROUND(
((SUMIFS(Calc_Variable_2[Powercor],Calc_Variable_2[[Customer type]:[Customer type]],"All")+
SUMIFS(Calc_Variable_2[Powercor],Calc_Variable_2[[Customer type]:[Customer type]],OP_Rates!$E137)+
SUMIFS(Calc_NetworkV_2[Powercor],Calc_NetworkV_2[[Customer type]:[Customer type]],OP_Rates!$E137,Calc_NetworkV_2[[Cost item]:[Cost item]],OP_Rates!$C137))*(1+Calc_ROM_2[Powercor]))*(1+GST),8),0,1))</f>
        <v>0</v>
      </c>
      <c r="K137" s="94" cm="1">
        <f t="array" ref="K137">IF(K102="-","-",
IF(ROUND(K102,8)=ROUND(
((SUMIFS(Calc_Variable_2[United Energy],Calc_Variable_2[[Customer type]:[Customer type]],"All")+
SUMIFS(Calc_Variable_2[United Energy],Calc_Variable_2[[Customer type]:[Customer type]],OP_Rates!$E137)+
SUMIFS(Calc_NetworkV_2[United Energy],Calc_NetworkV_2[[Customer type]:[Customer type]],OP_Rates!$E137,Calc_NetworkV_2[[Cost item]:[Cost item]],OP_Rates!$C137))*(1+Calc_ROM_2[United Energy]))*(1+GST),8),0,1))</f>
        <v>0</v>
      </c>
      <c r="M137" s="24"/>
      <c r="N137" s="24"/>
      <c r="O137" s="24"/>
      <c r="Q137" s="94"/>
      <c r="R137" s="94"/>
      <c r="S137" s="94"/>
      <c r="T137" s="94"/>
      <c r="U137" s="94"/>
    </row>
    <row r="138" spans="3:21" outlineLevel="2" x14ac:dyDescent="0.25"/>
    <row r="139" spans="3:21" ht="15.75" outlineLevel="2" x14ac:dyDescent="0.25">
      <c r="C139" s="30" t="str">
        <f>C$104&amp;" - checks"</f>
        <v>Residential True Up - checks</v>
      </c>
      <c r="M139" s="30" t="str">
        <f>M$104&amp;" - checks"</f>
        <v>Small business True Up - checks</v>
      </c>
    </row>
    <row r="140" spans="3:21" ht="15.75" outlineLevel="2" x14ac:dyDescent="0.25">
      <c r="C140" s="43" t="s">
        <v>340</v>
      </c>
      <c r="D140" s="43" t="s">
        <v>111</v>
      </c>
      <c r="E140" s="43" t="s">
        <v>99</v>
      </c>
      <c r="F140" s="43" t="s">
        <v>53</v>
      </c>
      <c r="G140" s="51" t="s">
        <v>277</v>
      </c>
      <c r="H140" s="51" t="s">
        <v>278</v>
      </c>
      <c r="I140" s="51" t="s">
        <v>279</v>
      </c>
      <c r="J140" s="51" t="s">
        <v>280</v>
      </c>
      <c r="K140" s="51" t="s">
        <v>281</v>
      </c>
      <c r="M140" s="43" t="s">
        <v>340</v>
      </c>
      <c r="N140" s="43" t="s">
        <v>111</v>
      </c>
      <c r="O140" s="43" t="s">
        <v>99</v>
      </c>
      <c r="P140" s="43" t="s">
        <v>53</v>
      </c>
      <c r="Q140" s="51" t="s">
        <v>277</v>
      </c>
      <c r="R140" s="51" t="s">
        <v>278</v>
      </c>
      <c r="S140" s="51" t="s">
        <v>279</v>
      </c>
      <c r="T140" s="51" t="s">
        <v>280</v>
      </c>
      <c r="U140" s="51" t="s">
        <v>281</v>
      </c>
    </row>
    <row r="141" spans="3:21" ht="15.75" outlineLevel="2" x14ac:dyDescent="0.25">
      <c r="C141" s="60" t="s">
        <v>515</v>
      </c>
      <c r="D141" s="60" t="s">
        <v>118</v>
      </c>
      <c r="E141" s="60" t="s">
        <v>100</v>
      </c>
      <c r="F141" s="60" t="s">
        <v>130</v>
      </c>
      <c r="G141" s="201" cm="1">
        <f t="array" ref="G141">IF(G106="-","-",
IF(ROUND(G106,8)=
IF($F141="Network",
IF($C141&lt;&gt;"Controlled load",
ROUND(INDEX(Calc_TUR_Net_2[[Ausnet]:[United Energy]],MATCH(1,(Calc_TUR_Net_2[[Customer type]:[Customer type]]=OP_Rates!$E141)*(Calc_TUR_Net_2[[Rate type]:[Rate type]]=OP_Rates!$C141),0),MATCH(OP_Rates!G$65,Calc_TUR_Net_2[[#Headers],[Ausnet]:[United Energy]],0)),8),
ROUND(INDEX(Calc_TUR_NetCL_2[[Ausnet]:[United Energy]],MATCH(OP_Rates!$E141,Calc_TUR_Net_2[[Customer type]:[Customer type]],0),MATCH(OP_Rates!G$65,Calc_TUR_Net_2[[#Headers],[Ausnet]:[United Energy]],0)),8)),
IF($F141="Environmental",
ROUND(SUMIFS(Calc_TUR_ENV_2[Ausnet],Calc_TUR_ENV_2[[Customer type]:[Customer type]],OP_Rates!$E141,Calc_TUR_ENV_2[[Rate type]:[Rate type]],OP_Rates!$C141),8))),0,1))</f>
        <v>0</v>
      </c>
      <c r="H141" s="201" cm="1">
        <f t="array" ref="H141">IF(H106="-","-",
IF(ROUND(H106,8)=
IF($F141="Network",
IF($C141&lt;&gt;"Controlled load",
ROUND(INDEX(Calc_TUR_Net_2[[Ausnet]:[United Energy]],MATCH(1,(Calc_TUR_Net_2[[Customer type]:[Customer type]]=OP_Rates!$E141)*(Calc_TUR_Net_2[[Rate type]:[Rate type]]=OP_Rates!$C141),0),MATCH(OP_Rates!H$65,Calc_TUR_Net_2[[#Headers],[Ausnet]:[United Energy]],0)),8),
ROUND(INDEX(Calc_TUR_NetCL_2[[Ausnet]:[United Energy]],MATCH(OP_Rates!$E141,Calc_TUR_Net_2[[Customer type]:[Customer type]],0),MATCH(OP_Rates!H$65,Calc_TUR_Net_2[[#Headers],[Ausnet]:[United Energy]],0)),8)),
IF($F141="Environmental",
ROUND(SUMIFS(Calc_TUR_ENV_2[Citipower],Calc_TUR_ENV_2[[Customer type]:[Customer type]],OP_Rates!$E141,Calc_TUR_ENV_2[[Rate type]:[Rate type]],OP_Rates!$C141),8))),0,1))</f>
        <v>0</v>
      </c>
      <c r="I141" s="201" cm="1">
        <f t="array" ref="I141">IF(I106="-","-",
IF(ROUND(I106,8)=
IF($F141="Network",
IF($C141&lt;&gt;"Controlled load",
ROUND(INDEX(Calc_TUR_Net_2[[Ausnet]:[United Energy]],MATCH(1,(Calc_TUR_Net_2[[Customer type]:[Customer type]]=OP_Rates!$E141)*(Calc_TUR_Net_2[[Rate type]:[Rate type]]=OP_Rates!$C141),0),MATCH(OP_Rates!I$65,Calc_TUR_Net_2[[#Headers],[Ausnet]:[United Energy]],0)),8),
ROUND(INDEX(Calc_TUR_NetCL_2[[Ausnet]:[United Energy]],MATCH(OP_Rates!$E141,Calc_TUR_Net_2[[Customer type]:[Customer type]],0),MATCH(OP_Rates!I$65,Calc_TUR_Net_2[[#Headers],[Ausnet]:[United Energy]],0)),8)),
IF($F141="Environmental",
ROUND(SUMIFS(Calc_TUR_ENV_2[Jemena],Calc_TUR_ENV_2[[Customer type]:[Customer type]],OP_Rates!$E141,Calc_TUR_ENV_2[[Rate type]:[Rate type]],OP_Rates!$C141),8))),0,1))</f>
        <v>0</v>
      </c>
      <c r="J141" s="201" cm="1">
        <f t="array" ref="J141">IF(J106="-","-",
IF(ROUND(J106,8)=
IF($F141="Network",
IF($C141&lt;&gt;"Controlled load",
ROUND(INDEX(Calc_TUR_Net_2[[Ausnet]:[United Energy]],MATCH(1,(Calc_TUR_Net_2[[Customer type]:[Customer type]]=OP_Rates!$E141)*(Calc_TUR_Net_2[[Rate type]:[Rate type]]=OP_Rates!$C141),0),MATCH(OP_Rates!J$65,Calc_TUR_Net_2[[#Headers],[Ausnet]:[United Energy]],0)),8),
ROUND(INDEX(Calc_TUR_NetCL_2[[Ausnet]:[United Energy]],MATCH(OP_Rates!$E141,Calc_TUR_Net_2[[Customer type]:[Customer type]],0),MATCH(OP_Rates!J$65,Calc_TUR_Net_2[[#Headers],[Ausnet]:[United Energy]],0)),8)),
IF($F141="Environmental",
ROUND(SUMIFS(Calc_TUR_ENV_2[Powercor],Calc_TUR_ENV_2[[Customer type]:[Customer type]],OP_Rates!$E141,Calc_TUR_ENV_2[[Rate type]:[Rate type]],OP_Rates!$C141),8))),0,1))</f>
        <v>0</v>
      </c>
      <c r="K141" s="201" cm="1">
        <f t="array" ref="K141">IF(K106="-","-",
IF(ROUND(K106,8)=
IF($F141="Network",
IF($C141&lt;&gt;"Controlled load",
ROUND(INDEX(Calc_TUR_Net_2[[Ausnet]:[United Energy]],MATCH(1,(Calc_TUR_Net_2[[Customer type]:[Customer type]]=OP_Rates!$E141)*(Calc_TUR_Net_2[[Rate type]:[Rate type]]=OP_Rates!$C141),0),MATCH(OP_Rates!K$65,Calc_TUR_Net_2[[#Headers],[Ausnet]:[United Energy]],0)),8),
ROUND(INDEX(Calc_TUR_NetCL_2[[Ausnet]:[United Energy]],MATCH(OP_Rates!$E141,Calc_TUR_Net_2[[Customer type]:[Customer type]],0),MATCH(OP_Rates!K$65,Calc_TUR_Net_2[[#Headers],[Ausnet]:[United Energy]],0)),8)),
IF($F141="Environmental",
ROUND(SUMIFS(Calc_TUR_ENV_2[United Energy],Calc_TUR_ENV_2[[Customer type]:[Customer type]],OP_Rates!$E141,Calc_TUR_ENV_2[[Rate type]:[Rate type]],OP_Rates!$C141),8))),0,1))</f>
        <v>0</v>
      </c>
      <c r="M141" s="60" t="s">
        <v>515</v>
      </c>
      <c r="N141" s="60" t="s">
        <v>118</v>
      </c>
      <c r="O141" s="60" t="s">
        <v>101</v>
      </c>
      <c r="P141" s="60" t="s">
        <v>130</v>
      </c>
      <c r="Q141" s="201" cm="1">
        <f t="array" ref="Q141">IF(Q106="-","-",
IF(ROUND(Q106,8)=
IF($P141="Network",
ROUND(INDEX(Calc_TUR_Net_2[[Ausnet]:[United Energy]],MATCH(1,(Calc_TUR_Net_2[[Customer type]:[Customer type]]=OP_Rates!$O141)*(Calc_TUR_Net_2[[Rate type]:[Rate type]]=OP_Rates!$M141),0),MATCH(OP_Rates!Q$65,Calc_TUR_Net_2[[#Headers],[Ausnet]:[United Energy]],0)),8),
IF($P141="Environmental",
ROUND(SUMIFS(Calc_TUR_ENV_2[Ausnet],Calc_TUR_ENV_2[[Customer type]:[Customer type]],OP_Rates!$O141,Calc_TUR_ENV_2[[Rate type]:[Rate type]],OP_Rates!$M141),8))),0,1))</f>
        <v>0</v>
      </c>
      <c r="R141" s="201" cm="1">
        <f t="array" ref="R141">IF(R106="-","-",
IF(ROUND(R106,8)=
IF($P141="Network",
ROUND(INDEX(Calc_TUR_Net_2[[Ausnet]:[United Energy]],MATCH(1,(Calc_TUR_Net_2[[Customer type]:[Customer type]]=OP_Rates!$O141)*(Calc_TUR_Net_2[[Rate type]:[Rate type]]=OP_Rates!$M141),0),MATCH(OP_Rates!R$65,Calc_TUR_Net_2[[#Headers],[Ausnet]:[United Energy]],0)),8),
IF($P141="Environmental",
ROUND(SUMIFS(Calc_TUR_ENV_2[Citipower],Calc_TUR_ENV_2[[Customer type]:[Customer type]],OP_Rates!$O141,Calc_TUR_ENV_2[[Rate type]:[Rate type]],OP_Rates!$M141),8))),0,1))</f>
        <v>0</v>
      </c>
      <c r="S141" s="201" cm="1">
        <f t="array" ref="S141">IF(S106="-","-",
IF(ROUND(S106,8)=
IF($P141="Network",
ROUND(INDEX(Calc_TUR_Net_2[[Ausnet]:[United Energy]],MATCH(1,(Calc_TUR_Net_2[[Customer type]:[Customer type]]=OP_Rates!$O141)*(Calc_TUR_Net_2[[Rate type]:[Rate type]]=OP_Rates!$M141),0),MATCH(OP_Rates!S$65,Calc_TUR_Net_2[[#Headers],[Ausnet]:[United Energy]],0)),8),
IF($P141="Environmental",
ROUND(SUMIFS(Calc_TUR_ENV_2[Jemena],Calc_TUR_ENV_2[[Customer type]:[Customer type]],OP_Rates!$O141,Calc_TUR_ENV_2[[Rate type]:[Rate type]],OP_Rates!$M141),8))),0,1))</f>
        <v>0</v>
      </c>
      <c r="T141" s="201" cm="1">
        <f t="array" ref="T141">IF(T106="-","-",
IF(ROUND(T106,8)=
IF($P141="Network",
ROUND(INDEX(Calc_TUR_Net_2[[Ausnet]:[United Energy]],MATCH(1,(Calc_TUR_Net_2[[Customer type]:[Customer type]]=OP_Rates!$O141)*(Calc_TUR_Net_2[[Rate type]:[Rate type]]=OP_Rates!$M141),0),MATCH(OP_Rates!T$65,Calc_TUR_Net_2[[#Headers],[Ausnet]:[United Energy]],0)),8),
IF($P141="Environmental",
ROUND(SUMIFS(Calc_TUR_ENV_2[Powercor],Calc_TUR_ENV_2[[Customer type]:[Customer type]],OP_Rates!$O141,Calc_TUR_ENV_2[[Rate type]:[Rate type]],OP_Rates!$M141),8))),0,1))</f>
        <v>0</v>
      </c>
      <c r="U141" s="201" cm="1">
        <f t="array" ref="U141">IF(U106="-","-",
IF(ROUND(U106,8)=
IF($P141="Network",
ROUND(INDEX(Calc_TUR_Net_2[[Ausnet]:[United Energy]],MATCH(1,(Calc_TUR_Net_2[[Customer type]:[Customer type]]=OP_Rates!$O141)*(Calc_TUR_Net_2[[Rate type]:[Rate type]]=OP_Rates!$M141),0),MATCH(OP_Rates!U$65,Calc_TUR_Net_2[[#Headers],[Ausnet]:[United Energy]],0)),8),
IF($P141="Environmental",
ROUND(SUMIFS(Calc_TUR_ENV_2[United Energy],Calc_TUR_ENV_2[[Customer type]:[Customer type]],OP_Rates!$O141,Calc_TUR_ENV_2[[Rate type]:[Rate type]],OP_Rates!$M141),8))),0,1))</f>
        <v>0</v>
      </c>
    </row>
    <row r="142" spans="3:21" ht="15.75" outlineLevel="2" x14ac:dyDescent="0.25">
      <c r="C142" s="60" t="s">
        <v>516</v>
      </c>
      <c r="D142" s="60" t="s">
        <v>118</v>
      </c>
      <c r="E142" s="60" t="s">
        <v>100</v>
      </c>
      <c r="F142" s="60" t="s">
        <v>130</v>
      </c>
      <c r="G142" s="201" cm="1">
        <f t="array" ref="G142">IF(G107="-","-",
IF(ROUND(G107,8)=
IF($F142="Network",
IF($C142&lt;&gt;"Controlled load",
ROUND(INDEX(Calc_TUR_Net_2[[Ausnet]:[United Energy]],MATCH(1,(Calc_TUR_Net_2[[Customer type]:[Customer type]]=OP_Rates!$E142)*(Calc_TUR_Net_2[[Rate type]:[Rate type]]=OP_Rates!$C142),0),MATCH(OP_Rates!G$65,Calc_TUR_Net_2[[#Headers],[Ausnet]:[United Energy]],0)),8),
ROUND(INDEX(Calc_TUR_NetCL_2[[Ausnet]:[United Energy]],MATCH(OP_Rates!$E142,Calc_TUR_Net_2[[Customer type]:[Customer type]],0),MATCH(OP_Rates!G$65,Calc_TUR_Net_2[[#Headers],[Ausnet]:[United Energy]],0)),8)),
IF($F142="Environmental",
ROUND(SUMIFS(Calc_TUR_ENV_2[Ausnet],Calc_TUR_ENV_2[[Customer type]:[Customer type]],OP_Rates!$E142,Calc_TUR_ENV_2[[Rate type]:[Rate type]],OP_Rates!$C142),8))),0,1))</f>
        <v>0</v>
      </c>
      <c r="H142" s="201" cm="1">
        <f t="array" ref="H142">IF(H107="-","-",
IF(ROUND(H107,8)=
IF($F142="Network",
IF($C142&lt;&gt;"Controlled load",
ROUND(INDEX(Calc_TUR_Net_2[[Ausnet]:[United Energy]],MATCH(1,(Calc_TUR_Net_2[[Customer type]:[Customer type]]=OP_Rates!$E142)*(Calc_TUR_Net_2[[Rate type]:[Rate type]]=OP_Rates!$C142),0),MATCH(OP_Rates!H$65,Calc_TUR_Net_2[[#Headers],[Ausnet]:[United Energy]],0)),8),
ROUND(INDEX(Calc_TUR_NetCL_2[[Ausnet]:[United Energy]],MATCH(OP_Rates!$E142,Calc_TUR_Net_2[[Customer type]:[Customer type]],0),MATCH(OP_Rates!H$65,Calc_TUR_Net_2[[#Headers],[Ausnet]:[United Energy]],0)),8)),
IF($F142="Environmental",
ROUND(SUMIFS(Calc_TUR_ENV_2[Citipower],Calc_TUR_ENV_2[[Customer type]:[Customer type]],OP_Rates!$E142,Calc_TUR_ENV_2[[Rate type]:[Rate type]],OP_Rates!$C142),8))),0,1))</f>
        <v>0</v>
      </c>
      <c r="I142" s="201" cm="1">
        <f t="array" ref="I142">IF(I107="-","-",
IF(ROUND(I107,8)=
IF($F142="Network",
IF($C142&lt;&gt;"Controlled load",
ROUND(INDEX(Calc_TUR_Net_2[[Ausnet]:[United Energy]],MATCH(1,(Calc_TUR_Net_2[[Customer type]:[Customer type]]=OP_Rates!$E142)*(Calc_TUR_Net_2[[Rate type]:[Rate type]]=OP_Rates!$C142),0),MATCH(OP_Rates!I$65,Calc_TUR_Net_2[[#Headers],[Ausnet]:[United Energy]],0)),8),
ROUND(INDEX(Calc_TUR_NetCL_2[[Ausnet]:[United Energy]],MATCH(OP_Rates!$E142,Calc_TUR_Net_2[[Customer type]:[Customer type]],0),MATCH(OP_Rates!I$65,Calc_TUR_Net_2[[#Headers],[Ausnet]:[United Energy]],0)),8)),
IF($F142="Environmental",
ROUND(SUMIFS(Calc_TUR_ENV_2[Jemena],Calc_TUR_ENV_2[[Customer type]:[Customer type]],OP_Rates!$E142,Calc_TUR_ENV_2[[Rate type]:[Rate type]],OP_Rates!$C142),8))),0,1))</f>
        <v>0</v>
      </c>
      <c r="J142" s="201" cm="1">
        <f t="array" ref="J142">IF(J107="-","-",
IF(ROUND(J107,8)=
IF($F142="Network",
IF($C142&lt;&gt;"Controlled load",
ROUND(INDEX(Calc_TUR_Net_2[[Ausnet]:[United Energy]],MATCH(1,(Calc_TUR_Net_2[[Customer type]:[Customer type]]=OP_Rates!$E142)*(Calc_TUR_Net_2[[Rate type]:[Rate type]]=OP_Rates!$C142),0),MATCH(OP_Rates!J$65,Calc_TUR_Net_2[[#Headers],[Ausnet]:[United Energy]],0)),8),
ROUND(INDEX(Calc_TUR_NetCL_2[[Ausnet]:[United Energy]],MATCH(OP_Rates!$E142,Calc_TUR_Net_2[[Customer type]:[Customer type]],0),MATCH(OP_Rates!J$65,Calc_TUR_Net_2[[#Headers],[Ausnet]:[United Energy]],0)),8)),
IF($F142="Environmental",
ROUND(SUMIFS(Calc_TUR_ENV_2[Powercor],Calc_TUR_ENV_2[[Customer type]:[Customer type]],OP_Rates!$E142,Calc_TUR_ENV_2[[Rate type]:[Rate type]],OP_Rates!$C142),8))),0,1))</f>
        <v>0</v>
      </c>
      <c r="K142" s="201" cm="1">
        <f t="array" ref="K142">IF(K107="-","-",
IF(ROUND(K107,8)=
IF($F142="Network",
IF($C142&lt;&gt;"Controlled load",
ROUND(INDEX(Calc_TUR_Net_2[[Ausnet]:[United Energy]],MATCH(1,(Calc_TUR_Net_2[[Customer type]:[Customer type]]=OP_Rates!$E142)*(Calc_TUR_Net_2[[Rate type]:[Rate type]]=OP_Rates!$C142),0),MATCH(OP_Rates!K$65,Calc_TUR_Net_2[[#Headers],[Ausnet]:[United Energy]],0)),8),
ROUND(INDEX(Calc_TUR_NetCL_2[[Ausnet]:[United Energy]],MATCH(OP_Rates!$E142,Calc_TUR_Net_2[[Customer type]:[Customer type]],0),MATCH(OP_Rates!K$65,Calc_TUR_Net_2[[#Headers],[Ausnet]:[United Energy]],0)),8)),
IF($F142="Environmental",
ROUND(SUMIFS(Calc_TUR_ENV_2[United Energy],Calc_TUR_ENV_2[[Customer type]:[Customer type]],OP_Rates!$E142,Calc_TUR_ENV_2[[Rate type]:[Rate type]],OP_Rates!$C142),8))),0,1))</f>
        <v>0</v>
      </c>
      <c r="M142" s="60" t="s">
        <v>516</v>
      </c>
      <c r="N142" s="60" t="s">
        <v>118</v>
      </c>
      <c r="O142" s="60" t="s">
        <v>101</v>
      </c>
      <c r="P142" s="60" t="s">
        <v>130</v>
      </c>
      <c r="Q142" s="201" cm="1">
        <f t="array" ref="Q142">IF(Q107="-","-",
IF(ROUND(Q107,8)=
IF($P142="Network",
ROUND(INDEX(Calc_TUR_Net_2[[Ausnet]:[United Energy]],MATCH(1,(Calc_TUR_Net_2[[Customer type]:[Customer type]]=OP_Rates!$O142)*(Calc_TUR_Net_2[[Rate type]:[Rate type]]=OP_Rates!$M142),0),MATCH(OP_Rates!Q$65,Calc_TUR_Net_2[[#Headers],[Ausnet]:[United Energy]],0)),8),
IF($P142="Environmental",
ROUND(SUMIFS(Calc_TUR_ENV_2[Ausnet],Calc_TUR_ENV_2[[Customer type]:[Customer type]],OP_Rates!$O142,Calc_TUR_ENV_2[[Rate type]:[Rate type]],OP_Rates!$M142),8))),0,1))</f>
        <v>0</v>
      </c>
      <c r="R142" s="201" cm="1">
        <f t="array" ref="R142">IF(R107="-","-",
IF(ROUND(R107,8)=
IF($P142="Network",
ROUND(INDEX(Calc_TUR_Net_2[[Ausnet]:[United Energy]],MATCH(1,(Calc_TUR_Net_2[[Customer type]:[Customer type]]=OP_Rates!$O142)*(Calc_TUR_Net_2[[Rate type]:[Rate type]]=OP_Rates!$M142),0),MATCH(OP_Rates!R$65,Calc_TUR_Net_2[[#Headers],[Ausnet]:[United Energy]],0)),8),
IF($P142="Environmental",
ROUND(SUMIFS(Calc_TUR_ENV_2[Citipower],Calc_TUR_ENV_2[[Customer type]:[Customer type]],OP_Rates!$O142,Calc_TUR_ENV_2[[Rate type]:[Rate type]],OP_Rates!$M142),8))),0,1))</f>
        <v>0</v>
      </c>
      <c r="S142" s="201" cm="1">
        <f t="array" ref="S142">IF(S107="-","-",
IF(ROUND(S107,8)=
IF($P142="Network",
ROUND(INDEX(Calc_TUR_Net_2[[Ausnet]:[United Energy]],MATCH(1,(Calc_TUR_Net_2[[Customer type]:[Customer type]]=OP_Rates!$O142)*(Calc_TUR_Net_2[[Rate type]:[Rate type]]=OP_Rates!$M142),0),MATCH(OP_Rates!S$65,Calc_TUR_Net_2[[#Headers],[Ausnet]:[United Energy]],0)),8),
IF($P142="Environmental",
ROUND(SUMIFS(Calc_TUR_ENV_2[Jemena],Calc_TUR_ENV_2[[Customer type]:[Customer type]],OP_Rates!$O142,Calc_TUR_ENV_2[[Rate type]:[Rate type]],OP_Rates!$M142),8))),0,1))</f>
        <v>0</v>
      </c>
      <c r="T142" s="201" cm="1">
        <f t="array" ref="T142">IF(T107="-","-",
IF(ROUND(T107,8)=
IF($P142="Network",
ROUND(INDEX(Calc_TUR_Net_2[[Ausnet]:[United Energy]],MATCH(1,(Calc_TUR_Net_2[[Customer type]:[Customer type]]=OP_Rates!$O142)*(Calc_TUR_Net_2[[Rate type]:[Rate type]]=OP_Rates!$M142),0),MATCH(OP_Rates!T$65,Calc_TUR_Net_2[[#Headers],[Ausnet]:[United Energy]],0)),8),
IF($P142="Environmental",
ROUND(SUMIFS(Calc_TUR_ENV_2[Powercor],Calc_TUR_ENV_2[[Customer type]:[Customer type]],OP_Rates!$O142,Calc_TUR_ENV_2[[Rate type]:[Rate type]],OP_Rates!$M142),8))),0,1))</f>
        <v>0</v>
      </c>
      <c r="U142" s="201" cm="1">
        <f t="array" ref="U142">IF(U107="-","-",
IF(ROUND(U107,8)=
IF($P142="Network",
ROUND(INDEX(Calc_TUR_Net_2[[Ausnet]:[United Energy]],MATCH(1,(Calc_TUR_Net_2[[Customer type]:[Customer type]]=OP_Rates!$O142)*(Calc_TUR_Net_2[[Rate type]:[Rate type]]=OP_Rates!$M142),0),MATCH(OP_Rates!U$65,Calc_TUR_Net_2[[#Headers],[Ausnet]:[United Energy]],0)),8),
IF($P142="Environmental",
ROUND(SUMIFS(Calc_TUR_ENV_2[United Energy],Calc_TUR_ENV_2[[Customer type]:[Customer type]],OP_Rates!$O142,Calc_TUR_ENV_2[[Rate type]:[Rate type]],OP_Rates!$M142),8))),0,1))</f>
        <v>0</v>
      </c>
    </row>
    <row r="143" spans="3:21" ht="15.75" outlineLevel="2" x14ac:dyDescent="0.25">
      <c r="C143" s="60" t="s">
        <v>296</v>
      </c>
      <c r="D143" s="60" t="s">
        <v>291</v>
      </c>
      <c r="E143" s="60" t="s">
        <v>100</v>
      </c>
      <c r="F143" s="60" t="s">
        <v>130</v>
      </c>
      <c r="G143" s="201" cm="1">
        <f t="array" ref="G143">IF(G108="-","-",
IF(ROUND(G108,8)=
IF($F143="Network",
IF($C143&lt;&gt;"Controlled load",
ROUND(INDEX(Calc_TUR_Net_2[[Ausnet]:[United Energy]],MATCH(1,(Calc_TUR_Net_2[[Customer type]:[Customer type]]=OP_Rates!$E143)*(Calc_TUR_Net_2[[Rate type]:[Rate type]]=OP_Rates!$C143),0),MATCH(OP_Rates!G$65,Calc_TUR_Net_2[[#Headers],[Ausnet]:[United Energy]],0)),8),
ROUND(INDEX(Calc_TUR_NetCL_2[[Ausnet]:[United Energy]],MATCH(OP_Rates!$E143,Calc_TUR_Net_2[[Customer type]:[Customer type]],0),MATCH(OP_Rates!G$65,Calc_TUR_Net_2[[#Headers],[Ausnet]:[United Energy]],0)),8)),
IF($F143="Environmental",
ROUND(SUMIFS(Calc_TUR_ENV_2[Ausnet],Calc_TUR_ENV_2[[Customer type]:[Customer type]],OP_Rates!$E143,Calc_TUR_ENV_2[[Rate type]:[Rate type]],OP_Rates!$C143),8))),0,1))</f>
        <v>0</v>
      </c>
      <c r="H143" s="201" cm="1">
        <f t="array" ref="H143">IF(H108="-","-",
IF(ROUND(H108,8)=
IF($F143="Network",
IF($C143&lt;&gt;"Controlled load",
ROUND(INDEX(Calc_TUR_Net_2[[Ausnet]:[United Energy]],MATCH(1,(Calc_TUR_Net_2[[Customer type]:[Customer type]]=OP_Rates!$E143)*(Calc_TUR_Net_2[[Rate type]:[Rate type]]=OP_Rates!$C143),0),MATCH(OP_Rates!H$65,Calc_TUR_Net_2[[#Headers],[Ausnet]:[United Energy]],0)),8),
ROUND(INDEX(Calc_TUR_NetCL_2[[Ausnet]:[United Energy]],MATCH(OP_Rates!$E143,Calc_TUR_Net_2[[Customer type]:[Customer type]],0),MATCH(OP_Rates!H$65,Calc_TUR_Net_2[[#Headers],[Ausnet]:[United Energy]],0)),8)),
IF($F143="Environmental",
ROUND(SUMIFS(Calc_TUR_ENV_2[Citipower],Calc_TUR_ENV_2[[Customer type]:[Customer type]],OP_Rates!$E143,Calc_TUR_ENV_2[[Rate type]:[Rate type]],OP_Rates!$C143),8))),0,1))</f>
        <v>0</v>
      </c>
      <c r="I143" s="201" cm="1">
        <f t="array" ref="I143">IF(I108="-","-",
IF(ROUND(I108,8)=
IF($F143="Network",
IF($C143&lt;&gt;"Controlled load",
ROUND(INDEX(Calc_TUR_Net_2[[Ausnet]:[United Energy]],MATCH(1,(Calc_TUR_Net_2[[Customer type]:[Customer type]]=OP_Rates!$E143)*(Calc_TUR_Net_2[[Rate type]:[Rate type]]=OP_Rates!$C143),0),MATCH(OP_Rates!I$65,Calc_TUR_Net_2[[#Headers],[Ausnet]:[United Energy]],0)),8),
ROUND(INDEX(Calc_TUR_NetCL_2[[Ausnet]:[United Energy]],MATCH(OP_Rates!$E143,Calc_TUR_Net_2[[Customer type]:[Customer type]],0),MATCH(OP_Rates!I$65,Calc_TUR_Net_2[[#Headers],[Ausnet]:[United Energy]],0)),8)),
IF($F143="Environmental",
ROUND(SUMIFS(Calc_TUR_ENV_2[Jemena],Calc_TUR_ENV_2[[Customer type]:[Customer type]],OP_Rates!$E143,Calc_TUR_ENV_2[[Rate type]:[Rate type]],OP_Rates!$C143),8))),0,1))</f>
        <v>0</v>
      </c>
      <c r="J143" s="201" cm="1">
        <f t="array" ref="J143">IF(J108="-","-",
IF(ROUND(J108,8)=
IF($F143="Network",
IF($C143&lt;&gt;"Controlled load",
ROUND(INDEX(Calc_TUR_Net_2[[Ausnet]:[United Energy]],MATCH(1,(Calc_TUR_Net_2[[Customer type]:[Customer type]]=OP_Rates!$E143)*(Calc_TUR_Net_2[[Rate type]:[Rate type]]=OP_Rates!$C143),0),MATCH(OP_Rates!J$65,Calc_TUR_Net_2[[#Headers],[Ausnet]:[United Energy]],0)),8),
ROUND(INDEX(Calc_TUR_NetCL_2[[Ausnet]:[United Energy]],MATCH(OP_Rates!$E143,Calc_TUR_Net_2[[Customer type]:[Customer type]],0),MATCH(OP_Rates!J$65,Calc_TUR_Net_2[[#Headers],[Ausnet]:[United Energy]],0)),8)),
IF($F143="Environmental",
ROUND(SUMIFS(Calc_TUR_ENV_2[Powercor],Calc_TUR_ENV_2[[Customer type]:[Customer type]],OP_Rates!$E143,Calc_TUR_ENV_2[[Rate type]:[Rate type]],OP_Rates!$C143),8))),0,1))</f>
        <v>0</v>
      </c>
      <c r="K143" s="201" cm="1">
        <f t="array" ref="K143">IF(K108="-","-",
IF(ROUND(K108,8)=
IF($F143="Network",
IF($C143&lt;&gt;"Controlled load",
ROUND(INDEX(Calc_TUR_Net_2[[Ausnet]:[United Energy]],MATCH(1,(Calc_TUR_Net_2[[Customer type]:[Customer type]]=OP_Rates!$E143)*(Calc_TUR_Net_2[[Rate type]:[Rate type]]=OP_Rates!$C143),0),MATCH(OP_Rates!K$65,Calc_TUR_Net_2[[#Headers],[Ausnet]:[United Energy]],0)),8),
ROUND(INDEX(Calc_TUR_NetCL_2[[Ausnet]:[United Energy]],MATCH(OP_Rates!$E143,Calc_TUR_Net_2[[Customer type]:[Customer type]],0),MATCH(OP_Rates!K$65,Calc_TUR_Net_2[[#Headers],[Ausnet]:[United Energy]],0)),8)),
IF($F143="Environmental",
ROUND(SUMIFS(Calc_TUR_ENV_2[United Energy],Calc_TUR_ENV_2[[Customer type]:[Customer type]],OP_Rates!$E143,Calc_TUR_ENV_2[[Rate type]:[Rate type]],OP_Rates!$C143),8))),0,1))</f>
        <v>0</v>
      </c>
      <c r="M143" s="60" t="s">
        <v>296</v>
      </c>
      <c r="N143" s="60"/>
      <c r="O143" s="60"/>
      <c r="P143" s="60"/>
      <c r="Q143" s="201" t="str" cm="1">
        <f t="array" ref="Q143">IF(Q108="-","-",
IF(ROUND(Q108,8)=
IF($P143="Network",
ROUND(INDEX(Calc_TUR_Net_2[[Ausnet]:[United Energy]],MATCH(1,(Calc_TUR_Net_2[[Customer type]:[Customer type]]=OP_Rates!$O143)*(Calc_TUR_Net_2[[Rate type]:[Rate type]]=OP_Rates!$M143),0),MATCH(OP_Rates!Q$65,Calc_TUR_Net_2[[#Headers],[Ausnet]:[United Energy]],0)),8),
IF($P143="Environmental",
ROUND(SUMIFS(Calc_TUR_ENV_2[Ausnet],Calc_TUR_ENV_2[[Customer type]:[Customer type]],OP_Rates!$O143,Calc_TUR_ENV_2[[Rate type]:[Rate type]],OP_Rates!$M143),8))),0,1))</f>
        <v>-</v>
      </c>
      <c r="R143" s="201" t="str" cm="1">
        <f t="array" ref="R143">IF(R108="-","-",
IF(ROUND(R108,8)=
IF($P143="Network",
ROUND(INDEX(Calc_TUR_Net_2[[Ausnet]:[United Energy]],MATCH(1,(Calc_TUR_Net_2[[Customer type]:[Customer type]]=OP_Rates!$O143)*(Calc_TUR_Net_2[[Rate type]:[Rate type]]=OP_Rates!$M143),0),MATCH(OP_Rates!R$65,Calc_TUR_Net_2[[#Headers],[Ausnet]:[United Energy]],0)),8),
IF($P143="Environmental",
ROUND(SUMIFS(Calc_TUR_ENV_2[Citipower],Calc_TUR_ENV_2[[Customer type]:[Customer type]],OP_Rates!$O143,Calc_TUR_ENV_2[[Rate type]:[Rate type]],OP_Rates!$M143),8))),0,1))</f>
        <v>-</v>
      </c>
      <c r="S143" s="201" t="str" cm="1">
        <f t="array" ref="S143">IF(S108="-","-",
IF(ROUND(S108,8)=
IF($P143="Network",
ROUND(INDEX(Calc_TUR_Net_2[[Ausnet]:[United Energy]],MATCH(1,(Calc_TUR_Net_2[[Customer type]:[Customer type]]=OP_Rates!$O143)*(Calc_TUR_Net_2[[Rate type]:[Rate type]]=OP_Rates!$M143),0),MATCH(OP_Rates!S$65,Calc_TUR_Net_2[[#Headers],[Ausnet]:[United Energy]],0)),8),
IF($P143="Environmental",
ROUND(SUMIFS(Calc_TUR_ENV_2[Jemena],Calc_TUR_ENV_2[[Customer type]:[Customer type]],OP_Rates!$O143,Calc_TUR_ENV_2[[Rate type]:[Rate type]],OP_Rates!$M143),8))),0,1))</f>
        <v>-</v>
      </c>
      <c r="T143" s="201" t="str" cm="1">
        <f t="array" ref="T143">IF(T108="-","-",
IF(ROUND(T108,8)=
IF($P143="Network",
ROUND(INDEX(Calc_TUR_Net_2[[Ausnet]:[United Energy]],MATCH(1,(Calc_TUR_Net_2[[Customer type]:[Customer type]]=OP_Rates!$O143)*(Calc_TUR_Net_2[[Rate type]:[Rate type]]=OP_Rates!$M143),0),MATCH(OP_Rates!T$65,Calc_TUR_Net_2[[#Headers],[Ausnet]:[United Energy]],0)),8),
IF($P143="Environmental",
ROUND(SUMIFS(Calc_TUR_ENV_2[Powercor],Calc_TUR_ENV_2[[Customer type]:[Customer type]],OP_Rates!$O143,Calc_TUR_ENV_2[[Rate type]:[Rate type]],OP_Rates!$M143),8))),0,1))</f>
        <v>-</v>
      </c>
      <c r="U143" s="201" t="str" cm="1">
        <f t="array" ref="U143">IF(U108="-","-",
IF(ROUND(U108,8)=
IF($P143="Network",
ROUND(INDEX(Calc_TUR_Net_2[[Ausnet]:[United Energy]],MATCH(1,(Calc_TUR_Net_2[[Customer type]:[Customer type]]=OP_Rates!$O143)*(Calc_TUR_Net_2[[Rate type]:[Rate type]]=OP_Rates!$M143),0),MATCH(OP_Rates!U$65,Calc_TUR_Net_2[[#Headers],[Ausnet]:[United Energy]],0)),8),
IF($P143="Environmental",
ROUND(SUMIFS(Calc_TUR_ENV_2[United Energy],Calc_TUR_ENV_2[[Customer type]:[Customer type]],OP_Rates!$O143,Calc_TUR_ENV_2[[Rate type]:[Rate type]],OP_Rates!$M143),8))),0,1))</f>
        <v>-</v>
      </c>
    </row>
    <row r="144" spans="3:21" ht="15.75" outlineLevel="2" x14ac:dyDescent="0.25">
      <c r="C144" s="60" t="s">
        <v>230</v>
      </c>
      <c r="D144" s="60" t="s">
        <v>291</v>
      </c>
      <c r="E144" s="60" t="s">
        <v>100</v>
      </c>
      <c r="F144" s="60" t="s">
        <v>160</v>
      </c>
      <c r="G144" s="201" cm="1">
        <f t="array" ref="G144">IF(G109="-","-",
IF(ROUND(G109,8)=
IF($F144="Network",
IF($C144&lt;&gt;"Controlled load",
ROUND(INDEX(Calc_TUR_Net_2[[Ausnet]:[United Energy]],MATCH(1,(Calc_TUR_Net_2[[Customer type]:[Customer type]]=OP_Rates!$E144)*(Calc_TUR_Net_2[[Rate type]:[Rate type]]=OP_Rates!$C144),0),MATCH(OP_Rates!G$65,Calc_TUR_Net_2[[#Headers],[Ausnet]:[United Energy]],0)),8),
ROUND(INDEX(Calc_TUR_NetCL_2[[Ausnet]:[United Energy]],MATCH(OP_Rates!$E144,Calc_TUR_Net_2[[Customer type]:[Customer type]],0),MATCH(OP_Rates!G$65,Calc_TUR_Net_2[[#Headers],[Ausnet]:[United Energy]],0)),8)),
IF($F144="Environmental",
ROUND(SUMIFS(Calc_TUR_ENV_2[Ausnet],Calc_TUR_ENV_2[[Customer type]:[Customer type]],OP_Rates!$E144,Calc_TUR_ENV_2[[Rate type]:[Rate type]],OP_Rates!$C144),8))),0,1))</f>
        <v>0</v>
      </c>
      <c r="H144" s="201" cm="1">
        <f t="array" ref="H144">IF(H109="-","-",
IF(ROUND(H109,8)=
IF($F144="Network",
IF($C144&lt;&gt;"Controlled load",
ROUND(INDEX(Calc_TUR_Net_2[[Ausnet]:[United Energy]],MATCH(1,(Calc_TUR_Net_2[[Customer type]:[Customer type]]=OP_Rates!$E144)*(Calc_TUR_Net_2[[Rate type]:[Rate type]]=OP_Rates!$C144),0),MATCH(OP_Rates!H$65,Calc_TUR_Net_2[[#Headers],[Ausnet]:[United Energy]],0)),8),
ROUND(INDEX(Calc_TUR_NetCL_2[[Ausnet]:[United Energy]],MATCH(OP_Rates!$E144,Calc_TUR_Net_2[[Customer type]:[Customer type]],0),MATCH(OP_Rates!H$65,Calc_TUR_Net_2[[#Headers],[Ausnet]:[United Energy]],0)),8)),
IF($F144="Environmental",
ROUND(SUMIFS(Calc_TUR_ENV_2[Citipower],Calc_TUR_ENV_2[[Customer type]:[Customer type]],OP_Rates!$E144,Calc_TUR_ENV_2[[Rate type]:[Rate type]],OP_Rates!$C144),8))),0,1))</f>
        <v>0</v>
      </c>
      <c r="I144" s="201" cm="1">
        <f t="array" ref="I144">IF(I109="-","-",
IF(ROUND(I109,8)=
IF($F144="Network",
IF($C144&lt;&gt;"Controlled load",
ROUND(INDEX(Calc_TUR_Net_2[[Ausnet]:[United Energy]],MATCH(1,(Calc_TUR_Net_2[[Customer type]:[Customer type]]=OP_Rates!$E144)*(Calc_TUR_Net_2[[Rate type]:[Rate type]]=OP_Rates!$C144),0),MATCH(OP_Rates!I$65,Calc_TUR_Net_2[[#Headers],[Ausnet]:[United Energy]],0)),8),
ROUND(INDEX(Calc_TUR_NetCL_2[[Ausnet]:[United Energy]],MATCH(OP_Rates!$E144,Calc_TUR_Net_2[[Customer type]:[Customer type]],0),MATCH(OP_Rates!I$65,Calc_TUR_Net_2[[#Headers],[Ausnet]:[United Energy]],0)),8)),
IF($F144="Environmental",
ROUND(SUMIFS(Calc_TUR_ENV_2[Jemena],Calc_TUR_ENV_2[[Customer type]:[Customer type]],OP_Rates!$E144,Calc_TUR_ENV_2[[Rate type]:[Rate type]],OP_Rates!$C144),8))),0,1))</f>
        <v>0</v>
      </c>
      <c r="J144" s="201" cm="1">
        <f t="array" ref="J144">IF(J109="-","-",
IF(ROUND(J109,8)=
IF($F144="Network",
IF($C144&lt;&gt;"Controlled load",
ROUND(INDEX(Calc_TUR_Net_2[[Ausnet]:[United Energy]],MATCH(1,(Calc_TUR_Net_2[[Customer type]:[Customer type]]=OP_Rates!$E144)*(Calc_TUR_Net_2[[Rate type]:[Rate type]]=OP_Rates!$C144),0),MATCH(OP_Rates!J$65,Calc_TUR_Net_2[[#Headers],[Ausnet]:[United Energy]],0)),8),
ROUND(INDEX(Calc_TUR_NetCL_2[[Ausnet]:[United Energy]],MATCH(OP_Rates!$E144,Calc_TUR_Net_2[[Customer type]:[Customer type]],0),MATCH(OP_Rates!J$65,Calc_TUR_Net_2[[#Headers],[Ausnet]:[United Energy]],0)),8)),
IF($F144="Environmental",
ROUND(SUMIFS(Calc_TUR_ENV_2[Powercor],Calc_TUR_ENV_2[[Customer type]:[Customer type]],OP_Rates!$E144,Calc_TUR_ENV_2[[Rate type]:[Rate type]],OP_Rates!$C144),8))),0,1))</f>
        <v>0</v>
      </c>
      <c r="K144" s="201" cm="1">
        <f t="array" ref="K144">IF(K109="-","-",
IF(ROUND(K109,8)=
IF($F144="Network",
IF($C144&lt;&gt;"Controlled load",
ROUND(INDEX(Calc_TUR_Net_2[[Ausnet]:[United Energy]],MATCH(1,(Calc_TUR_Net_2[[Customer type]:[Customer type]]=OP_Rates!$E144)*(Calc_TUR_Net_2[[Rate type]:[Rate type]]=OP_Rates!$C144),0),MATCH(OP_Rates!K$65,Calc_TUR_Net_2[[#Headers],[Ausnet]:[United Energy]],0)),8),
ROUND(INDEX(Calc_TUR_NetCL_2[[Ausnet]:[United Energy]],MATCH(OP_Rates!$E144,Calc_TUR_Net_2[[Customer type]:[Customer type]],0),MATCH(OP_Rates!K$65,Calc_TUR_Net_2[[#Headers],[Ausnet]:[United Energy]],0)),8)),
IF($F144="Environmental",
ROUND(SUMIFS(Calc_TUR_ENV_2[United Energy],Calc_TUR_ENV_2[[Customer type]:[Customer type]],OP_Rates!$E144,Calc_TUR_ENV_2[[Rate type]:[Rate type]],OP_Rates!$C144),8))),0,1))</f>
        <v>0</v>
      </c>
      <c r="M144" s="60" t="s">
        <v>230</v>
      </c>
      <c r="N144" s="60" t="s">
        <v>291</v>
      </c>
      <c r="O144" s="60" t="s">
        <v>101</v>
      </c>
      <c r="P144" s="60" t="s">
        <v>160</v>
      </c>
      <c r="Q144" s="201" cm="1">
        <f t="array" ref="Q144">IF(Q109="-","-",
IF(ROUND(Q109,8)=
IF($P144="Network",
ROUND(INDEX(Calc_TUR_Net_2[[Ausnet]:[United Energy]],MATCH(1,(Calc_TUR_Net_2[[Customer type]:[Customer type]]=OP_Rates!$O144)*(Calc_TUR_Net_2[[Rate type]:[Rate type]]=OP_Rates!$M144),0),MATCH(OP_Rates!Q$65,Calc_TUR_Net_2[[#Headers],[Ausnet]:[United Energy]],0)),8),
IF($P144="Environmental",
ROUND(SUMIFS(Calc_TUR_ENV_2[Ausnet],Calc_TUR_ENV_2[[Customer type]:[Customer type]],OP_Rates!$O144,Calc_TUR_ENV_2[[Rate type]:[Rate type]],OP_Rates!$M144),8))),0,1))</f>
        <v>0</v>
      </c>
      <c r="R144" s="201" cm="1">
        <f t="array" ref="R144">IF(R109="-","-",
IF(ROUND(R109,8)=
IF($P144="Network",
ROUND(INDEX(Calc_TUR_Net_2[[Ausnet]:[United Energy]],MATCH(1,(Calc_TUR_Net_2[[Customer type]:[Customer type]]=OP_Rates!$O144)*(Calc_TUR_Net_2[[Rate type]:[Rate type]]=OP_Rates!$M144),0),MATCH(OP_Rates!R$65,Calc_TUR_Net_2[[#Headers],[Ausnet]:[United Energy]],0)),8),
IF($P144="Environmental",
ROUND(SUMIFS(Calc_TUR_ENV_2[Citipower],Calc_TUR_ENV_2[[Customer type]:[Customer type]],OP_Rates!$O144,Calc_TUR_ENV_2[[Rate type]:[Rate type]],OP_Rates!$M144),8))),0,1))</f>
        <v>0</v>
      </c>
      <c r="S144" s="201" cm="1">
        <f t="array" ref="S144">IF(S109="-","-",
IF(ROUND(S109,8)=
IF($P144="Network",
ROUND(INDEX(Calc_TUR_Net_2[[Ausnet]:[United Energy]],MATCH(1,(Calc_TUR_Net_2[[Customer type]:[Customer type]]=OP_Rates!$O144)*(Calc_TUR_Net_2[[Rate type]:[Rate type]]=OP_Rates!$M144),0),MATCH(OP_Rates!S$65,Calc_TUR_Net_2[[#Headers],[Ausnet]:[United Energy]],0)),8),
IF($P144="Environmental",
ROUND(SUMIFS(Calc_TUR_ENV_2[Jemena],Calc_TUR_ENV_2[[Customer type]:[Customer type]],OP_Rates!$O144,Calc_TUR_ENV_2[[Rate type]:[Rate type]],OP_Rates!$M144),8))),0,1))</f>
        <v>0</v>
      </c>
      <c r="T144" s="201" cm="1">
        <f t="array" ref="T144">IF(T109="-","-",
IF(ROUND(T109,8)=
IF($P144="Network",
ROUND(INDEX(Calc_TUR_Net_2[[Ausnet]:[United Energy]],MATCH(1,(Calc_TUR_Net_2[[Customer type]:[Customer type]]=OP_Rates!$O144)*(Calc_TUR_Net_2[[Rate type]:[Rate type]]=OP_Rates!$M144),0),MATCH(OP_Rates!T$65,Calc_TUR_Net_2[[#Headers],[Ausnet]:[United Energy]],0)),8),
IF($P144="Environmental",
ROUND(SUMIFS(Calc_TUR_ENV_2[Powercor],Calc_TUR_ENV_2[[Customer type]:[Customer type]],OP_Rates!$O144,Calc_TUR_ENV_2[[Rate type]:[Rate type]],OP_Rates!$M144),8))),0,1))</f>
        <v>0</v>
      </c>
      <c r="U144" s="201" cm="1">
        <f t="array" ref="U144">IF(U109="-","-",
IF(ROUND(U109,8)=
IF($P144="Network",
ROUND(INDEX(Calc_TUR_Net_2[[Ausnet]:[United Energy]],MATCH(1,(Calc_TUR_Net_2[[Customer type]:[Customer type]]=OP_Rates!$O144)*(Calc_TUR_Net_2[[Rate type]:[Rate type]]=OP_Rates!$M144),0),MATCH(OP_Rates!U$65,Calc_TUR_Net_2[[#Headers],[Ausnet]:[United Energy]],0)),8),
IF($P144="Environmental",
ROUND(SUMIFS(Calc_TUR_ENV_2[United Energy],Calc_TUR_ENV_2[[Customer type]:[Customer type]],OP_Rates!$O144,Calc_TUR_ENV_2[[Rate type]:[Rate type]],OP_Rates!$M144),8))),0,1))</f>
        <v>0</v>
      </c>
    </row>
    <row r="145" spans="3:21" ht="15.75" outlineLevel="2" x14ac:dyDescent="0.25">
      <c r="C145" s="60" t="s">
        <v>237</v>
      </c>
      <c r="D145" s="60" t="s">
        <v>291</v>
      </c>
      <c r="E145" s="60" t="s">
        <v>100</v>
      </c>
      <c r="F145" s="60" t="s">
        <v>160</v>
      </c>
      <c r="G145" s="201" cm="1">
        <f t="array" ref="G145">IF(G110="-","-",
IF(ROUND(G110,8)=
IF($F145="Network",
IF($C145&lt;&gt;"Controlled load",
ROUND(INDEX(Calc_TUR_Net_2[[Ausnet]:[United Energy]],MATCH(1,(Calc_TUR_Net_2[[Customer type]:[Customer type]]=OP_Rates!$E145)*(Calc_TUR_Net_2[[Rate type]:[Rate type]]=OP_Rates!$C145),0),MATCH(OP_Rates!G$65,Calc_TUR_Net_2[[#Headers],[Ausnet]:[United Energy]],0)),8),
ROUND(INDEX(Calc_TUR_NetCL_2[[Ausnet]:[United Energy]],MATCH(OP_Rates!$E145,Calc_TUR_Net_2[[Customer type]:[Customer type]],0),MATCH(OP_Rates!G$65,Calc_TUR_Net_2[[#Headers],[Ausnet]:[United Energy]],0)),8)),
IF($F145="Environmental",
ROUND(SUMIFS(Calc_TUR_ENV_2[Ausnet],Calc_TUR_ENV_2[[Customer type]:[Customer type]],OP_Rates!$E145,Calc_TUR_ENV_2[[Rate type]:[Rate type]],OP_Rates!$C145),8))),0,1))</f>
        <v>0</v>
      </c>
      <c r="H145" s="201" cm="1">
        <f t="array" ref="H145">IF(H110="-","-",
IF(ROUND(H110,8)=
IF($F145="Network",
IF($C145&lt;&gt;"Controlled load",
ROUND(INDEX(Calc_TUR_Net_2[[Ausnet]:[United Energy]],MATCH(1,(Calc_TUR_Net_2[[Customer type]:[Customer type]]=OP_Rates!$E145)*(Calc_TUR_Net_2[[Rate type]:[Rate type]]=OP_Rates!$C145),0),MATCH(OP_Rates!H$65,Calc_TUR_Net_2[[#Headers],[Ausnet]:[United Energy]],0)),8),
ROUND(INDEX(Calc_TUR_NetCL_2[[Ausnet]:[United Energy]],MATCH(OP_Rates!$E145,Calc_TUR_Net_2[[Customer type]:[Customer type]],0),MATCH(OP_Rates!H$65,Calc_TUR_Net_2[[#Headers],[Ausnet]:[United Energy]],0)),8)),
IF($F145="Environmental",
ROUND(SUMIFS(Calc_TUR_ENV_2[Citipower],Calc_TUR_ENV_2[[Customer type]:[Customer type]],OP_Rates!$E145,Calc_TUR_ENV_2[[Rate type]:[Rate type]],OP_Rates!$C145),8))),0,1))</f>
        <v>0</v>
      </c>
      <c r="I145" s="201" cm="1">
        <f t="array" ref="I145">IF(I110="-","-",
IF(ROUND(I110,8)=
IF($F145="Network",
IF($C145&lt;&gt;"Controlled load",
ROUND(INDEX(Calc_TUR_Net_2[[Ausnet]:[United Energy]],MATCH(1,(Calc_TUR_Net_2[[Customer type]:[Customer type]]=OP_Rates!$E145)*(Calc_TUR_Net_2[[Rate type]:[Rate type]]=OP_Rates!$C145),0),MATCH(OP_Rates!I$65,Calc_TUR_Net_2[[#Headers],[Ausnet]:[United Energy]],0)),8),
ROUND(INDEX(Calc_TUR_NetCL_2[[Ausnet]:[United Energy]],MATCH(OP_Rates!$E145,Calc_TUR_Net_2[[Customer type]:[Customer type]],0),MATCH(OP_Rates!I$65,Calc_TUR_Net_2[[#Headers],[Ausnet]:[United Energy]],0)),8)),
IF($F145="Environmental",
ROUND(SUMIFS(Calc_TUR_ENV_2[Jemena],Calc_TUR_ENV_2[[Customer type]:[Customer type]],OP_Rates!$E145,Calc_TUR_ENV_2[[Rate type]:[Rate type]],OP_Rates!$C145),8))),0,1))</f>
        <v>0</v>
      </c>
      <c r="J145" s="201" cm="1">
        <f t="array" ref="J145">IF(J110="-","-",
IF(ROUND(J110,8)=
IF($F145="Network",
IF($C145&lt;&gt;"Controlled load",
ROUND(INDEX(Calc_TUR_Net_2[[Ausnet]:[United Energy]],MATCH(1,(Calc_TUR_Net_2[[Customer type]:[Customer type]]=OP_Rates!$E145)*(Calc_TUR_Net_2[[Rate type]:[Rate type]]=OP_Rates!$C145),0),MATCH(OP_Rates!J$65,Calc_TUR_Net_2[[#Headers],[Ausnet]:[United Energy]],0)),8),
ROUND(INDEX(Calc_TUR_NetCL_2[[Ausnet]:[United Energy]],MATCH(OP_Rates!$E145,Calc_TUR_Net_2[[Customer type]:[Customer type]],0),MATCH(OP_Rates!J$65,Calc_TUR_Net_2[[#Headers],[Ausnet]:[United Energy]],0)),8)),
IF($F145="Environmental",
ROUND(SUMIFS(Calc_TUR_ENV_2[Powercor],Calc_TUR_ENV_2[[Customer type]:[Customer type]],OP_Rates!$E145,Calc_TUR_ENV_2[[Rate type]:[Rate type]],OP_Rates!$C145),8))),0,1))</f>
        <v>0</v>
      </c>
      <c r="K145" s="201" cm="1">
        <f t="array" ref="K145">IF(K110="-","-",
IF(ROUND(K110,8)=
IF($F145="Network",
IF($C145&lt;&gt;"Controlled load",
ROUND(INDEX(Calc_TUR_Net_2[[Ausnet]:[United Energy]],MATCH(1,(Calc_TUR_Net_2[[Customer type]:[Customer type]]=OP_Rates!$E145)*(Calc_TUR_Net_2[[Rate type]:[Rate type]]=OP_Rates!$C145),0),MATCH(OP_Rates!K$65,Calc_TUR_Net_2[[#Headers],[Ausnet]:[United Energy]],0)),8),
ROUND(INDEX(Calc_TUR_NetCL_2[[Ausnet]:[United Energy]],MATCH(OP_Rates!$E145,Calc_TUR_Net_2[[Customer type]:[Customer type]],0),MATCH(OP_Rates!K$65,Calc_TUR_Net_2[[#Headers],[Ausnet]:[United Energy]],0)),8)),
IF($F145="Environmental",
ROUND(SUMIFS(Calc_TUR_ENV_2[United Energy],Calc_TUR_ENV_2[[Customer type]:[Customer type]],OP_Rates!$E145,Calc_TUR_ENV_2[[Rate type]:[Rate type]],OP_Rates!$C145),8))),0,1))</f>
        <v>0</v>
      </c>
      <c r="M145" s="60" t="s">
        <v>237</v>
      </c>
      <c r="N145" s="60" t="s">
        <v>291</v>
      </c>
      <c r="O145" s="60" t="s">
        <v>101</v>
      </c>
      <c r="P145" s="60" t="s">
        <v>160</v>
      </c>
      <c r="Q145" s="201" cm="1">
        <f t="array" ref="Q145">IF(Q110="-","-",
IF(ROUND(Q110,8)=
IF($P145="Network",
ROUND(INDEX(Calc_TUR_Net_2[[Ausnet]:[United Energy]],MATCH(1,(Calc_TUR_Net_2[[Customer type]:[Customer type]]=OP_Rates!$O145)*(Calc_TUR_Net_2[[Rate type]:[Rate type]]=OP_Rates!$M145),0),MATCH(OP_Rates!Q$65,Calc_TUR_Net_2[[#Headers],[Ausnet]:[United Energy]],0)),8),
IF($P145="Environmental",
ROUND(SUMIFS(Calc_TUR_ENV_2[Ausnet],Calc_TUR_ENV_2[[Customer type]:[Customer type]],OP_Rates!$O145,Calc_TUR_ENV_2[[Rate type]:[Rate type]],OP_Rates!$M145),8))),0,1))</f>
        <v>0</v>
      </c>
      <c r="R145" s="201" cm="1">
        <f t="array" ref="R145">IF(R110="-","-",
IF(ROUND(R110,8)=
IF($P145="Network",
ROUND(INDEX(Calc_TUR_Net_2[[Ausnet]:[United Energy]],MATCH(1,(Calc_TUR_Net_2[[Customer type]:[Customer type]]=OP_Rates!$O145)*(Calc_TUR_Net_2[[Rate type]:[Rate type]]=OP_Rates!$M145),0),MATCH(OP_Rates!R$65,Calc_TUR_Net_2[[#Headers],[Ausnet]:[United Energy]],0)),8),
IF($P145="Environmental",
ROUND(SUMIFS(Calc_TUR_ENV_2[Citipower],Calc_TUR_ENV_2[[Customer type]:[Customer type]],OP_Rates!$O145,Calc_TUR_ENV_2[[Rate type]:[Rate type]],OP_Rates!$M145),8))),0,1))</f>
        <v>0</v>
      </c>
      <c r="S145" s="201" cm="1">
        <f t="array" ref="S145">IF(S110="-","-",
IF(ROUND(S110,8)=
IF($P145="Network",
ROUND(INDEX(Calc_TUR_Net_2[[Ausnet]:[United Energy]],MATCH(1,(Calc_TUR_Net_2[[Customer type]:[Customer type]]=OP_Rates!$O145)*(Calc_TUR_Net_2[[Rate type]:[Rate type]]=OP_Rates!$M145),0),MATCH(OP_Rates!S$65,Calc_TUR_Net_2[[#Headers],[Ausnet]:[United Energy]],0)),8),
IF($P145="Environmental",
ROUND(SUMIFS(Calc_TUR_ENV_2[Jemena],Calc_TUR_ENV_2[[Customer type]:[Customer type]],OP_Rates!$O145,Calc_TUR_ENV_2[[Rate type]:[Rate type]],OP_Rates!$M145),8))),0,1))</f>
        <v>0</v>
      </c>
      <c r="T145" s="201" cm="1">
        <f t="array" ref="T145">IF(T110="-","-",
IF(ROUND(T110,8)=
IF($P145="Network",
ROUND(INDEX(Calc_TUR_Net_2[[Ausnet]:[United Energy]],MATCH(1,(Calc_TUR_Net_2[[Customer type]:[Customer type]]=OP_Rates!$O145)*(Calc_TUR_Net_2[[Rate type]:[Rate type]]=OP_Rates!$M145),0),MATCH(OP_Rates!T$65,Calc_TUR_Net_2[[#Headers],[Ausnet]:[United Energy]],0)),8),
IF($P145="Environmental",
ROUND(SUMIFS(Calc_TUR_ENV_2[Powercor],Calc_TUR_ENV_2[[Customer type]:[Customer type]],OP_Rates!$O145,Calc_TUR_ENV_2[[Rate type]:[Rate type]],OP_Rates!$M145),8))),0,1))</f>
        <v>0</v>
      </c>
      <c r="U145" s="201" cm="1">
        <f t="array" ref="U145">IF(U110="-","-",
IF(ROUND(U110,8)=
IF($P145="Network",
ROUND(INDEX(Calc_TUR_Net_2[[Ausnet]:[United Energy]],MATCH(1,(Calc_TUR_Net_2[[Customer type]:[Customer type]]=OP_Rates!$O145)*(Calc_TUR_Net_2[[Rate type]:[Rate type]]=OP_Rates!$M145),0),MATCH(OP_Rates!U$65,Calc_TUR_Net_2[[#Headers],[Ausnet]:[United Energy]],0)),8),
IF($P145="Environmental",
ROUND(SUMIFS(Calc_TUR_ENV_2[United Energy],Calc_TUR_ENV_2[[Customer type]:[Customer type]],OP_Rates!$O145,Calc_TUR_ENV_2[[Rate type]:[Rate type]],OP_Rates!$M145),8))),0,1))</f>
        <v>0</v>
      </c>
    </row>
    <row r="146" spans="3:21" ht="15.75" outlineLevel="2" x14ac:dyDescent="0.25">
      <c r="C146" s="60" t="s">
        <v>508</v>
      </c>
      <c r="D146" s="60" t="s">
        <v>291</v>
      </c>
      <c r="E146" s="60" t="s">
        <v>100</v>
      </c>
      <c r="F146" s="60" t="s">
        <v>160</v>
      </c>
      <c r="G146" s="201" cm="1">
        <f t="array" ref="G146">IF(G111="-","-",
IF(ROUND(G111,8)=
IF($F146="Network",
IF($C146&lt;&gt;"Controlled load",
ROUND(INDEX(Calc_TUR_Net_2[[Ausnet]:[United Energy]],MATCH(1,(Calc_TUR_Net_2[[Customer type]:[Customer type]]=OP_Rates!$E146)*(Calc_TUR_Net_2[[Rate type]:[Rate type]]=OP_Rates!$C146),0),MATCH(OP_Rates!G$65,Calc_TUR_Net_2[[#Headers],[Ausnet]:[United Energy]],0)),8),
ROUND(INDEX(Calc_TUR_NetCL_2[[Ausnet]:[United Energy]],MATCH(OP_Rates!$E146,Calc_TUR_Net_2[[Customer type]:[Customer type]],0),MATCH(OP_Rates!G$65,Calc_TUR_Net_2[[#Headers],[Ausnet]:[United Energy]],0)),8)),
IF($F146="Environmental",
ROUND(SUMIFS(Calc_TUR_ENV_2[Ausnet],Calc_TUR_ENV_2[[Customer type]:[Customer type]],OP_Rates!$E146,Calc_TUR_ENV_2[[Rate type]:[Rate type]],OP_Rates!$C146),8))),0,1))</f>
        <v>0</v>
      </c>
      <c r="H146" s="201" cm="1">
        <f t="array" ref="H146">IF(H111="-","-",
IF(ROUND(H111,8)=
IF($F146="Network",
IF($C146&lt;&gt;"Controlled load",
ROUND(INDEX(Calc_TUR_Net_2[[Ausnet]:[United Energy]],MATCH(1,(Calc_TUR_Net_2[[Customer type]:[Customer type]]=OP_Rates!$E146)*(Calc_TUR_Net_2[[Rate type]:[Rate type]]=OP_Rates!$C146),0),MATCH(OP_Rates!H$65,Calc_TUR_Net_2[[#Headers],[Ausnet]:[United Energy]],0)),8),
ROUND(INDEX(Calc_TUR_NetCL_2[[Ausnet]:[United Energy]],MATCH(OP_Rates!$E146,Calc_TUR_Net_2[[Customer type]:[Customer type]],0),MATCH(OP_Rates!H$65,Calc_TUR_Net_2[[#Headers],[Ausnet]:[United Energy]],0)),8)),
IF($F146="Environmental",
ROUND(SUMIFS(Calc_TUR_ENV_2[Citipower],Calc_TUR_ENV_2[[Customer type]:[Customer type]],OP_Rates!$E146,Calc_TUR_ENV_2[[Rate type]:[Rate type]],OP_Rates!$C146),8))),0,1))</f>
        <v>0</v>
      </c>
      <c r="I146" s="201" cm="1">
        <f t="array" ref="I146">IF(I111="-","-",
IF(ROUND(I111,8)=
IF($F146="Network",
IF($C146&lt;&gt;"Controlled load",
ROUND(INDEX(Calc_TUR_Net_2[[Ausnet]:[United Energy]],MATCH(1,(Calc_TUR_Net_2[[Customer type]:[Customer type]]=OP_Rates!$E146)*(Calc_TUR_Net_2[[Rate type]:[Rate type]]=OP_Rates!$C146),0),MATCH(OP_Rates!I$65,Calc_TUR_Net_2[[#Headers],[Ausnet]:[United Energy]],0)),8),
ROUND(INDEX(Calc_TUR_NetCL_2[[Ausnet]:[United Energy]],MATCH(OP_Rates!$E146,Calc_TUR_Net_2[[Customer type]:[Customer type]],0),MATCH(OP_Rates!I$65,Calc_TUR_Net_2[[#Headers],[Ausnet]:[United Energy]],0)),8)),
IF($F146="Environmental",
ROUND(SUMIFS(Calc_TUR_ENV_2[Jemena],Calc_TUR_ENV_2[[Customer type]:[Customer type]],OP_Rates!$E146,Calc_TUR_ENV_2[[Rate type]:[Rate type]],OP_Rates!$C146),8))),0,1))</f>
        <v>0</v>
      </c>
      <c r="J146" s="201" cm="1">
        <f t="array" ref="J146">IF(J111="-","-",
IF(ROUND(J111,8)=
IF($F146="Network",
IF($C146&lt;&gt;"Controlled load",
ROUND(INDEX(Calc_TUR_Net_2[[Ausnet]:[United Energy]],MATCH(1,(Calc_TUR_Net_2[[Customer type]:[Customer type]]=OP_Rates!$E146)*(Calc_TUR_Net_2[[Rate type]:[Rate type]]=OP_Rates!$C146),0),MATCH(OP_Rates!J$65,Calc_TUR_Net_2[[#Headers],[Ausnet]:[United Energy]],0)),8),
ROUND(INDEX(Calc_TUR_NetCL_2[[Ausnet]:[United Energy]],MATCH(OP_Rates!$E146,Calc_TUR_Net_2[[Customer type]:[Customer type]],0),MATCH(OP_Rates!J$65,Calc_TUR_Net_2[[#Headers],[Ausnet]:[United Energy]],0)),8)),
IF($F146="Environmental",
ROUND(SUMIFS(Calc_TUR_ENV_2[Powercor],Calc_TUR_ENV_2[[Customer type]:[Customer type]],OP_Rates!$E146,Calc_TUR_ENV_2[[Rate type]:[Rate type]],OP_Rates!$C146),8))),0,1))</f>
        <v>0</v>
      </c>
      <c r="K146" s="201" cm="1">
        <f t="array" ref="K146">IF(K111="-","-",
IF(ROUND(K111,8)=
IF($F146="Network",
IF($C146&lt;&gt;"Controlled load",
ROUND(INDEX(Calc_TUR_Net_2[[Ausnet]:[United Energy]],MATCH(1,(Calc_TUR_Net_2[[Customer type]:[Customer type]]=OP_Rates!$E146)*(Calc_TUR_Net_2[[Rate type]:[Rate type]]=OP_Rates!$C146),0),MATCH(OP_Rates!K$65,Calc_TUR_Net_2[[#Headers],[Ausnet]:[United Energy]],0)),8),
ROUND(INDEX(Calc_TUR_NetCL_2[[Ausnet]:[United Energy]],MATCH(OP_Rates!$E146,Calc_TUR_Net_2[[Customer type]:[Customer type]],0),MATCH(OP_Rates!K$65,Calc_TUR_Net_2[[#Headers],[Ausnet]:[United Energy]],0)),8)),
IF($F146="Environmental",
ROUND(SUMIFS(Calc_TUR_ENV_2[United Energy],Calc_TUR_ENV_2[[Customer type]:[Customer type]],OP_Rates!$E146,Calc_TUR_ENV_2[[Rate type]:[Rate type]],OP_Rates!$C146),8))),0,1))</f>
        <v>0</v>
      </c>
      <c r="M146" s="60" t="s">
        <v>508</v>
      </c>
      <c r="N146" s="60" t="s">
        <v>291</v>
      </c>
      <c r="O146" s="60" t="s">
        <v>101</v>
      </c>
      <c r="P146" s="60" t="s">
        <v>160</v>
      </c>
      <c r="Q146" s="201" cm="1">
        <f t="array" ref="Q146">IF(Q111="-","-",
IF(ROUND(Q111,8)=
IF($P146="Network",
ROUND(INDEX(Calc_TUR_Net_2[[Ausnet]:[United Energy]],MATCH(1,(Calc_TUR_Net_2[[Customer type]:[Customer type]]=OP_Rates!$O146)*(Calc_TUR_Net_2[[Rate type]:[Rate type]]=OP_Rates!$M146),0),MATCH(OP_Rates!Q$65,Calc_TUR_Net_2[[#Headers],[Ausnet]:[United Energy]],0)),8),
IF($P146="Environmental",
ROUND(SUMIFS(Calc_TUR_ENV_2[Ausnet],Calc_TUR_ENV_2[[Customer type]:[Customer type]],OP_Rates!$O146,Calc_TUR_ENV_2[[Rate type]:[Rate type]],OP_Rates!$M146),8))),0,1))</f>
        <v>0</v>
      </c>
      <c r="R146" s="201" cm="1">
        <f t="array" ref="R146">IF(R111="-","-",
IF(ROUND(R111,8)=
IF($P146="Network",
ROUND(INDEX(Calc_TUR_Net_2[[Ausnet]:[United Energy]],MATCH(1,(Calc_TUR_Net_2[[Customer type]:[Customer type]]=OP_Rates!$O146)*(Calc_TUR_Net_2[[Rate type]:[Rate type]]=OP_Rates!$M146),0),MATCH(OP_Rates!R$65,Calc_TUR_Net_2[[#Headers],[Ausnet]:[United Energy]],0)),8),
IF($P146="Environmental",
ROUND(SUMIFS(Calc_TUR_ENV_2[Citipower],Calc_TUR_ENV_2[[Customer type]:[Customer type]],OP_Rates!$O146,Calc_TUR_ENV_2[[Rate type]:[Rate type]],OP_Rates!$M146),8))),0,1))</f>
        <v>0</v>
      </c>
      <c r="S146" s="201" cm="1">
        <f t="array" ref="S146">IF(S111="-","-",
IF(ROUND(S111,8)=
IF($P146="Network",
ROUND(INDEX(Calc_TUR_Net_2[[Ausnet]:[United Energy]],MATCH(1,(Calc_TUR_Net_2[[Customer type]:[Customer type]]=OP_Rates!$O146)*(Calc_TUR_Net_2[[Rate type]:[Rate type]]=OP_Rates!$M146),0),MATCH(OP_Rates!S$65,Calc_TUR_Net_2[[#Headers],[Ausnet]:[United Energy]],0)),8),
IF($P146="Environmental",
ROUND(SUMIFS(Calc_TUR_ENV_2[Jemena],Calc_TUR_ENV_2[[Customer type]:[Customer type]],OP_Rates!$O146,Calc_TUR_ENV_2[[Rate type]:[Rate type]],OP_Rates!$M146),8))),0,1))</f>
        <v>0</v>
      </c>
      <c r="T146" s="201" cm="1">
        <f t="array" ref="T146">IF(T111="-","-",
IF(ROUND(T111,8)=
IF($P146="Network",
ROUND(INDEX(Calc_TUR_Net_2[[Ausnet]:[United Energy]],MATCH(1,(Calc_TUR_Net_2[[Customer type]:[Customer type]]=OP_Rates!$O146)*(Calc_TUR_Net_2[[Rate type]:[Rate type]]=OP_Rates!$M146),0),MATCH(OP_Rates!T$65,Calc_TUR_Net_2[[#Headers],[Ausnet]:[United Energy]],0)),8),
IF($P146="Environmental",
ROUND(SUMIFS(Calc_TUR_ENV_2[Powercor],Calc_TUR_ENV_2[[Customer type]:[Customer type]],OP_Rates!$O146,Calc_TUR_ENV_2[[Rate type]:[Rate type]],OP_Rates!$M146),8))),0,1))</f>
        <v>0</v>
      </c>
      <c r="U146" s="201" cm="1">
        <f t="array" ref="U146">IF(U111="-","-",
IF(ROUND(U111,8)=
IF($P146="Network",
ROUND(INDEX(Calc_TUR_Net_2[[Ausnet]:[United Energy]],MATCH(1,(Calc_TUR_Net_2[[Customer type]:[Customer type]]=OP_Rates!$O146)*(Calc_TUR_Net_2[[Rate type]:[Rate type]]=OP_Rates!$M146),0),MATCH(OP_Rates!U$65,Calc_TUR_Net_2[[#Headers],[Ausnet]:[United Energy]],0)),8),
IF($P146="Environmental",
ROUND(SUMIFS(Calc_TUR_ENV_2[United Energy],Calc_TUR_ENV_2[[Customer type]:[Customer type]],OP_Rates!$O146,Calc_TUR_ENV_2[[Rate type]:[Rate type]],OP_Rates!$M146),8))),0,1))</f>
        <v>0</v>
      </c>
    </row>
    <row r="147" spans="3:21" ht="15.75" outlineLevel="2" x14ac:dyDescent="0.25">
      <c r="C147" s="60" t="s">
        <v>239</v>
      </c>
      <c r="D147" s="60" t="s">
        <v>291</v>
      </c>
      <c r="E147" s="60" t="s">
        <v>100</v>
      </c>
      <c r="F147" s="60" t="s">
        <v>160</v>
      </c>
      <c r="G147" s="201" cm="1">
        <f t="array" ref="G147">IF(G112="-","-",
IF(ROUND(G112,8)=
IF($F147="Network",
IF($C147&lt;&gt;"Controlled load",
ROUND(INDEX(Calc_TUR_Net_2[[Ausnet]:[United Energy]],MATCH(1,(Calc_TUR_Net_2[[Customer type]:[Customer type]]=OP_Rates!$E147)*(Calc_TUR_Net_2[[Rate type]:[Rate type]]=OP_Rates!$C147),0),MATCH(OP_Rates!G$65,Calc_TUR_Net_2[[#Headers],[Ausnet]:[United Energy]],0)),8),
ROUND(INDEX(Calc_TUR_NetCL_2[[Ausnet]:[United Energy]],MATCH(OP_Rates!$E147,Calc_TUR_Net_2[[Customer type]:[Customer type]],0),MATCH(OP_Rates!G$65,Calc_TUR_Net_2[[#Headers],[Ausnet]:[United Energy]],0)),8)),
IF($F147="Environmental",
ROUND(SUMIFS(Calc_TUR_ENV_2[Ausnet],Calc_TUR_ENV_2[[Customer type]:[Customer type]],OP_Rates!$E147,Calc_TUR_ENV_2[[Rate type]:[Rate type]],OP_Rates!$C147),8))),0,1))</f>
        <v>0</v>
      </c>
      <c r="H147" s="201" cm="1">
        <f t="array" ref="H147">IF(H112="-","-",
IF(ROUND(H112,8)=
IF($F147="Network",
IF($C147&lt;&gt;"Controlled load",
ROUND(INDEX(Calc_TUR_Net_2[[Ausnet]:[United Energy]],MATCH(1,(Calc_TUR_Net_2[[Customer type]:[Customer type]]=OP_Rates!$E147)*(Calc_TUR_Net_2[[Rate type]:[Rate type]]=OP_Rates!$C147),0),MATCH(OP_Rates!H$65,Calc_TUR_Net_2[[#Headers],[Ausnet]:[United Energy]],0)),8),
ROUND(INDEX(Calc_TUR_NetCL_2[[Ausnet]:[United Energy]],MATCH(OP_Rates!$E147,Calc_TUR_Net_2[[Customer type]:[Customer type]],0),MATCH(OP_Rates!H$65,Calc_TUR_Net_2[[#Headers],[Ausnet]:[United Energy]],0)),8)),
IF($F147="Environmental",
ROUND(SUMIFS(Calc_TUR_ENV_2[Citipower],Calc_TUR_ENV_2[[Customer type]:[Customer type]],OP_Rates!$E147,Calc_TUR_ENV_2[[Rate type]:[Rate type]],OP_Rates!$C147),8))),0,1))</f>
        <v>0</v>
      </c>
      <c r="I147" s="201" cm="1">
        <f t="array" ref="I147">IF(I112="-","-",
IF(ROUND(I112,8)=
IF($F147="Network",
IF($C147&lt;&gt;"Controlled load",
ROUND(INDEX(Calc_TUR_Net_2[[Ausnet]:[United Energy]],MATCH(1,(Calc_TUR_Net_2[[Customer type]:[Customer type]]=OP_Rates!$E147)*(Calc_TUR_Net_2[[Rate type]:[Rate type]]=OP_Rates!$C147),0),MATCH(OP_Rates!I$65,Calc_TUR_Net_2[[#Headers],[Ausnet]:[United Energy]],0)),8),
ROUND(INDEX(Calc_TUR_NetCL_2[[Ausnet]:[United Energy]],MATCH(OP_Rates!$E147,Calc_TUR_Net_2[[Customer type]:[Customer type]],0),MATCH(OP_Rates!I$65,Calc_TUR_Net_2[[#Headers],[Ausnet]:[United Energy]],0)),8)),
IF($F147="Environmental",
ROUND(SUMIFS(Calc_TUR_ENV_2[Jemena],Calc_TUR_ENV_2[[Customer type]:[Customer type]],OP_Rates!$E147,Calc_TUR_ENV_2[[Rate type]:[Rate type]],OP_Rates!$C147),8))),0,1))</f>
        <v>0</v>
      </c>
      <c r="J147" s="201" cm="1">
        <f t="array" ref="J147">IF(J112="-","-",
IF(ROUND(J112,8)=
IF($F147="Network",
IF($C147&lt;&gt;"Controlled load",
ROUND(INDEX(Calc_TUR_Net_2[[Ausnet]:[United Energy]],MATCH(1,(Calc_TUR_Net_2[[Customer type]:[Customer type]]=OP_Rates!$E147)*(Calc_TUR_Net_2[[Rate type]:[Rate type]]=OP_Rates!$C147),0),MATCH(OP_Rates!J$65,Calc_TUR_Net_2[[#Headers],[Ausnet]:[United Energy]],0)),8),
ROUND(INDEX(Calc_TUR_NetCL_2[[Ausnet]:[United Energy]],MATCH(OP_Rates!$E147,Calc_TUR_Net_2[[Customer type]:[Customer type]],0),MATCH(OP_Rates!J$65,Calc_TUR_Net_2[[#Headers],[Ausnet]:[United Energy]],0)),8)),
IF($F147="Environmental",
ROUND(SUMIFS(Calc_TUR_ENV_2[Powercor],Calc_TUR_ENV_2[[Customer type]:[Customer type]],OP_Rates!$E147,Calc_TUR_ENV_2[[Rate type]:[Rate type]],OP_Rates!$C147),8))),0,1))</f>
        <v>0</v>
      </c>
      <c r="K147" s="201" cm="1">
        <f t="array" ref="K147">IF(K112="-","-",
IF(ROUND(K112,8)=
IF($F147="Network",
IF($C147&lt;&gt;"Controlled load",
ROUND(INDEX(Calc_TUR_Net_2[[Ausnet]:[United Energy]],MATCH(1,(Calc_TUR_Net_2[[Customer type]:[Customer type]]=OP_Rates!$E147)*(Calc_TUR_Net_2[[Rate type]:[Rate type]]=OP_Rates!$C147),0),MATCH(OP_Rates!K$65,Calc_TUR_Net_2[[#Headers],[Ausnet]:[United Energy]],0)),8),
ROUND(INDEX(Calc_TUR_NetCL_2[[Ausnet]:[United Energy]],MATCH(OP_Rates!$E147,Calc_TUR_Net_2[[Customer type]:[Customer type]],0),MATCH(OP_Rates!K$65,Calc_TUR_Net_2[[#Headers],[Ausnet]:[United Energy]],0)),8)),
IF($F147="Environmental",
ROUND(SUMIFS(Calc_TUR_ENV_2[United Energy],Calc_TUR_ENV_2[[Customer type]:[Customer type]],OP_Rates!$E147,Calc_TUR_ENV_2[[Rate type]:[Rate type]],OP_Rates!$C147),8))),0,1))</f>
        <v>0</v>
      </c>
      <c r="M147" s="60" t="s">
        <v>239</v>
      </c>
      <c r="N147" s="60" t="s">
        <v>291</v>
      </c>
      <c r="O147" s="60" t="s">
        <v>101</v>
      </c>
      <c r="P147" s="60" t="s">
        <v>160</v>
      </c>
      <c r="Q147" s="201" cm="1">
        <f t="array" ref="Q147">IF(Q112="-","-",
IF(ROUND(Q112,8)=
IF($P147="Network",
ROUND(INDEX(Calc_TUR_Net_2[[Ausnet]:[United Energy]],MATCH(1,(Calc_TUR_Net_2[[Customer type]:[Customer type]]=OP_Rates!$O147)*(Calc_TUR_Net_2[[Rate type]:[Rate type]]=OP_Rates!$M147),0),MATCH(OP_Rates!Q$65,Calc_TUR_Net_2[[#Headers],[Ausnet]:[United Energy]],0)),8),
IF($P147="Environmental",
ROUND(SUMIFS(Calc_TUR_ENV_2[Ausnet],Calc_TUR_ENV_2[[Customer type]:[Customer type]],OP_Rates!$O147,Calc_TUR_ENV_2[[Rate type]:[Rate type]],OP_Rates!$M147),8))),0,1))</f>
        <v>0</v>
      </c>
      <c r="R147" s="201" cm="1">
        <f t="array" ref="R147">IF(R112="-","-",
IF(ROUND(R112,8)=
IF($P147="Network",
ROUND(INDEX(Calc_TUR_Net_2[[Ausnet]:[United Energy]],MATCH(1,(Calc_TUR_Net_2[[Customer type]:[Customer type]]=OP_Rates!$O147)*(Calc_TUR_Net_2[[Rate type]:[Rate type]]=OP_Rates!$M147),0),MATCH(OP_Rates!R$65,Calc_TUR_Net_2[[#Headers],[Ausnet]:[United Energy]],0)),8),
IF($P147="Environmental",
ROUND(SUMIFS(Calc_TUR_ENV_2[Citipower],Calc_TUR_ENV_2[[Customer type]:[Customer type]],OP_Rates!$O147,Calc_TUR_ENV_2[[Rate type]:[Rate type]],OP_Rates!$M147),8))),0,1))</f>
        <v>0</v>
      </c>
      <c r="S147" s="201" cm="1">
        <f t="array" ref="S147">IF(S112="-","-",
IF(ROUND(S112,8)=
IF($P147="Network",
ROUND(INDEX(Calc_TUR_Net_2[[Ausnet]:[United Energy]],MATCH(1,(Calc_TUR_Net_2[[Customer type]:[Customer type]]=OP_Rates!$O147)*(Calc_TUR_Net_2[[Rate type]:[Rate type]]=OP_Rates!$M147),0),MATCH(OP_Rates!S$65,Calc_TUR_Net_2[[#Headers],[Ausnet]:[United Energy]],0)),8),
IF($P147="Environmental",
ROUND(SUMIFS(Calc_TUR_ENV_2[Jemena],Calc_TUR_ENV_2[[Customer type]:[Customer type]],OP_Rates!$O147,Calc_TUR_ENV_2[[Rate type]:[Rate type]],OP_Rates!$M147),8))),0,1))</f>
        <v>0</v>
      </c>
      <c r="T147" s="201" cm="1">
        <f t="array" ref="T147">IF(T112="-","-",
IF(ROUND(T112,8)=
IF($P147="Network",
ROUND(INDEX(Calc_TUR_Net_2[[Ausnet]:[United Energy]],MATCH(1,(Calc_TUR_Net_2[[Customer type]:[Customer type]]=OP_Rates!$O147)*(Calc_TUR_Net_2[[Rate type]:[Rate type]]=OP_Rates!$M147),0),MATCH(OP_Rates!T$65,Calc_TUR_Net_2[[#Headers],[Ausnet]:[United Energy]],0)),8),
IF($P147="Environmental",
ROUND(SUMIFS(Calc_TUR_ENV_2[Powercor],Calc_TUR_ENV_2[[Customer type]:[Customer type]],OP_Rates!$O147,Calc_TUR_ENV_2[[Rate type]:[Rate type]],OP_Rates!$M147),8))),0,1))</f>
        <v>0</v>
      </c>
      <c r="U147" s="201" cm="1">
        <f t="array" ref="U147">IF(U112="-","-",
IF(ROUND(U112,8)=
IF($P147="Network",
ROUND(INDEX(Calc_TUR_Net_2[[Ausnet]:[United Energy]],MATCH(1,(Calc_TUR_Net_2[[Customer type]:[Customer type]]=OP_Rates!$O147)*(Calc_TUR_Net_2[[Rate type]:[Rate type]]=OP_Rates!$M147),0),MATCH(OP_Rates!U$65,Calc_TUR_Net_2[[#Headers],[Ausnet]:[United Energy]],0)),8),
IF($P147="Environmental",
ROUND(SUMIFS(Calc_TUR_ENV_2[United Energy],Calc_TUR_ENV_2[[Customer type]:[Customer type]],OP_Rates!$O147,Calc_TUR_ENV_2[[Rate type]:[Rate type]],OP_Rates!$M147),8))),0,1))</f>
        <v>0</v>
      </c>
    </row>
    <row r="148" spans="3:21" ht="15.75" outlineLevel="2" x14ac:dyDescent="0.25">
      <c r="C148" s="60" t="s">
        <v>538</v>
      </c>
      <c r="D148" s="60" t="s">
        <v>291</v>
      </c>
      <c r="E148" s="60" t="s">
        <v>100</v>
      </c>
      <c r="F148" s="60" t="s">
        <v>160</v>
      </c>
      <c r="G148" s="201" cm="1">
        <f t="array" ref="G148">IF(G113="-","-",
IF(ROUND(G113,8)=
IF($F148="Network",
IF($C148&lt;&gt;"Controlled load",
ROUND(INDEX(Calc_TUR_Net_2[[Ausnet]:[United Energy]],MATCH(1,(Calc_TUR_Net_2[[Customer type]:[Customer type]]=OP_Rates!$E148)*(Calc_TUR_Net_2[[Rate type]:[Rate type]]=OP_Rates!$C148),0),MATCH(OP_Rates!G$65,Calc_TUR_Net_2[[#Headers],[Ausnet]:[United Energy]],0)),8),
ROUND(INDEX(Calc_TUR_NetCL_2[[Ausnet]:[United Energy]],MATCH(OP_Rates!$E148,Calc_TUR_Net_2[[Customer type]:[Customer type]],0),MATCH(OP_Rates!G$65,Calc_TUR_Net_2[[#Headers],[Ausnet]:[United Energy]],0)),8)),
IF($F148="Environmental",
ROUND(SUMIFS(Calc_TUR_ENV_2[Ausnet],Calc_TUR_ENV_2[[Customer type]:[Customer type]],OP_Rates!$E148,Calc_TUR_ENV_2[[Rate type]:[Rate type]],OP_Rates!$C148),8))),0,1))</f>
        <v>0</v>
      </c>
      <c r="H148" s="201" cm="1">
        <f t="array" ref="H148">IF(H113="-","-",
IF(ROUND(H113,8)=
IF($F148="Network",
IF($C148&lt;&gt;"Controlled load",
ROUND(INDEX(Calc_TUR_Net_2[[Ausnet]:[United Energy]],MATCH(1,(Calc_TUR_Net_2[[Customer type]:[Customer type]]=OP_Rates!$E148)*(Calc_TUR_Net_2[[Rate type]:[Rate type]]=OP_Rates!$C148),0),MATCH(OP_Rates!H$65,Calc_TUR_Net_2[[#Headers],[Ausnet]:[United Energy]],0)),8),
ROUND(INDEX(Calc_TUR_NetCL_2[[Ausnet]:[United Energy]],MATCH(OP_Rates!$E148,Calc_TUR_Net_2[[Customer type]:[Customer type]],0),MATCH(OP_Rates!H$65,Calc_TUR_Net_2[[#Headers],[Ausnet]:[United Energy]],0)),8)),
IF($F148="Environmental",
ROUND(SUMIFS(Calc_TUR_ENV_2[Citipower],Calc_TUR_ENV_2[[Customer type]:[Customer type]],OP_Rates!$E148,Calc_TUR_ENV_2[[Rate type]:[Rate type]],OP_Rates!$C148),8))),0,1))</f>
        <v>0</v>
      </c>
      <c r="I148" s="201" cm="1">
        <f t="array" ref="I148">IF(I113="-","-",
IF(ROUND(I113,8)=
IF($F148="Network",
IF($C148&lt;&gt;"Controlled load",
ROUND(INDEX(Calc_TUR_Net_2[[Ausnet]:[United Energy]],MATCH(1,(Calc_TUR_Net_2[[Customer type]:[Customer type]]=OP_Rates!$E148)*(Calc_TUR_Net_2[[Rate type]:[Rate type]]=OP_Rates!$C148),0),MATCH(OP_Rates!I$65,Calc_TUR_Net_2[[#Headers],[Ausnet]:[United Energy]],0)),8),
ROUND(INDEX(Calc_TUR_NetCL_2[[Ausnet]:[United Energy]],MATCH(OP_Rates!$E148,Calc_TUR_Net_2[[Customer type]:[Customer type]],0),MATCH(OP_Rates!I$65,Calc_TUR_Net_2[[#Headers],[Ausnet]:[United Energy]],0)),8)),
IF($F148="Environmental",
ROUND(SUMIFS(Calc_TUR_ENV_2[Jemena],Calc_TUR_ENV_2[[Customer type]:[Customer type]],OP_Rates!$E148,Calc_TUR_ENV_2[[Rate type]:[Rate type]],OP_Rates!$C148),8))),0,1))</f>
        <v>0</v>
      </c>
      <c r="J148" s="201" cm="1">
        <f t="array" ref="J148">IF(J113="-","-",
IF(ROUND(J113,8)=
IF($F148="Network",
IF($C148&lt;&gt;"Controlled load",
ROUND(INDEX(Calc_TUR_Net_2[[Ausnet]:[United Energy]],MATCH(1,(Calc_TUR_Net_2[[Customer type]:[Customer type]]=OP_Rates!$E148)*(Calc_TUR_Net_2[[Rate type]:[Rate type]]=OP_Rates!$C148),0),MATCH(OP_Rates!J$65,Calc_TUR_Net_2[[#Headers],[Ausnet]:[United Energy]],0)),8),
ROUND(INDEX(Calc_TUR_NetCL_2[[Ausnet]:[United Energy]],MATCH(OP_Rates!$E148,Calc_TUR_Net_2[[Customer type]:[Customer type]],0),MATCH(OP_Rates!J$65,Calc_TUR_Net_2[[#Headers],[Ausnet]:[United Energy]],0)),8)),
IF($F148="Environmental",
ROUND(SUMIFS(Calc_TUR_ENV_2[Powercor],Calc_TUR_ENV_2[[Customer type]:[Customer type]],OP_Rates!$E148,Calc_TUR_ENV_2[[Rate type]:[Rate type]],OP_Rates!$C148),8))),0,1))</f>
        <v>0</v>
      </c>
      <c r="K148" s="201" cm="1">
        <f t="array" ref="K148">IF(K113="-","-",
IF(ROUND(K113,8)=
IF($F148="Network",
IF($C148&lt;&gt;"Controlled load",
ROUND(INDEX(Calc_TUR_Net_2[[Ausnet]:[United Energy]],MATCH(1,(Calc_TUR_Net_2[[Customer type]:[Customer type]]=OP_Rates!$E148)*(Calc_TUR_Net_2[[Rate type]:[Rate type]]=OP_Rates!$C148),0),MATCH(OP_Rates!K$65,Calc_TUR_Net_2[[#Headers],[Ausnet]:[United Energy]],0)),8),
ROUND(INDEX(Calc_TUR_NetCL_2[[Ausnet]:[United Energy]],MATCH(OP_Rates!$E148,Calc_TUR_Net_2[[Customer type]:[Customer type]],0),MATCH(OP_Rates!K$65,Calc_TUR_Net_2[[#Headers],[Ausnet]:[United Energy]],0)),8)),
IF($F148="Environmental",
ROUND(SUMIFS(Calc_TUR_ENV_2[United Energy],Calc_TUR_ENV_2[[Customer type]:[Customer type]],OP_Rates!$E148,Calc_TUR_ENV_2[[Rate type]:[Rate type]],OP_Rates!$C148),8))),0,1))</f>
        <v>0</v>
      </c>
      <c r="M148" s="60" t="s">
        <v>538</v>
      </c>
      <c r="N148" s="60" t="s">
        <v>291</v>
      </c>
      <c r="O148" s="60" t="s">
        <v>101</v>
      </c>
      <c r="P148" s="60" t="s">
        <v>160</v>
      </c>
      <c r="Q148" s="201" cm="1">
        <f t="array" ref="Q148">IF(Q113="-","-",
IF(ROUND(Q113,8)=
IF($P148="Network",
ROUND(INDEX(Calc_TUR_Net_2[[Ausnet]:[United Energy]],MATCH(1,(Calc_TUR_Net_2[[Customer type]:[Customer type]]=OP_Rates!$O148)*(Calc_TUR_Net_2[[Rate type]:[Rate type]]=OP_Rates!$M148),0),MATCH(OP_Rates!Q$65,Calc_TUR_Net_2[[#Headers],[Ausnet]:[United Energy]],0)),8),
IF($P148="Environmental",
ROUND(SUMIFS(Calc_TUR_ENV_2[Ausnet],Calc_TUR_ENV_2[[Customer type]:[Customer type]],OP_Rates!$O148,Calc_TUR_ENV_2[[Rate type]:[Rate type]],OP_Rates!$M148),8))),0,1))</f>
        <v>0</v>
      </c>
      <c r="R148" s="201" cm="1">
        <f t="array" ref="R148">IF(R113="-","-",
IF(ROUND(R113,8)=
IF($P148="Network",
ROUND(INDEX(Calc_TUR_Net_2[[Ausnet]:[United Energy]],MATCH(1,(Calc_TUR_Net_2[[Customer type]:[Customer type]]=OP_Rates!$O148)*(Calc_TUR_Net_2[[Rate type]:[Rate type]]=OP_Rates!$M148),0),MATCH(OP_Rates!R$65,Calc_TUR_Net_2[[#Headers],[Ausnet]:[United Energy]],0)),8),
IF($P148="Environmental",
ROUND(SUMIFS(Calc_TUR_ENV_2[Citipower],Calc_TUR_ENV_2[[Customer type]:[Customer type]],OP_Rates!$O148,Calc_TUR_ENV_2[[Rate type]:[Rate type]],OP_Rates!$M148),8))),0,1))</f>
        <v>0</v>
      </c>
      <c r="S148" s="201" cm="1">
        <f t="array" ref="S148">IF(S113="-","-",
IF(ROUND(S113,8)=
IF($P148="Network",
ROUND(INDEX(Calc_TUR_Net_2[[Ausnet]:[United Energy]],MATCH(1,(Calc_TUR_Net_2[[Customer type]:[Customer type]]=OP_Rates!$O148)*(Calc_TUR_Net_2[[Rate type]:[Rate type]]=OP_Rates!$M148),0),MATCH(OP_Rates!S$65,Calc_TUR_Net_2[[#Headers],[Ausnet]:[United Energy]],0)),8),
IF($P148="Environmental",
ROUND(SUMIFS(Calc_TUR_ENV_2[Jemena],Calc_TUR_ENV_2[[Customer type]:[Customer type]],OP_Rates!$O148,Calc_TUR_ENV_2[[Rate type]:[Rate type]],OP_Rates!$M148),8))),0,1))</f>
        <v>0</v>
      </c>
      <c r="T148" s="201" cm="1">
        <f t="array" ref="T148">IF(T113="-","-",
IF(ROUND(T113,8)=
IF($P148="Network",
ROUND(INDEX(Calc_TUR_Net_2[[Ausnet]:[United Energy]],MATCH(1,(Calc_TUR_Net_2[[Customer type]:[Customer type]]=OP_Rates!$O148)*(Calc_TUR_Net_2[[Rate type]:[Rate type]]=OP_Rates!$M148),0),MATCH(OP_Rates!T$65,Calc_TUR_Net_2[[#Headers],[Ausnet]:[United Energy]],0)),8),
IF($P148="Environmental",
ROUND(SUMIFS(Calc_TUR_ENV_2[Powercor],Calc_TUR_ENV_2[[Customer type]:[Customer type]],OP_Rates!$O148,Calc_TUR_ENV_2[[Rate type]:[Rate type]],OP_Rates!$M148),8))),0,1))</f>
        <v>0</v>
      </c>
      <c r="U148" s="201" cm="1">
        <f t="array" ref="U148">IF(U113="-","-",
IF(ROUND(U113,8)=
IF($P148="Network",
ROUND(INDEX(Calc_TUR_Net_2[[Ausnet]:[United Energy]],MATCH(1,(Calc_TUR_Net_2[[Customer type]:[Customer type]]=OP_Rates!$O148)*(Calc_TUR_Net_2[[Rate type]:[Rate type]]=OP_Rates!$M148),0),MATCH(OP_Rates!U$65,Calc_TUR_Net_2[[#Headers],[Ausnet]:[United Energy]],0)),8),
IF($P148="Environmental",
ROUND(SUMIFS(Calc_TUR_ENV_2[United Energy],Calc_TUR_ENV_2[[Customer type]:[Customer type]],OP_Rates!$O148,Calc_TUR_ENV_2[[Rate type]:[Rate type]],OP_Rates!$M148),8))),0,1))</f>
        <v>0</v>
      </c>
    </row>
    <row r="149" spans="3:21" ht="15.75" outlineLevel="2" x14ac:dyDescent="0.25">
      <c r="C149" s="60" t="s">
        <v>296</v>
      </c>
      <c r="D149" s="60" t="s">
        <v>291</v>
      </c>
      <c r="E149" s="60" t="s">
        <v>100</v>
      </c>
      <c r="F149" s="60" t="s">
        <v>160</v>
      </c>
      <c r="G149" s="201" cm="1">
        <f t="array" ref="G149">IF(G114="-","-",
IF(ROUND(G114,8)=
IF($F149="Network",
IF($C149&lt;&gt;"Controlled load",
ROUND(INDEX(Calc_TUR_Net_2[[Ausnet]:[United Energy]],MATCH(1,(Calc_TUR_Net_2[[Customer type]:[Customer type]]=OP_Rates!$E149)*(Calc_TUR_Net_2[[Rate type]:[Rate type]]=OP_Rates!$C149),0),MATCH(OP_Rates!G$65,Calc_TUR_Net_2[[#Headers],[Ausnet]:[United Energy]],0)),8),
ROUND(INDEX(Calc_TUR_NetCL_2[[Ausnet]:[United Energy]],MATCH(OP_Rates!$E149,Calc_TUR_Net_2[[Customer type]:[Customer type]],0),MATCH(OP_Rates!G$65,Calc_TUR_Net_2[[#Headers],[Ausnet]:[United Energy]],0)),8)),
IF($F149="Environmental",
ROUND(SUMIFS(Calc_TUR_ENV_2[Ausnet],Calc_TUR_ENV_2[[Customer type]:[Customer type]],OP_Rates!$E149,Calc_TUR_ENV_2[[Rate type]:[Rate type]],OP_Rates!$C149),8))),0,1))</f>
        <v>0</v>
      </c>
      <c r="H149" s="201" cm="1">
        <f t="array" ref="H149">IF(H114="-","-",
IF(ROUND(H114,8)=
IF($F149="Network",
IF($C149&lt;&gt;"Controlled load",
ROUND(INDEX(Calc_TUR_Net_2[[Ausnet]:[United Energy]],MATCH(1,(Calc_TUR_Net_2[[Customer type]:[Customer type]]=OP_Rates!$E149)*(Calc_TUR_Net_2[[Rate type]:[Rate type]]=OP_Rates!$C149),0),MATCH(OP_Rates!H$65,Calc_TUR_Net_2[[#Headers],[Ausnet]:[United Energy]],0)),8),
ROUND(INDEX(Calc_TUR_NetCL_2[[Ausnet]:[United Energy]],MATCH(OP_Rates!$E149,Calc_TUR_Net_2[[Customer type]:[Customer type]],0),MATCH(OP_Rates!H$65,Calc_TUR_Net_2[[#Headers],[Ausnet]:[United Energy]],0)),8)),
IF($F149="Environmental",
ROUND(SUMIFS(Calc_TUR_ENV_2[Citipower],Calc_TUR_ENV_2[[Customer type]:[Customer type]],OP_Rates!$E149,Calc_TUR_ENV_2[[Rate type]:[Rate type]],OP_Rates!$C149),8))),0,1))</f>
        <v>0</v>
      </c>
      <c r="I149" s="201" cm="1">
        <f t="array" ref="I149">IF(I114="-","-",
IF(ROUND(I114,8)=
IF($F149="Network",
IF($C149&lt;&gt;"Controlled load",
ROUND(INDEX(Calc_TUR_Net_2[[Ausnet]:[United Energy]],MATCH(1,(Calc_TUR_Net_2[[Customer type]:[Customer type]]=OP_Rates!$E149)*(Calc_TUR_Net_2[[Rate type]:[Rate type]]=OP_Rates!$C149),0),MATCH(OP_Rates!I$65,Calc_TUR_Net_2[[#Headers],[Ausnet]:[United Energy]],0)),8),
ROUND(INDEX(Calc_TUR_NetCL_2[[Ausnet]:[United Energy]],MATCH(OP_Rates!$E149,Calc_TUR_Net_2[[Customer type]:[Customer type]],0),MATCH(OP_Rates!I$65,Calc_TUR_Net_2[[#Headers],[Ausnet]:[United Energy]],0)),8)),
IF($F149="Environmental",
ROUND(SUMIFS(Calc_TUR_ENV_2[Jemena],Calc_TUR_ENV_2[[Customer type]:[Customer type]],OP_Rates!$E149,Calc_TUR_ENV_2[[Rate type]:[Rate type]],OP_Rates!$C149),8))),0,1))</f>
        <v>0</v>
      </c>
      <c r="J149" s="201" cm="1">
        <f t="array" ref="J149">IF(J114="-","-",
IF(ROUND(J114,8)=
IF($F149="Network",
IF($C149&lt;&gt;"Controlled load",
ROUND(INDEX(Calc_TUR_Net_2[[Ausnet]:[United Energy]],MATCH(1,(Calc_TUR_Net_2[[Customer type]:[Customer type]]=OP_Rates!$E149)*(Calc_TUR_Net_2[[Rate type]:[Rate type]]=OP_Rates!$C149),0),MATCH(OP_Rates!J$65,Calc_TUR_Net_2[[#Headers],[Ausnet]:[United Energy]],0)),8),
ROUND(INDEX(Calc_TUR_NetCL_2[[Ausnet]:[United Energy]],MATCH(OP_Rates!$E149,Calc_TUR_Net_2[[Customer type]:[Customer type]],0),MATCH(OP_Rates!J$65,Calc_TUR_Net_2[[#Headers],[Ausnet]:[United Energy]],0)),8)),
IF($F149="Environmental",
ROUND(SUMIFS(Calc_TUR_ENV_2[Powercor],Calc_TUR_ENV_2[[Customer type]:[Customer type]],OP_Rates!$E149,Calc_TUR_ENV_2[[Rate type]:[Rate type]],OP_Rates!$C149),8))),0,1))</f>
        <v>0</v>
      </c>
      <c r="K149" s="201" cm="1">
        <f t="array" ref="K149">IF(K114="-","-",
IF(ROUND(K114,8)=
IF($F149="Network",
IF($C149&lt;&gt;"Controlled load",
ROUND(INDEX(Calc_TUR_Net_2[[Ausnet]:[United Energy]],MATCH(1,(Calc_TUR_Net_2[[Customer type]:[Customer type]]=OP_Rates!$E149)*(Calc_TUR_Net_2[[Rate type]:[Rate type]]=OP_Rates!$C149),0),MATCH(OP_Rates!K$65,Calc_TUR_Net_2[[#Headers],[Ausnet]:[United Energy]],0)),8),
ROUND(INDEX(Calc_TUR_NetCL_2[[Ausnet]:[United Energy]],MATCH(OP_Rates!$E149,Calc_TUR_Net_2[[Customer type]:[Customer type]],0),MATCH(OP_Rates!K$65,Calc_TUR_Net_2[[#Headers],[Ausnet]:[United Energy]],0)),8)),
IF($F149="Environmental",
ROUND(SUMIFS(Calc_TUR_ENV_2[United Energy],Calc_TUR_ENV_2[[Customer type]:[Customer type]],OP_Rates!$E149,Calc_TUR_ENV_2[[Rate type]:[Rate type]],OP_Rates!$C149),8))),0,1))</f>
        <v>0</v>
      </c>
      <c r="M149" s="60"/>
      <c r="N149" s="60"/>
      <c r="O149" s="60"/>
      <c r="P149" s="60"/>
      <c r="Q149" s="201"/>
      <c r="R149" s="201"/>
      <c r="S149" s="201"/>
      <c r="T149" s="201"/>
      <c r="U149" s="201"/>
    </row>
    <row r="150" spans="3:21" outlineLevel="1" x14ac:dyDescent="0.25"/>
    <row r="151" spans="3:21" x14ac:dyDescent="0.25">
      <c r="G151" s="284"/>
    </row>
    <row r="152" spans="3:21" x14ac:dyDescent="0.25">
      <c r="G152" s="284"/>
    </row>
    <row r="153" spans="3:21" x14ac:dyDescent="0.25">
      <c r="G153" s="284"/>
    </row>
    <row r="169" spans="6:10" x14ac:dyDescent="0.25">
      <c r="F169" s="114"/>
      <c r="G169" s="114"/>
      <c r="H169" s="114"/>
      <c r="I169" s="114"/>
      <c r="J169" s="114"/>
    </row>
    <row r="170" spans="6:10" x14ac:dyDescent="0.25">
      <c r="F170" s="114"/>
      <c r="G170" s="114"/>
      <c r="H170" s="114"/>
      <c r="I170" s="114"/>
      <c r="J170" s="114"/>
    </row>
    <row r="171" spans="6:10" x14ac:dyDescent="0.25">
      <c r="F171" s="114"/>
      <c r="G171" s="114"/>
      <c r="H171" s="114"/>
      <c r="I171" s="114"/>
      <c r="J171" s="114"/>
    </row>
    <row r="172" spans="6:10" x14ac:dyDescent="0.25">
      <c r="F172" s="114"/>
      <c r="G172" s="114"/>
      <c r="H172" s="114"/>
      <c r="I172" s="114"/>
      <c r="J172" s="114"/>
    </row>
    <row r="173" spans="6:10" x14ac:dyDescent="0.25">
      <c r="F173" s="114"/>
      <c r="G173" s="114"/>
      <c r="H173" s="114"/>
      <c r="I173" s="114"/>
      <c r="J173" s="114"/>
    </row>
    <row r="174" spans="6:10" x14ac:dyDescent="0.25">
      <c r="F174" s="114"/>
      <c r="G174" s="114"/>
      <c r="H174" s="114"/>
      <c r="I174" s="114"/>
      <c r="J174" s="114"/>
    </row>
    <row r="175" spans="6:10" x14ac:dyDescent="0.25">
      <c r="F175" s="114"/>
      <c r="G175" s="114"/>
      <c r="H175" s="114"/>
      <c r="I175" s="114"/>
      <c r="J175" s="114"/>
    </row>
  </sheetData>
  <sheetProtection algorithmName="SHA-512" hashValue="qUnI1E8TyqQqGaFDiWp1xTOV8rvXThMzc7xNCSQMhLs1YrTfH5PW4DZOQ3IXNEOpMvDShZcujIvlSpOhGARmLw==" saltValue="BBVVceukiaYSCwQZXUqXsQ==" spinCount="100000" sheet="1" objects="1" scenarios="1"/>
  <mergeCells count="1">
    <mergeCell ref="A2:A3"/>
  </mergeCells>
  <pageMargins left="0.7" right="0.7" top="0.75" bottom="0.75" header="0.3" footer="0.3"/>
  <tableParts count="12">
    <tablePart r:id="rId1"/>
    <tablePart r:id="rId2"/>
    <tablePart r:id="rId3"/>
    <tablePart r:id="rId4"/>
    <tablePart r:id="rId5"/>
    <tablePart r:id="rId6"/>
    <tablePart r:id="rId7"/>
    <tablePart r:id="rId8"/>
    <tablePart r:id="rId9"/>
    <tablePart r:id="rId10"/>
    <tablePart r:id="rId11"/>
    <tablePart r:id="rId12"/>
  </tableParts>
  <extLst>
    <ext xmlns:x14="http://schemas.microsoft.com/office/spreadsheetml/2009/9/main" uri="{CCE6A557-97BC-4b89-ADB6-D9C93CAAB3DF}">
      <x14:dataValidations xmlns:xm="http://schemas.microsoft.com/office/excel/2006/main" count="2">
        <x14:dataValidation type="list" allowBlank="1" showInputMessage="1" showErrorMessage="1" xr:uid="{AE1D8D9F-4D5B-4AC8-9791-FC1C8C5CF940}">
          <x14:formula1>
            <xm:f>'Lookup refs'!$G$8:$G$10</xm:f>
          </x14:formula1>
          <xm:sqref>O55:O62 O9:O16 E130:E137 O130:O137 O20:O27 E20:E27 E95:E102 O95:O102 E84:E91 O84:O91 E9:E16 E55:E62 E44:E51 O44:O51 E119:E126 O119:O126 O106:O114 E106:E114 E141:E149 O141:O149 E31:E39 O31:O39 E66:E74 O66:O74</xm:sqref>
        </x14:dataValidation>
        <x14:dataValidation type="list" allowBlank="1" showInputMessage="1" showErrorMessage="1" xr:uid="{1A9A4095-A88F-441F-8070-8597F2CE1034}">
          <x14:formula1>
            <xm:f>'Lookup refs'!$E$8:$E$20</xm:f>
          </x14:formula1>
          <xm:sqref>D95:D102 D55:D62 N20:N27 N130:N137 D130:D137 D20:D27 N9:N16 N95:N102 D84:D91 N84:N91 D9:D16 N55:N62 D44:D51 N44:N51 D119:D126 N119:N126 N106:N114 D106:D114 D141:D149 N141:N149 D31:D39 N31:N39 D66:D74 N66:N74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B1C5C-D042-428B-AB68-13F89BD3F2D5}">
  <sheetPr>
    <tabColor rgb="FFCE0058"/>
  </sheetPr>
  <dimension ref="A1:R44"/>
  <sheetViews>
    <sheetView showGridLines="0" topLeftCell="B1" zoomScale="70" zoomScaleNormal="70" workbookViewId="0">
      <pane ySplit="3" topLeftCell="A4" activePane="bottomLeft" state="frozen"/>
      <selection pane="bottomLeft" activeCell="G77" sqref="G77"/>
    </sheetView>
  </sheetViews>
  <sheetFormatPr defaultColWidth="9.140625" defaultRowHeight="15" outlineLevelCol="1" x14ac:dyDescent="0.25"/>
  <cols>
    <col min="1" max="1" width="100.7109375" hidden="1" customWidth="1" outlineLevel="1"/>
    <col min="2" max="2" width="10.7109375" style="6" customWidth="1" collapsed="1"/>
    <col min="3" max="3" width="20.5703125" customWidth="1"/>
    <col min="4" max="4" width="23.85546875" bestFit="1" customWidth="1"/>
    <col min="5" max="9" width="20.5703125" customWidth="1"/>
    <col min="10" max="10" width="5.5703125" customWidth="1"/>
    <col min="11" max="18" width="20.5703125" customWidth="1"/>
  </cols>
  <sheetData>
    <row r="1" spans="1:18" ht="15" customHeight="1" x14ac:dyDescent="0.25">
      <c r="A1" s="1" t="s">
        <v>27</v>
      </c>
      <c r="B1" s="22"/>
      <c r="C1" s="23"/>
      <c r="D1" s="23"/>
      <c r="E1" s="23"/>
      <c r="F1" s="23"/>
      <c r="G1" s="125" t="s">
        <v>422</v>
      </c>
      <c r="H1" s="97"/>
      <c r="I1" s="23"/>
      <c r="J1" s="23"/>
      <c r="K1" s="23"/>
      <c r="L1" s="23"/>
      <c r="M1" s="23"/>
      <c r="N1" s="23"/>
      <c r="O1" s="23"/>
      <c r="P1" s="23"/>
      <c r="Q1" s="23"/>
      <c r="R1" s="23"/>
    </row>
    <row r="2" spans="1:18" s="4" customFormat="1" ht="50.1" customHeight="1" x14ac:dyDescent="0.25">
      <c r="A2" s="293" t="s">
        <v>28</v>
      </c>
      <c r="B2" s="26"/>
      <c r="C2" s="26" t="str">
        <f>Disclaimer!$B$1</f>
        <v>VDO calculation model</v>
      </c>
      <c r="D2" s="26"/>
      <c r="E2" s="26"/>
      <c r="F2" s="26"/>
      <c r="G2" s="202" t="str">
        <f>Calc_Rates!$D$5</f>
        <v>VDO 2021 - Variation final</v>
      </c>
      <c r="H2" s="202" t="str">
        <f>Calc_Rates!$D$251</f>
        <v>VDO 2022 - Final</v>
      </c>
      <c r="I2" s="26"/>
      <c r="J2" s="26"/>
      <c r="K2" s="26"/>
      <c r="L2" s="26"/>
      <c r="M2" s="26"/>
      <c r="N2" s="26"/>
      <c r="O2" s="26"/>
      <c r="P2" s="26"/>
      <c r="Q2" s="26"/>
      <c r="R2" s="26"/>
    </row>
    <row r="3" spans="1:18" s="4" customFormat="1" ht="30" customHeight="1" x14ac:dyDescent="0.25">
      <c r="A3" s="294"/>
      <c r="B3" s="28">
        <f ca="1">_xlfn.SHEET()</f>
        <v>16</v>
      </c>
      <c r="C3" s="27" t="s">
        <v>341</v>
      </c>
      <c r="D3" s="27"/>
      <c r="E3" s="27"/>
      <c r="F3" s="27"/>
      <c r="G3" s="96">
        <f>SUM(E15:I17)+SUM(M15:Q17)</f>
        <v>0</v>
      </c>
      <c r="H3" s="96">
        <f>SUM(E29:I31)+SUM(M29:Q31)</f>
        <v>0</v>
      </c>
      <c r="I3" s="27"/>
      <c r="J3" s="27"/>
      <c r="K3" s="27"/>
      <c r="L3" s="27"/>
      <c r="M3" s="27"/>
      <c r="N3" s="27"/>
      <c r="O3" s="27"/>
      <c r="P3" s="27"/>
      <c r="Q3" s="27"/>
      <c r="R3" s="27"/>
    </row>
    <row r="4" spans="1:18" x14ac:dyDescent="0.25">
      <c r="B4"/>
    </row>
    <row r="5" spans="1:18" ht="16.5" hidden="1" thickBot="1" x14ac:dyDescent="0.3">
      <c r="A5" s="1" t="s">
        <v>30</v>
      </c>
      <c r="B5" s="9">
        <f ca="1">MAX(B$3:B4)+0.1</f>
        <v>16.100000000000001</v>
      </c>
      <c r="C5" s="29" t="str">
        <f>"CMAB amounts - "&amp;Calc_Rates!$D$5</f>
        <v>CMAB amounts - VDO 2021 - Variation final</v>
      </c>
      <c r="D5" s="29"/>
      <c r="E5" s="29"/>
      <c r="F5" s="29"/>
      <c r="G5" s="29"/>
      <c r="H5" s="29"/>
      <c r="I5" s="29"/>
      <c r="J5" s="29"/>
      <c r="K5" s="29"/>
      <c r="L5" s="29"/>
      <c r="M5" s="29"/>
      <c r="N5" s="29"/>
      <c r="O5" s="29"/>
      <c r="P5" s="29"/>
      <c r="Q5" s="29"/>
      <c r="R5" s="29"/>
    </row>
    <row r="6" spans="1:18" hidden="1" x14ac:dyDescent="0.25"/>
    <row r="7" spans="1:18" ht="15.75" hidden="1" x14ac:dyDescent="0.25">
      <c r="C7" s="55" t="s">
        <v>109</v>
      </c>
      <c r="D7" s="42" t="str">
        <f>Calc_Rates!$D$5</f>
        <v>VDO 2021 - Variation final</v>
      </c>
    </row>
    <row r="8" spans="1:18" hidden="1" x14ac:dyDescent="0.25"/>
    <row r="9" spans="1:18" ht="15.75" hidden="1" x14ac:dyDescent="0.25">
      <c r="C9" s="30" t="s">
        <v>100</v>
      </c>
      <c r="K9" s="30" t="s">
        <v>101</v>
      </c>
    </row>
    <row r="10" spans="1:18" ht="15.75" hidden="1" x14ac:dyDescent="0.25">
      <c r="C10" s="44" t="s">
        <v>99</v>
      </c>
      <c r="D10" s="44" t="s">
        <v>98</v>
      </c>
      <c r="E10" s="61" t="s">
        <v>277</v>
      </c>
      <c r="F10" s="61" t="s">
        <v>278</v>
      </c>
      <c r="G10" s="61" t="s">
        <v>279</v>
      </c>
      <c r="H10" s="61" t="s">
        <v>280</v>
      </c>
      <c r="I10" s="61" t="s">
        <v>281</v>
      </c>
      <c r="K10" s="44" t="s">
        <v>99</v>
      </c>
      <c r="L10" s="44" t="s">
        <v>98</v>
      </c>
      <c r="M10" s="61" t="s">
        <v>277</v>
      </c>
      <c r="N10" s="61" t="s">
        <v>278</v>
      </c>
      <c r="O10" s="61" t="s">
        <v>279</v>
      </c>
      <c r="P10" s="61" t="s">
        <v>280</v>
      </c>
      <c r="Q10" s="61" t="s">
        <v>281</v>
      </c>
    </row>
    <row r="11" spans="1:18" hidden="1" x14ac:dyDescent="0.25">
      <c r="C11" s="24" t="s">
        <v>100</v>
      </c>
      <c r="D11" s="24" t="s">
        <v>229</v>
      </c>
      <c r="E11" s="122">
        <f>IFERROR(
IF($D$7="VDO 2021 - Final",
ROUNDUP(
(INDEX(OP_TotalRates_RES_1[[Ausnet]:[United Energy]],MATCH("Anytime - supply",OP_TotalRates_RES_1[[Rate name]:[Rate name]],0),MATCH(OP_CMAB!E$10,OP_TotalRates_RES_1[[#Headers],[Ausnet]:[United Energy]],0))*DiY)+
(IFERROR((INDEX(OP_TotalRates_RES_1[[Ausnet]:[United Energy]],MATCH("Block 1",OP_TotalRates_RES_1[[Rate name]:[Rate name]],0),MATCH(OP_CMAB!E$10,OP_TotalRates_RES_1[[#Headers],[Ausnet]:[United Energy]],0))*
INDEX(Input_Usage[[F-CurrentVDO_Input]:[F-NextVDO_Input]],MATCH(OP_CMAB!$D11&amp;" - Block 1",Input_Usage[[Ref]:[Ref]],0),MATCH(OP_CMAB!$D$7,Inputs!$I$133:$M$133,0))),0)+
IFERROR((INDEX(OP_TotalRates_RES_1[[Ausnet]:[United Energy]],MATCH("Balance",OP_TotalRates_RES_1[[Rate name]:[Rate name]],0),MATCH(OP_CMAB!E$10,OP_TotalRates_RES_1[[#Headers],[Ausnet]:[United Energy]],0))*
INDEX(Input_Usage[[F-CurrentVDO_Input]:[F-NextVDO_Input]],MATCH(OP_CMAB!$D11&amp;" - Balance",Input_Usage[[Ref]:[Ref]],0),MATCH(OP_CMAB!$D$7,Inputs!$I$133:$M$133,0))),0)+
IFERROR((INDEX(OP_TotalRates_RES_1[[Ausnet]:[United Energy]],MATCH("Single rate",OP_TotalRates_RES_1[[Rate name]:[Rate name]],0),MATCH(OP_CMAB!E$10,OP_TotalRates_RES_1[[#Headers],[Ausnet]:[United Energy]],0))*
INDEX(Input_Usage[[F-CurrentVDO_Input]:[F-NextVDO_Input]],MATCH(OP_CMAB!$D11&amp;" - Annual",Input_Usage[[Ref]:[Ref]],0),MATCH(OP_CMAB!$D$7,Inputs!$I$133:$M$133,0))),0)),0),
ROUNDUP(
(INDEX(OP_TotalRates_RES_1[[Ausnet]:[United Energy]],MATCH("TOU - supply",OP_TotalRates_RES_1[[Rate name]:[Rate name]],0),MATCH(OP_CMAB!E$10,OP_TotalRates_RES_1[[#Headers],[Ausnet]:[United Energy]],0))*DiY)+
(INDEX(OP_TotalRates_RES_1[[Ausnet]:[United Energy]],MATCH("Peak",OP_TotalRates_RES_1[[Rate name]:[Rate name]],0),MATCH(OP_CMAB!E$10,OP_TotalRates_RES_1[[#Headers],[Ausnet]:[United Energy]],0))*
INDEX(Input_Usage[[F-CurrentVDO_Input]:[F-NextVDO_Input]],MATCH($D11&amp;" - Peak",Input_Usage[[Ref]:[Ref]],0),MATCH($D$7,Inputs!$I$133:$M$133,0)))+
IFERROR((INDEX(OP_TotalRates_RES_1[[Ausnet]:[United Energy]],MATCH("TOU - Shoulder",OP_TotalRates_RES_1[[Rate name]:[Rate name]],0),MATCH(OP_CMAB!E$10,OP_TotalRates_RES_1[[#Headers],[Ausnet]:[United Energy]],0))*
INDEX(Input_Usage[[F-CurrentVDO_Input]:[F-NextVDO_Input]],MATCH($D11&amp;" - Shoulder",Input_Usage[[Ref]:[Ref]],0),MATCH($D$7,Inputs!$I$133:$M$133,0))),0)+
(INDEX(OP_TotalRates_RES_1[[Ausnet]:[United Energy]],MATCH("Off peak",OP_TotalRates_RES_1[[Rate name]:[Rate name]],0),MATCH(OP_CMAB!E$10,OP_TotalRates_RES_1[[#Headers],[Ausnet]:[United Energy]],0))*
INDEX(Input_Usage[[F-CurrentVDO_Input]:[F-NextVDO_Input]],MATCH($D11&amp;" - Off peak",Input_Usage[[Ref]:[Ref]],0),MATCH($D$7,Inputs!$I$133:$M$133,0))),0)),"-")</f>
        <v>959</v>
      </c>
      <c r="F11" s="122">
        <f>IFERROR(
IF($D$7="VDO 2021 - Final",
ROUNDUP(
(INDEX(OP_TotalRates_RES_1[[Ausnet]:[United Energy]],MATCH("Anytime - supply",OP_TotalRates_RES_1[[Rate name]:[Rate name]],0),MATCH(OP_CMAB!F$10,OP_TotalRates_RES_1[[#Headers],[Ausnet]:[United Energy]],0))*DiY)+
(IFERROR((INDEX(OP_TotalRates_RES_1[[Ausnet]:[United Energy]],MATCH("Block 1",OP_TotalRates_RES_1[[Rate name]:[Rate name]],0),MATCH(OP_CMAB!F$10,OP_TotalRates_RES_1[[#Headers],[Ausnet]:[United Energy]],0))*
INDEX(Input_Usage[[F-CurrentVDO_Input]:[F-NextVDO_Input]],MATCH(OP_CMAB!$D11&amp;" - Block 1",Input_Usage[[Ref]:[Ref]],0),MATCH(OP_CMAB!$D$7,Inputs!$I$133:$M$133,0))),0)+
IFERROR((INDEX(OP_TotalRates_RES_1[[Ausnet]:[United Energy]],MATCH("Balance",OP_TotalRates_RES_1[[Rate name]:[Rate name]],0),MATCH(OP_CMAB!F$10,OP_TotalRates_RES_1[[#Headers],[Ausnet]:[United Energy]],0))*
INDEX(Input_Usage[[F-CurrentVDO_Input]:[F-NextVDO_Input]],MATCH(OP_CMAB!$D11&amp;" - Balance",Input_Usage[[Ref]:[Ref]],0),MATCH(OP_CMAB!$D$7,Inputs!$I$133:$M$133,0))),0)+
IFERROR((INDEX(OP_TotalRates_RES_1[[Ausnet]:[United Energy]],MATCH("Single rate",OP_TotalRates_RES_1[[Rate name]:[Rate name]],0),MATCH(OP_CMAB!F$10,OP_TotalRates_RES_1[[#Headers],[Ausnet]:[United Energy]],0))*
INDEX(Input_Usage[[F-CurrentVDO_Input]:[F-NextVDO_Input]],MATCH(OP_CMAB!$D11&amp;" - Annual",Input_Usage[[Ref]:[Ref]],0),MATCH(OP_CMAB!$D$7,Inputs!$I$133:$M$133,0))),0)),0),
ROUNDUP(
(INDEX(OP_TotalRates_RES_1[[Ausnet]:[United Energy]],MATCH("TOU - supply",OP_TotalRates_RES_1[[Rate name]:[Rate name]],0),MATCH(OP_CMAB!F$10,OP_TotalRates_RES_1[[#Headers],[Ausnet]:[United Energy]],0))*DiY)+
(INDEX(OP_TotalRates_RES_1[[Ausnet]:[United Energy]],MATCH("Peak",OP_TotalRates_RES_1[[Rate name]:[Rate name]],0),MATCH(OP_CMAB!F$10,OP_TotalRates_RES_1[[#Headers],[Ausnet]:[United Energy]],0))*
INDEX(Input_Usage[[F-CurrentVDO_Input]:[F-NextVDO_Input]],MATCH($D11&amp;" - Peak",Input_Usage[[Ref]:[Ref]],0),MATCH($D$7,Inputs!$I$133:$M$133,0)))+
IFERROR((INDEX(OP_TotalRates_RES_1[[Ausnet]:[United Energy]],MATCH("TOU - Shoulder",OP_TotalRates_RES_1[[Rate name]:[Rate name]],0),MATCH(OP_CMAB!F$10,OP_TotalRates_RES_1[[#Headers],[Ausnet]:[United Energy]],0))*
INDEX(Input_Usage[[F-CurrentVDO_Input]:[F-NextVDO_Input]],MATCH($D11&amp;" - Shoulder",Input_Usage[[Ref]:[Ref]],0),MATCH($D$7,Inputs!$I$133:$M$133,0))),0)+
(INDEX(OP_TotalRates_RES_1[[Ausnet]:[United Energy]],MATCH("Off peak",OP_TotalRates_RES_1[[Rate name]:[Rate name]],0),MATCH(OP_CMAB!F$10,OP_TotalRates_RES_1[[#Headers],[Ausnet]:[United Energy]],0))*
INDEX(Input_Usage[[F-CurrentVDO_Input]:[F-NextVDO_Input]],MATCH($D11&amp;" - Off peak",Input_Usage[[Ref]:[Ref]],0),MATCH($D$7,Inputs!$I$133:$M$133,0))),0)),"-")</f>
        <v>868</v>
      </c>
      <c r="G11" s="122">
        <f>IFERROR(
IF($D$7="VDO 2021 - Final",
ROUNDUP(
(INDEX(OP_TotalRates_RES_1[[Ausnet]:[United Energy]],MATCH("Anytime - supply",OP_TotalRates_RES_1[[Rate name]:[Rate name]],0),MATCH(OP_CMAB!G$10,OP_TotalRates_RES_1[[#Headers],[Ausnet]:[United Energy]],0))*DiY)+
(IFERROR((INDEX(OP_TotalRates_RES_1[[Ausnet]:[United Energy]],MATCH("Block 1",OP_TotalRates_RES_1[[Rate name]:[Rate name]],0),MATCH(OP_CMAB!G$10,OP_TotalRates_RES_1[[#Headers],[Ausnet]:[United Energy]],0))*
INDEX(Input_Usage[[F-CurrentVDO_Input]:[F-NextVDO_Input]],MATCH(OP_CMAB!$D11&amp;" - Block 1",Input_Usage[[Ref]:[Ref]],0),MATCH(OP_CMAB!$D$7,Inputs!$I$133:$M$133,0))),0)+
IFERROR((INDEX(OP_TotalRates_RES_1[[Ausnet]:[United Energy]],MATCH("Balance",OP_TotalRates_RES_1[[Rate name]:[Rate name]],0),MATCH(OP_CMAB!G$10,OP_TotalRates_RES_1[[#Headers],[Ausnet]:[United Energy]],0))*
INDEX(Input_Usage[[F-CurrentVDO_Input]:[F-NextVDO_Input]],MATCH(OP_CMAB!$D11&amp;" - Balance",Input_Usage[[Ref]:[Ref]],0),MATCH(OP_CMAB!$D$7,Inputs!$I$133:$M$133,0))),0)+
IFERROR((INDEX(OP_TotalRates_RES_1[[Ausnet]:[United Energy]],MATCH("Single rate",OP_TotalRates_RES_1[[Rate name]:[Rate name]],0),MATCH(OP_CMAB!G$10,OP_TotalRates_RES_1[[#Headers],[Ausnet]:[United Energy]],0))*
INDEX(Input_Usage[[F-CurrentVDO_Input]:[F-NextVDO_Input]],MATCH(OP_CMAB!$D11&amp;" - Annual",Input_Usage[[Ref]:[Ref]],0),MATCH(OP_CMAB!$D$7,Inputs!$I$133:$M$133,0))),0)),0),
ROUNDUP(
(INDEX(OP_TotalRates_RES_1[[Ausnet]:[United Energy]],MATCH("TOU - supply",OP_TotalRates_RES_1[[Rate name]:[Rate name]],0),MATCH(OP_CMAB!G$10,OP_TotalRates_RES_1[[#Headers],[Ausnet]:[United Energy]],0))*DiY)+
(INDEX(OP_TotalRates_RES_1[[Ausnet]:[United Energy]],MATCH("Peak",OP_TotalRates_RES_1[[Rate name]:[Rate name]],0),MATCH(OP_CMAB!G$10,OP_TotalRates_RES_1[[#Headers],[Ausnet]:[United Energy]],0))*
INDEX(Input_Usage[[F-CurrentVDO_Input]:[F-NextVDO_Input]],MATCH($D11&amp;" - Peak",Input_Usage[[Ref]:[Ref]],0),MATCH($D$7,Inputs!$I$133:$M$133,0)))+
IFERROR((INDEX(OP_TotalRates_RES_1[[Ausnet]:[United Energy]],MATCH("TOU - Shoulder",OP_TotalRates_RES_1[[Rate name]:[Rate name]],0),MATCH(OP_CMAB!G$10,OP_TotalRates_RES_1[[#Headers],[Ausnet]:[United Energy]],0))*
INDEX(Input_Usage[[F-CurrentVDO_Input]:[F-NextVDO_Input]],MATCH($D11&amp;" - Shoulder",Input_Usage[[Ref]:[Ref]],0),MATCH($D$7,Inputs!$I$133:$M$133,0))),0)+
(INDEX(OP_TotalRates_RES_1[[Ausnet]:[United Energy]],MATCH("Off peak",OP_TotalRates_RES_1[[Rate name]:[Rate name]],0),MATCH(OP_CMAB!G$10,OP_TotalRates_RES_1[[#Headers],[Ausnet]:[United Energy]],0))*
INDEX(Input_Usage[[F-CurrentVDO_Input]:[F-NextVDO_Input]],MATCH($D11&amp;" - Off peak",Input_Usage[[Ref]:[Ref]],0),MATCH($D$7,Inputs!$I$133:$M$133,0))),0)),"-")</f>
        <v>852</v>
      </c>
      <c r="H11" s="122">
        <f>IFERROR(
IF($D$7="VDO 2021 - Final",
ROUNDUP(
(INDEX(OP_TotalRates_RES_1[[Ausnet]:[United Energy]],MATCH("Anytime - supply",OP_TotalRates_RES_1[[Rate name]:[Rate name]],0),MATCH(OP_CMAB!H$10,OP_TotalRates_RES_1[[#Headers],[Ausnet]:[United Energy]],0))*DiY)+
(IFERROR((INDEX(OP_TotalRates_RES_1[[Ausnet]:[United Energy]],MATCH("Block 1",OP_TotalRates_RES_1[[Rate name]:[Rate name]],0),MATCH(OP_CMAB!H$10,OP_TotalRates_RES_1[[#Headers],[Ausnet]:[United Energy]],0))*
INDEX(Input_Usage[[F-CurrentVDO_Input]:[F-NextVDO_Input]],MATCH(OP_CMAB!$D11&amp;" - Block 1",Input_Usage[[Ref]:[Ref]],0),MATCH(OP_CMAB!$D$7,Inputs!$I$133:$M$133,0))),0)+
IFERROR((INDEX(OP_TotalRates_RES_1[[Ausnet]:[United Energy]],MATCH("Balance",OP_TotalRates_RES_1[[Rate name]:[Rate name]],0),MATCH(OP_CMAB!H$10,OP_TotalRates_RES_1[[#Headers],[Ausnet]:[United Energy]],0))*
INDEX(Input_Usage[[F-CurrentVDO_Input]:[F-NextVDO_Input]],MATCH(OP_CMAB!$D11&amp;" - Balance",Input_Usage[[Ref]:[Ref]],0),MATCH(OP_CMAB!$D$7,Inputs!$I$133:$M$133,0))),0)+
IFERROR((INDEX(OP_TotalRates_RES_1[[Ausnet]:[United Energy]],MATCH("Single rate",OP_TotalRates_RES_1[[Rate name]:[Rate name]],0),MATCH(OP_CMAB!H$10,OP_TotalRates_RES_1[[#Headers],[Ausnet]:[United Energy]],0))*
INDEX(Input_Usage[[F-CurrentVDO_Input]:[F-NextVDO_Input]],MATCH(OP_CMAB!$D11&amp;" - Annual",Input_Usage[[Ref]:[Ref]],0),MATCH(OP_CMAB!$D$7,Inputs!$I$133:$M$133,0))),0)),0),
ROUNDUP(
(INDEX(OP_TotalRates_RES_1[[Ausnet]:[United Energy]],MATCH("TOU - supply",OP_TotalRates_RES_1[[Rate name]:[Rate name]],0),MATCH(OP_CMAB!H$10,OP_TotalRates_RES_1[[#Headers],[Ausnet]:[United Energy]],0))*DiY)+
(INDEX(OP_TotalRates_RES_1[[Ausnet]:[United Energy]],MATCH("Peak",OP_TotalRates_RES_1[[Rate name]:[Rate name]],0),MATCH(OP_CMAB!H$10,OP_TotalRates_RES_1[[#Headers],[Ausnet]:[United Energy]],0))*
INDEX(Input_Usage[[F-CurrentVDO_Input]:[F-NextVDO_Input]],MATCH($D11&amp;" - Peak",Input_Usage[[Ref]:[Ref]],0),MATCH($D$7,Inputs!$I$133:$M$133,0)))+
IFERROR((INDEX(OP_TotalRates_RES_1[[Ausnet]:[United Energy]],MATCH("TOU - Shoulder",OP_TotalRates_RES_1[[Rate name]:[Rate name]],0),MATCH(OP_CMAB!H$10,OP_TotalRates_RES_1[[#Headers],[Ausnet]:[United Energy]],0))*
INDEX(Input_Usage[[F-CurrentVDO_Input]:[F-NextVDO_Input]],MATCH($D11&amp;" - Shoulder",Input_Usage[[Ref]:[Ref]],0),MATCH($D$7,Inputs!$I$133:$M$133,0))),0)+
(INDEX(OP_TotalRates_RES_1[[Ausnet]:[United Energy]],MATCH("Off peak",OP_TotalRates_RES_1[[Rate name]:[Rate name]],0),MATCH(OP_CMAB!H$10,OP_TotalRates_RES_1[[#Headers],[Ausnet]:[United Energy]],0))*
INDEX(Input_Usage[[F-CurrentVDO_Input]:[F-NextVDO_Input]],MATCH($D11&amp;" - Off peak",Input_Usage[[Ref]:[Ref]],0),MATCH($D$7,Inputs!$I$133:$M$133,0))),0)),"-")</f>
        <v>938</v>
      </c>
      <c r="I11" s="122">
        <f>IFERROR(
IF($D$7="VDO 2021 - Final",
ROUNDUP(
(INDEX(OP_TotalRates_RES_1[[Ausnet]:[United Energy]],MATCH("Anytime - supply",OP_TotalRates_RES_1[[Rate name]:[Rate name]],0),MATCH(OP_CMAB!I$10,OP_TotalRates_RES_1[[#Headers],[Ausnet]:[United Energy]],0))*DiY)+
(IFERROR((INDEX(OP_TotalRates_RES_1[[Ausnet]:[United Energy]],MATCH("Block 1",OP_TotalRates_RES_1[[Rate name]:[Rate name]],0),MATCH(OP_CMAB!I$10,OP_TotalRates_RES_1[[#Headers],[Ausnet]:[United Energy]],0))*
INDEX(Input_Usage[[F-CurrentVDO_Input]:[F-NextVDO_Input]],MATCH(OP_CMAB!$D11&amp;" - Block 1",Input_Usage[[Ref]:[Ref]],0),MATCH(OP_CMAB!$D$7,Inputs!$I$133:$M$133,0))),0)+
IFERROR((INDEX(OP_TotalRates_RES_1[[Ausnet]:[United Energy]],MATCH("Balance",OP_TotalRates_RES_1[[Rate name]:[Rate name]],0),MATCH(OP_CMAB!I$10,OP_TotalRates_RES_1[[#Headers],[Ausnet]:[United Energy]],0))*
INDEX(Input_Usage[[F-CurrentVDO_Input]:[F-NextVDO_Input]],MATCH(OP_CMAB!$D11&amp;" - Balance",Input_Usage[[Ref]:[Ref]],0),MATCH(OP_CMAB!$D$7,Inputs!$I$133:$M$133,0))),0)+
IFERROR((INDEX(OP_TotalRates_RES_1[[Ausnet]:[United Energy]],MATCH("Single rate",OP_TotalRates_RES_1[[Rate name]:[Rate name]],0),MATCH(OP_CMAB!I$10,OP_TotalRates_RES_1[[#Headers],[Ausnet]:[United Energy]],0))*
INDEX(Input_Usage[[F-CurrentVDO_Input]:[F-NextVDO_Input]],MATCH(OP_CMAB!$D11&amp;" - Annual",Input_Usage[[Ref]:[Ref]],0),MATCH(OP_CMAB!$D$7,Inputs!$I$133:$M$133,0))),0)),0),
ROUNDUP(
(INDEX(OP_TotalRates_RES_1[[Ausnet]:[United Energy]],MATCH("TOU - supply",OP_TotalRates_RES_1[[Rate name]:[Rate name]],0),MATCH(OP_CMAB!I$10,OP_TotalRates_RES_1[[#Headers],[Ausnet]:[United Energy]],0))*DiY)+
(INDEX(OP_TotalRates_RES_1[[Ausnet]:[United Energy]],MATCH("Peak",OP_TotalRates_RES_1[[Rate name]:[Rate name]],0),MATCH(OP_CMAB!I$10,OP_TotalRates_RES_1[[#Headers],[Ausnet]:[United Energy]],0))*
INDEX(Input_Usage[[F-CurrentVDO_Input]:[F-NextVDO_Input]],MATCH($D11&amp;" - Peak",Input_Usage[[Ref]:[Ref]],0),MATCH($D$7,Inputs!$I$133:$M$133,0)))+
IFERROR((INDEX(OP_TotalRates_RES_1[[Ausnet]:[United Energy]],MATCH("TOU - Shoulder",OP_TotalRates_RES_1[[Rate name]:[Rate name]],0),MATCH(OP_CMAB!I$10,OP_TotalRates_RES_1[[#Headers],[Ausnet]:[United Energy]],0))*
INDEX(Input_Usage[[F-CurrentVDO_Input]:[F-NextVDO_Input]],MATCH($D11&amp;" - Shoulder",Input_Usage[[Ref]:[Ref]],0),MATCH($D$7,Inputs!$I$133:$M$133,0))),0)+
(INDEX(OP_TotalRates_RES_1[[Ausnet]:[United Energy]],MATCH("Off peak",OP_TotalRates_RES_1[[Rate name]:[Rate name]],0),MATCH(OP_CMAB!I$10,OP_TotalRates_RES_1[[#Headers],[Ausnet]:[United Energy]],0))*
INDEX(Input_Usage[[F-CurrentVDO_Input]:[F-NextVDO_Input]],MATCH($D11&amp;" - Off peak",Input_Usage[[Ref]:[Ref]],0),MATCH($D$7,Inputs!$I$133:$M$133,0))),0)),"-")</f>
        <v>860</v>
      </c>
      <c r="K11" s="24" t="s">
        <v>101</v>
      </c>
      <c r="L11" s="24" t="s">
        <v>234</v>
      </c>
      <c r="M11" s="122">
        <f>IFERROR(
IF($D$7="VDO 2021 - Final",
ROUNDUP(
(INDEX(OP_TotalRates_SME_1[[Ausnet]:[United Energy]],MATCH("Anytime - supply",OP_TotalRates_SME_1[[Rate name]:[Rate name]],0),MATCH(OP_CMAB!M$10,OP_TotalRates_SME_1[[#Headers],[Ausnet]:[United Energy]],0))*DiY)+
(IFERROR((INDEX(OP_TotalRates_SME_1[[Ausnet]:[United Energy]],MATCH("Block 1",OP_TotalRates_SME_1[[Rate name]:[Rate name]],0),MATCH(OP_CMAB!M$10,OP_TotalRates_SME_1[[#Headers],[Ausnet]:[United Energy]],0))*
INDEX(Input_Usage[[F-CurrentVDO_Input]:[F-NextVDO_Input]],MATCH(OP_CMAB!$L11&amp;" - Block 1",Input_Usage[[Ref]:[Ref]],0),MATCH(OP_CMAB!$D$7,Inputs!$I$133:$M$133,0))),0)+
IFERROR((INDEX(OP_TotalRates_SME_1[[Ausnet]:[United Energy]],MATCH("Balance",OP_TotalRates_SME_1[[Rate name]:[Rate name]],0),MATCH(OP_CMAB!M$10,OP_TotalRates_SME_1[[#Headers],[Ausnet]:[United Energy]],0))*
INDEX(Input_Usage[[F-CurrentVDO_Input]:[F-NextVDO_Input]],MATCH(OP_CMAB!$L11&amp;" - Balance",Input_Usage[[Ref]:[Ref]],0),MATCH(OP_CMAB!$D$7,Inputs!$I$133:$M$133,0))),0)+
IFERROR((INDEX(OP_TotalRates_SME_1[[Ausnet]:[United Energy]],MATCH("Single rate",OP_TotalRates_SME_1[[Rate name]:[Rate name]],0),MATCH(OP_CMAB!M$10,OP_TotalRates_SME_1[[#Headers],[Ausnet]:[United Energy]],0))*
INDEX(Input_Usage[[F-CurrentVDO_Input]:[F-NextVDO_Input]],MATCH(OP_CMAB!$L11&amp;" - Annual",Input_Usage[[Ref]:[Ref]],0),MATCH(OP_CMAB!$D$7,Inputs!$I$133:$M$133,0))),0)),0),
ROUNDUP(
(INDEX(OP_TotalRates_SME_1[[Ausnet]:[United Energy]],MATCH("TOU - supply",OP_TotalRates_SME_1[[Rate name]:[Rate name]],0),MATCH(OP_CMAB!M$10,OP_TotalRates_SME_1[[#Headers],[Ausnet]:[United Energy]],0))*DiY)+
(INDEX(OP_TotalRates_SME_1[[Ausnet]:[United Energy]],MATCH("Peak",OP_TotalRates_SME_1[[Rate name]:[Rate name]],0),MATCH(OP_CMAB!M$10,OP_TotalRates_SME_1[[#Headers],[Ausnet]:[United Energy]],0))*
INDEX(Input_Usage[[F-CurrentVDO_Input]:[F-NextVDO_Input]],MATCH($L11&amp;" - Peak",Input_Usage[[Ref]:[Ref]],0),MATCH($D$7,Inputs!$I$133:$M$133,0)))+
IFERROR((INDEX(OP_TotalRates_SME_1[[Ausnet]:[United Energy]],MATCH("TOU - Shoulder",OP_TotalRates_SME_1[[Rate name]:[Rate name]],0),MATCH(OP_CMAB!M$10,OP_TotalRates_SME_1[[#Headers],[Ausnet]:[United Energy]],0))*
INDEX(Input_Usage[[F-CurrentVDO_Input]:[F-NextVDO_Input]],MATCH($L11&amp;" - Shoulder",Input_Usage[[Ref]:[Ref]],0),MATCH($D$7,Inputs!$I$133:$M$133,0))),0)+
(INDEX(OP_TotalRates_SME_1[[Ausnet]:[United Energy]],MATCH("Off peak",OP_TotalRates_SME_1[[Rate name]:[Rate name]],0),MATCH(OP_CMAB!M$10,OP_TotalRates_SME_1[[#Headers],[Ausnet]:[United Energy]],0))*
INDEX(Input_Usage[[F-CurrentVDO_Input]:[F-NextVDO_Input]],MATCH($L11&amp;" - Off peak",Input_Usage[[Ref]:[Ref]],0),MATCH($D$7,Inputs!$I$133:$M$133,0))),0)),"-")</f>
        <v>3533</v>
      </c>
      <c r="N11" s="122">
        <f>IFERROR(
IF($D$7="VDO 2021 - Final",
ROUNDUP(
(INDEX(OP_TotalRates_SME_1[[Ausnet]:[United Energy]],MATCH("Anytime - supply",OP_TotalRates_SME_1[[Rate name]:[Rate name]],0),MATCH(OP_CMAB!N$10,OP_TotalRates_SME_1[[#Headers],[Ausnet]:[United Energy]],0))*DiY)+
(IFERROR((INDEX(OP_TotalRates_SME_1[[Ausnet]:[United Energy]],MATCH("Block 1",OP_TotalRates_SME_1[[Rate name]:[Rate name]],0),MATCH(OP_CMAB!N$10,OP_TotalRates_SME_1[[#Headers],[Ausnet]:[United Energy]],0))*
INDEX(Input_Usage[[F-CurrentVDO_Input]:[F-NextVDO_Input]],MATCH(OP_CMAB!$L11&amp;" - Block 1",Input_Usage[[Ref]:[Ref]],0),MATCH(OP_CMAB!$D$7,Inputs!$I$133:$M$133,0))),0)+
IFERROR((INDEX(OP_TotalRates_SME_1[[Ausnet]:[United Energy]],MATCH("Balance",OP_TotalRates_SME_1[[Rate name]:[Rate name]],0),MATCH(OP_CMAB!N$10,OP_TotalRates_SME_1[[#Headers],[Ausnet]:[United Energy]],0))*
INDEX(Input_Usage[[F-CurrentVDO_Input]:[F-NextVDO_Input]],MATCH(OP_CMAB!$L11&amp;" - Balance",Input_Usage[[Ref]:[Ref]],0),MATCH(OP_CMAB!$D$7,Inputs!$I$133:$M$133,0))),0)+
IFERROR((INDEX(OP_TotalRates_SME_1[[Ausnet]:[United Energy]],MATCH("Single rate",OP_TotalRates_SME_1[[Rate name]:[Rate name]],0),MATCH(OP_CMAB!N$10,OP_TotalRates_SME_1[[#Headers],[Ausnet]:[United Energy]],0))*
INDEX(Input_Usage[[F-CurrentVDO_Input]:[F-NextVDO_Input]],MATCH(OP_CMAB!$L11&amp;" - Annual",Input_Usage[[Ref]:[Ref]],0),MATCH(OP_CMAB!$D$7,Inputs!$I$133:$M$133,0))),0)),0),
ROUNDUP(
(INDEX(OP_TotalRates_SME_1[[Ausnet]:[United Energy]],MATCH("TOU - supply",OP_TotalRates_SME_1[[Rate name]:[Rate name]],0),MATCH(OP_CMAB!N$10,OP_TotalRates_SME_1[[#Headers],[Ausnet]:[United Energy]],0))*DiY)+
(INDEX(OP_TotalRates_SME_1[[Ausnet]:[United Energy]],MATCH("Peak",OP_TotalRates_SME_1[[Rate name]:[Rate name]],0),MATCH(OP_CMAB!N$10,OP_TotalRates_SME_1[[#Headers],[Ausnet]:[United Energy]],0))*
INDEX(Input_Usage[[F-CurrentVDO_Input]:[F-NextVDO_Input]],MATCH($L11&amp;" - Peak",Input_Usage[[Ref]:[Ref]],0),MATCH($D$7,Inputs!$I$133:$M$133,0)))+
IFERROR((INDEX(OP_TotalRates_SME_1[[Ausnet]:[United Energy]],MATCH("TOU - Shoulder",OP_TotalRates_SME_1[[Rate name]:[Rate name]],0),MATCH(OP_CMAB!N$10,OP_TotalRates_SME_1[[#Headers],[Ausnet]:[United Energy]],0))*
INDEX(Input_Usage[[F-CurrentVDO_Input]:[F-NextVDO_Input]],MATCH($L11&amp;" - Shoulder",Input_Usage[[Ref]:[Ref]],0),MATCH($D$7,Inputs!$I$133:$M$133,0))),0)+
(INDEX(OP_TotalRates_SME_1[[Ausnet]:[United Energy]],MATCH("Off peak",OP_TotalRates_SME_1[[Rate name]:[Rate name]],0),MATCH(OP_CMAB!N$10,OP_TotalRates_SME_1[[#Headers],[Ausnet]:[United Energy]],0))*
INDEX(Input_Usage[[F-CurrentVDO_Input]:[F-NextVDO_Input]],MATCH($L11&amp;" - Off peak",Input_Usage[[Ref]:[Ref]],0),MATCH($D$7,Inputs!$I$133:$M$133,0))),0)),"-")</f>
        <v>3193</v>
      </c>
      <c r="O11" s="122">
        <f>IFERROR(
IF($D$7="VDO 2021 - Final",
ROUNDUP(
(INDEX(OP_TotalRates_SME_1[[Ausnet]:[United Energy]],MATCH("Anytime - supply",OP_TotalRates_SME_1[[Rate name]:[Rate name]],0),MATCH(OP_CMAB!O$10,OP_TotalRates_SME_1[[#Headers],[Ausnet]:[United Energy]],0))*DiY)+
(IFERROR((INDEX(OP_TotalRates_SME_1[[Ausnet]:[United Energy]],MATCH("Block 1",OP_TotalRates_SME_1[[Rate name]:[Rate name]],0),MATCH(OP_CMAB!O$10,OP_TotalRates_SME_1[[#Headers],[Ausnet]:[United Energy]],0))*
INDEX(Input_Usage[[F-CurrentVDO_Input]:[F-NextVDO_Input]],MATCH(OP_CMAB!$L11&amp;" - Block 1",Input_Usage[[Ref]:[Ref]],0),MATCH(OP_CMAB!$D$7,Inputs!$I$133:$M$133,0))),0)+
IFERROR((INDEX(OP_TotalRates_SME_1[[Ausnet]:[United Energy]],MATCH("Balance",OP_TotalRates_SME_1[[Rate name]:[Rate name]],0),MATCH(OP_CMAB!O$10,OP_TotalRates_SME_1[[#Headers],[Ausnet]:[United Energy]],0))*
INDEX(Input_Usage[[F-CurrentVDO_Input]:[F-NextVDO_Input]],MATCH(OP_CMAB!$L11&amp;" - Balance",Input_Usage[[Ref]:[Ref]],0),MATCH(OP_CMAB!$D$7,Inputs!$I$133:$M$133,0))),0)+
IFERROR((INDEX(OP_TotalRates_SME_1[[Ausnet]:[United Energy]],MATCH("Single rate",OP_TotalRates_SME_1[[Rate name]:[Rate name]],0),MATCH(OP_CMAB!O$10,OP_TotalRates_SME_1[[#Headers],[Ausnet]:[United Energy]],0))*
INDEX(Input_Usage[[F-CurrentVDO_Input]:[F-NextVDO_Input]],MATCH(OP_CMAB!$L11&amp;" - Annual",Input_Usage[[Ref]:[Ref]],0),MATCH(OP_CMAB!$D$7,Inputs!$I$133:$M$133,0))),0)),0),
ROUNDUP(
(INDEX(OP_TotalRates_SME_1[[Ausnet]:[United Energy]],MATCH("TOU - supply",OP_TotalRates_SME_1[[Rate name]:[Rate name]],0),MATCH(OP_CMAB!O$10,OP_TotalRates_SME_1[[#Headers],[Ausnet]:[United Energy]],0))*DiY)+
(INDEX(OP_TotalRates_SME_1[[Ausnet]:[United Energy]],MATCH("Peak",OP_TotalRates_SME_1[[Rate name]:[Rate name]],0),MATCH(OP_CMAB!O$10,OP_TotalRates_SME_1[[#Headers],[Ausnet]:[United Energy]],0))*
INDEX(Input_Usage[[F-CurrentVDO_Input]:[F-NextVDO_Input]],MATCH($L11&amp;" - Peak",Input_Usage[[Ref]:[Ref]],0),MATCH($D$7,Inputs!$I$133:$M$133,0)))+
IFERROR((INDEX(OP_TotalRates_SME_1[[Ausnet]:[United Energy]],MATCH("TOU - Shoulder",OP_TotalRates_SME_1[[Rate name]:[Rate name]],0),MATCH(OP_CMAB!O$10,OP_TotalRates_SME_1[[#Headers],[Ausnet]:[United Energy]],0))*
INDEX(Input_Usage[[F-CurrentVDO_Input]:[F-NextVDO_Input]],MATCH($L11&amp;" - Shoulder",Input_Usage[[Ref]:[Ref]],0),MATCH($D$7,Inputs!$I$133:$M$133,0))),0)+
(INDEX(OP_TotalRates_SME_1[[Ausnet]:[United Energy]],MATCH("Off peak",OP_TotalRates_SME_1[[Rate name]:[Rate name]],0),MATCH(OP_CMAB!O$10,OP_TotalRates_SME_1[[#Headers],[Ausnet]:[United Energy]],0))*
INDEX(Input_Usage[[F-CurrentVDO_Input]:[F-NextVDO_Input]],MATCH($L11&amp;" - Off peak",Input_Usage[[Ref]:[Ref]],0),MATCH($D$7,Inputs!$I$133:$M$133,0))),0)),"-")</f>
        <v>3359</v>
      </c>
      <c r="P11" s="122">
        <f>IFERROR(
IF($D$7="VDO 2021 - Final",
ROUNDUP(
(INDEX(OP_TotalRates_SME_1[[Ausnet]:[United Energy]],MATCH("Anytime - supply",OP_TotalRates_SME_1[[Rate name]:[Rate name]],0),MATCH(OP_CMAB!P$10,OP_TotalRates_SME_1[[#Headers],[Ausnet]:[United Energy]],0))*DiY)+
(IFERROR((INDEX(OP_TotalRates_SME_1[[Ausnet]:[United Energy]],MATCH("Block 1",OP_TotalRates_SME_1[[Rate name]:[Rate name]],0),MATCH(OP_CMAB!P$10,OP_TotalRates_SME_1[[#Headers],[Ausnet]:[United Energy]],0))*
INDEX(Input_Usage[[F-CurrentVDO_Input]:[F-NextVDO_Input]],MATCH(OP_CMAB!$L11&amp;" - Block 1",Input_Usage[[Ref]:[Ref]],0),MATCH(OP_CMAB!$D$7,Inputs!$I$133:$M$133,0))),0)+
IFERROR((INDEX(OP_TotalRates_SME_1[[Ausnet]:[United Energy]],MATCH("Balance",OP_TotalRates_SME_1[[Rate name]:[Rate name]],0),MATCH(OP_CMAB!P$10,OP_TotalRates_SME_1[[#Headers],[Ausnet]:[United Energy]],0))*
INDEX(Input_Usage[[F-CurrentVDO_Input]:[F-NextVDO_Input]],MATCH(OP_CMAB!$L11&amp;" - Balance",Input_Usage[[Ref]:[Ref]],0),MATCH(OP_CMAB!$D$7,Inputs!$I$133:$M$133,0))),0)+
IFERROR((INDEX(OP_TotalRates_SME_1[[Ausnet]:[United Energy]],MATCH("Single rate",OP_TotalRates_SME_1[[Rate name]:[Rate name]],0),MATCH(OP_CMAB!P$10,OP_TotalRates_SME_1[[#Headers],[Ausnet]:[United Energy]],0))*
INDEX(Input_Usage[[F-CurrentVDO_Input]:[F-NextVDO_Input]],MATCH(OP_CMAB!$L11&amp;" - Annual",Input_Usage[[Ref]:[Ref]],0),MATCH(OP_CMAB!$D$7,Inputs!$I$133:$M$133,0))),0)),0),
ROUNDUP(
(INDEX(OP_TotalRates_SME_1[[Ausnet]:[United Energy]],MATCH("TOU - supply",OP_TotalRates_SME_1[[Rate name]:[Rate name]],0),MATCH(OP_CMAB!P$10,OP_TotalRates_SME_1[[#Headers],[Ausnet]:[United Energy]],0))*DiY)+
(INDEX(OP_TotalRates_SME_1[[Ausnet]:[United Energy]],MATCH("Peak",OP_TotalRates_SME_1[[Rate name]:[Rate name]],0),MATCH(OP_CMAB!P$10,OP_TotalRates_SME_1[[#Headers],[Ausnet]:[United Energy]],0))*
INDEX(Input_Usage[[F-CurrentVDO_Input]:[F-NextVDO_Input]],MATCH($L11&amp;" - Peak",Input_Usage[[Ref]:[Ref]],0),MATCH($D$7,Inputs!$I$133:$M$133,0)))+
IFERROR((INDEX(OP_TotalRates_SME_1[[Ausnet]:[United Energy]],MATCH("TOU - Shoulder",OP_TotalRates_SME_1[[Rate name]:[Rate name]],0),MATCH(OP_CMAB!P$10,OP_TotalRates_SME_1[[#Headers],[Ausnet]:[United Energy]],0))*
INDEX(Input_Usage[[F-CurrentVDO_Input]:[F-NextVDO_Input]],MATCH($L11&amp;" - Shoulder",Input_Usage[[Ref]:[Ref]],0),MATCH($D$7,Inputs!$I$133:$M$133,0))),0)+
(INDEX(OP_TotalRates_SME_1[[Ausnet]:[United Energy]],MATCH("Off peak",OP_TotalRates_SME_1[[Rate name]:[Rate name]],0),MATCH(OP_CMAB!P$10,OP_TotalRates_SME_1[[#Headers],[Ausnet]:[United Energy]],0))*
INDEX(Input_Usage[[F-CurrentVDO_Input]:[F-NextVDO_Input]],MATCH($L11&amp;" - Off peak",Input_Usage[[Ref]:[Ref]],0),MATCH($D$7,Inputs!$I$133:$M$133,0))),0)),"-")</f>
        <v>3320</v>
      </c>
      <c r="Q11" s="122">
        <f>IFERROR(
IF($D$7="VDO 2021 - Final",
ROUNDUP(
(INDEX(OP_TotalRates_SME_1[[Ausnet]:[United Energy]],MATCH("Anytime - supply",OP_TotalRates_SME_1[[Rate name]:[Rate name]],0),MATCH(OP_CMAB!Q$10,OP_TotalRates_SME_1[[#Headers],[Ausnet]:[United Energy]],0))*DiY)+
(IFERROR((INDEX(OP_TotalRates_SME_1[[Ausnet]:[United Energy]],MATCH("Block 1",OP_TotalRates_SME_1[[Rate name]:[Rate name]],0),MATCH(OP_CMAB!Q$10,OP_TotalRates_SME_1[[#Headers],[Ausnet]:[United Energy]],0))*
INDEX(Input_Usage[[F-CurrentVDO_Input]:[F-NextVDO_Input]],MATCH(OP_CMAB!$L11&amp;" - Block 1",Input_Usage[[Ref]:[Ref]],0),MATCH(OP_CMAB!$D$7,Inputs!$I$133:$M$133,0))),0)+
IFERROR((INDEX(OP_TotalRates_SME_1[[Ausnet]:[United Energy]],MATCH("Balance",OP_TotalRates_SME_1[[Rate name]:[Rate name]],0),MATCH(OP_CMAB!Q$10,OP_TotalRates_SME_1[[#Headers],[Ausnet]:[United Energy]],0))*
INDEX(Input_Usage[[F-CurrentVDO_Input]:[F-NextVDO_Input]],MATCH(OP_CMAB!$L11&amp;" - Balance",Input_Usage[[Ref]:[Ref]],0),MATCH(OP_CMAB!$D$7,Inputs!$I$133:$M$133,0))),0)+
IFERROR((INDEX(OP_TotalRates_SME_1[[Ausnet]:[United Energy]],MATCH("Single rate",OP_TotalRates_SME_1[[Rate name]:[Rate name]],0),MATCH(OP_CMAB!Q$10,OP_TotalRates_SME_1[[#Headers],[Ausnet]:[United Energy]],0))*
INDEX(Input_Usage[[F-CurrentVDO_Input]:[F-NextVDO_Input]],MATCH(OP_CMAB!$L11&amp;" - Annual",Input_Usage[[Ref]:[Ref]],0),MATCH(OP_CMAB!$D$7,Inputs!$I$133:$M$133,0))),0)),0),
ROUNDUP(
(INDEX(OP_TotalRates_SME_1[[Ausnet]:[United Energy]],MATCH("TOU - supply",OP_TotalRates_SME_1[[Rate name]:[Rate name]],0),MATCH(OP_CMAB!Q$10,OP_TotalRates_SME_1[[#Headers],[Ausnet]:[United Energy]],0))*DiY)+
(INDEX(OP_TotalRates_SME_1[[Ausnet]:[United Energy]],MATCH("Peak",OP_TotalRates_SME_1[[Rate name]:[Rate name]],0),MATCH(OP_CMAB!Q$10,OP_TotalRates_SME_1[[#Headers],[Ausnet]:[United Energy]],0))*
INDEX(Input_Usage[[F-CurrentVDO_Input]:[F-NextVDO_Input]],MATCH($L11&amp;" - Peak",Input_Usage[[Ref]:[Ref]],0),MATCH($D$7,Inputs!$I$133:$M$133,0)))+
IFERROR((INDEX(OP_TotalRates_SME_1[[Ausnet]:[United Energy]],MATCH("TOU - Shoulder",OP_TotalRates_SME_1[[Rate name]:[Rate name]],0),MATCH(OP_CMAB!Q$10,OP_TotalRates_SME_1[[#Headers],[Ausnet]:[United Energy]],0))*
INDEX(Input_Usage[[F-CurrentVDO_Input]:[F-NextVDO_Input]],MATCH($L11&amp;" - Shoulder",Input_Usage[[Ref]:[Ref]],0),MATCH($D$7,Inputs!$I$133:$M$133,0))),0)+
(INDEX(OP_TotalRates_SME_1[[Ausnet]:[United Energy]],MATCH("Off peak",OP_TotalRates_SME_1[[Rate name]:[Rate name]],0),MATCH(OP_CMAB!Q$10,OP_TotalRates_SME_1[[#Headers],[Ausnet]:[United Energy]],0))*
INDEX(Input_Usage[[F-CurrentVDO_Input]:[F-NextVDO_Input]],MATCH($L11&amp;" - Off peak",Input_Usage[[Ref]:[Ref]],0),MATCH($D$7,Inputs!$I$133:$M$133,0))),0)),"-")</f>
        <v>3239</v>
      </c>
    </row>
    <row r="12" spans="1:18" hidden="1" x14ac:dyDescent="0.25">
      <c r="C12" s="24" t="s">
        <v>100</v>
      </c>
      <c r="D12" s="24" t="s">
        <v>232</v>
      </c>
      <c r="E12" s="122">
        <f>IFERROR(
IF($D$7="VDO 2021 - Final",
ROUNDUP(
(INDEX(OP_TotalRates_RES_1[[Ausnet]:[United Energy]],MATCH("Anytime - supply",OP_TotalRates_RES_1[[Rate name]:[Rate name]],0),MATCH(OP_CMAB!E$10,OP_TotalRates_RES_1[[#Headers],[Ausnet]:[United Energy]],0))*DiY)+
(IFERROR((INDEX(OP_TotalRates_RES_1[[Ausnet]:[United Energy]],MATCH("Block 1",OP_TotalRates_RES_1[[Rate name]:[Rate name]],0),MATCH(OP_CMAB!E$10,OP_TotalRates_RES_1[[#Headers],[Ausnet]:[United Energy]],0))*
INDEX(Input_Usage[[F-CurrentVDO_Input]:[F-NextVDO_Input]],MATCH(OP_CMAB!$D12&amp;" - Block 1",Input_Usage[[Ref]:[Ref]],0),MATCH(OP_CMAB!$D$7,Inputs!$I$133:$M$133,0))),0)+
IFERROR((INDEX(OP_TotalRates_RES_1[[Ausnet]:[United Energy]],MATCH("Balance",OP_TotalRates_RES_1[[Rate name]:[Rate name]],0),MATCH(OP_CMAB!E$10,OP_TotalRates_RES_1[[#Headers],[Ausnet]:[United Energy]],0))*
INDEX(Input_Usage[[F-CurrentVDO_Input]:[F-NextVDO_Input]],MATCH(OP_CMAB!$D12&amp;" - Balance",Input_Usage[[Ref]:[Ref]],0),MATCH(OP_CMAB!$D$7,Inputs!$I$133:$M$133,0))),0)+
IFERROR((INDEX(OP_TotalRates_RES_1[[Ausnet]:[United Energy]],MATCH("Single rate",OP_TotalRates_RES_1[[Rate name]:[Rate name]],0),MATCH(OP_CMAB!E$10,OP_TotalRates_RES_1[[#Headers],[Ausnet]:[United Energy]],0))*
INDEX(Input_Usage[[F-CurrentVDO_Input]:[F-NextVDO_Input]],MATCH(OP_CMAB!$D12&amp;" - Annual",Input_Usage[[Ref]:[Ref]],0),MATCH(OP_CMAB!$D$7,Inputs!$I$133:$M$133,0))),0)),0),
ROUNDUP(
(INDEX(OP_TotalRates_RES_1[[Ausnet]:[United Energy]],MATCH("TOU - supply",OP_TotalRates_RES_1[[Rate name]:[Rate name]],0),MATCH(OP_CMAB!E$10,OP_TotalRates_RES_1[[#Headers],[Ausnet]:[United Energy]],0))*DiY)+
(INDEX(OP_TotalRates_RES_1[[Ausnet]:[United Energy]],MATCH("Peak",OP_TotalRates_RES_1[[Rate name]:[Rate name]],0),MATCH(OP_CMAB!E$10,OP_TotalRates_RES_1[[#Headers],[Ausnet]:[United Energy]],0))*
INDEX(Input_Usage[[F-CurrentVDO_Input]:[F-NextVDO_Input]],MATCH($D12&amp;" - Peak",Input_Usage[[Ref]:[Ref]],0),MATCH($D$7,Inputs!$I$133:$M$133,0)))+
IFERROR((INDEX(OP_TotalRates_RES_1[[Ausnet]:[United Energy]],MATCH("TOU - Shoulder",OP_TotalRates_RES_1[[Rate name]:[Rate name]],0),MATCH(OP_CMAB!E$10,OP_TotalRates_RES_1[[#Headers],[Ausnet]:[United Energy]],0))*
INDEX(Input_Usage[[F-CurrentVDO_Input]:[F-NextVDO_Input]],MATCH($D12&amp;" - Shoulder",Input_Usage[[Ref]:[Ref]],0),MATCH($D$7,Inputs!$I$133:$M$133,0))),0)+
(INDEX(OP_TotalRates_RES_1[[Ausnet]:[United Energy]],MATCH("Off peak",OP_TotalRates_RES_1[[Rate name]:[Rate name]],0),MATCH(OP_CMAB!E$10,OP_TotalRates_RES_1[[#Headers],[Ausnet]:[United Energy]],0))*
INDEX(Input_Usage[[F-CurrentVDO_Input]:[F-NextVDO_Input]],MATCH($D12&amp;" - Off peak",Input_Usage[[Ref]:[Ref]],0),MATCH($D$7,Inputs!$I$133:$M$133,0))),0)),"-")</f>
        <v>1483</v>
      </c>
      <c r="F12" s="122">
        <f>IFERROR(
IF($D$7="VDO 2021 - Final",
ROUNDUP(
(INDEX(OP_TotalRates_RES_1[[Ausnet]:[United Energy]],MATCH("Anytime - supply",OP_TotalRates_RES_1[[Rate name]:[Rate name]],0),MATCH(OP_CMAB!F$10,OP_TotalRates_RES_1[[#Headers],[Ausnet]:[United Energy]],0))*DiY)+
(IFERROR((INDEX(OP_TotalRates_RES_1[[Ausnet]:[United Energy]],MATCH("Block 1",OP_TotalRates_RES_1[[Rate name]:[Rate name]],0),MATCH(OP_CMAB!F$10,OP_TotalRates_RES_1[[#Headers],[Ausnet]:[United Energy]],0))*
INDEX(Input_Usage[[F-CurrentVDO_Input]:[F-NextVDO_Input]],MATCH(OP_CMAB!$D12&amp;" - Block 1",Input_Usage[[Ref]:[Ref]],0),MATCH(OP_CMAB!$D$7,Inputs!$I$133:$M$133,0))),0)+
IFERROR((INDEX(OP_TotalRates_RES_1[[Ausnet]:[United Energy]],MATCH("Balance",OP_TotalRates_RES_1[[Rate name]:[Rate name]],0),MATCH(OP_CMAB!F$10,OP_TotalRates_RES_1[[#Headers],[Ausnet]:[United Energy]],0))*
INDEX(Input_Usage[[F-CurrentVDO_Input]:[F-NextVDO_Input]],MATCH(OP_CMAB!$D12&amp;" - Balance",Input_Usage[[Ref]:[Ref]],0),MATCH(OP_CMAB!$D$7,Inputs!$I$133:$M$133,0))),0)+
IFERROR((INDEX(OP_TotalRates_RES_1[[Ausnet]:[United Energy]],MATCH("Single rate",OP_TotalRates_RES_1[[Rate name]:[Rate name]],0),MATCH(OP_CMAB!F$10,OP_TotalRates_RES_1[[#Headers],[Ausnet]:[United Energy]],0))*
INDEX(Input_Usage[[F-CurrentVDO_Input]:[F-NextVDO_Input]],MATCH(OP_CMAB!$D12&amp;" - Annual",Input_Usage[[Ref]:[Ref]],0),MATCH(OP_CMAB!$D$7,Inputs!$I$133:$M$133,0))),0)),0),
ROUNDUP(
(INDEX(OP_TotalRates_RES_1[[Ausnet]:[United Energy]],MATCH("TOU - supply",OP_TotalRates_RES_1[[Rate name]:[Rate name]],0),MATCH(OP_CMAB!F$10,OP_TotalRates_RES_1[[#Headers],[Ausnet]:[United Energy]],0))*DiY)+
(INDEX(OP_TotalRates_RES_1[[Ausnet]:[United Energy]],MATCH("Peak",OP_TotalRates_RES_1[[Rate name]:[Rate name]],0),MATCH(OP_CMAB!F$10,OP_TotalRates_RES_1[[#Headers],[Ausnet]:[United Energy]],0))*
INDEX(Input_Usage[[F-CurrentVDO_Input]:[F-NextVDO_Input]],MATCH($D12&amp;" - Peak",Input_Usage[[Ref]:[Ref]],0),MATCH($D$7,Inputs!$I$133:$M$133,0)))+
IFERROR((INDEX(OP_TotalRates_RES_1[[Ausnet]:[United Energy]],MATCH("TOU - Shoulder",OP_TotalRates_RES_1[[Rate name]:[Rate name]],0),MATCH(OP_CMAB!F$10,OP_TotalRates_RES_1[[#Headers],[Ausnet]:[United Energy]],0))*
INDEX(Input_Usage[[F-CurrentVDO_Input]:[F-NextVDO_Input]],MATCH($D12&amp;" - Shoulder",Input_Usage[[Ref]:[Ref]],0),MATCH($D$7,Inputs!$I$133:$M$133,0))),0)+
(INDEX(OP_TotalRates_RES_1[[Ausnet]:[United Energy]],MATCH("Off peak",OP_TotalRates_RES_1[[Rate name]:[Rate name]],0),MATCH(OP_CMAB!F$10,OP_TotalRates_RES_1[[#Headers],[Ausnet]:[United Energy]],0))*
INDEX(Input_Usage[[F-CurrentVDO_Input]:[F-NextVDO_Input]],MATCH($D12&amp;" - Off peak",Input_Usage[[Ref]:[Ref]],0),MATCH($D$7,Inputs!$I$133:$M$133,0))),0)),"-")</f>
        <v>1330</v>
      </c>
      <c r="G12" s="122">
        <f>IFERROR(
IF($D$7="VDO 2021 - Final",
ROUNDUP(
(INDEX(OP_TotalRates_RES_1[[Ausnet]:[United Energy]],MATCH("Anytime - supply",OP_TotalRates_RES_1[[Rate name]:[Rate name]],0),MATCH(OP_CMAB!G$10,OP_TotalRates_RES_1[[#Headers],[Ausnet]:[United Energy]],0))*DiY)+
(IFERROR((INDEX(OP_TotalRates_RES_1[[Ausnet]:[United Energy]],MATCH("Block 1",OP_TotalRates_RES_1[[Rate name]:[Rate name]],0),MATCH(OP_CMAB!G$10,OP_TotalRates_RES_1[[#Headers],[Ausnet]:[United Energy]],0))*
INDEX(Input_Usage[[F-CurrentVDO_Input]:[F-NextVDO_Input]],MATCH(OP_CMAB!$D12&amp;" - Block 1",Input_Usage[[Ref]:[Ref]],0),MATCH(OP_CMAB!$D$7,Inputs!$I$133:$M$133,0))),0)+
IFERROR((INDEX(OP_TotalRates_RES_1[[Ausnet]:[United Energy]],MATCH("Balance",OP_TotalRates_RES_1[[Rate name]:[Rate name]],0),MATCH(OP_CMAB!G$10,OP_TotalRates_RES_1[[#Headers],[Ausnet]:[United Energy]],0))*
INDEX(Input_Usage[[F-CurrentVDO_Input]:[F-NextVDO_Input]],MATCH(OP_CMAB!$D12&amp;" - Balance",Input_Usage[[Ref]:[Ref]],0),MATCH(OP_CMAB!$D$7,Inputs!$I$133:$M$133,0))),0)+
IFERROR((INDEX(OP_TotalRates_RES_1[[Ausnet]:[United Energy]],MATCH("Single rate",OP_TotalRates_RES_1[[Rate name]:[Rate name]],0),MATCH(OP_CMAB!G$10,OP_TotalRates_RES_1[[#Headers],[Ausnet]:[United Energy]],0))*
INDEX(Input_Usage[[F-CurrentVDO_Input]:[F-NextVDO_Input]],MATCH(OP_CMAB!$D12&amp;" - Annual",Input_Usage[[Ref]:[Ref]],0),MATCH(OP_CMAB!$D$7,Inputs!$I$133:$M$133,0))),0)),0),
ROUNDUP(
(INDEX(OP_TotalRates_RES_1[[Ausnet]:[United Energy]],MATCH("TOU - supply",OP_TotalRates_RES_1[[Rate name]:[Rate name]],0),MATCH(OP_CMAB!G$10,OP_TotalRates_RES_1[[#Headers],[Ausnet]:[United Energy]],0))*DiY)+
(INDEX(OP_TotalRates_RES_1[[Ausnet]:[United Energy]],MATCH("Peak",OP_TotalRates_RES_1[[Rate name]:[Rate name]],0),MATCH(OP_CMAB!G$10,OP_TotalRates_RES_1[[#Headers],[Ausnet]:[United Energy]],0))*
INDEX(Input_Usage[[F-CurrentVDO_Input]:[F-NextVDO_Input]],MATCH($D12&amp;" - Peak",Input_Usage[[Ref]:[Ref]],0),MATCH($D$7,Inputs!$I$133:$M$133,0)))+
IFERROR((INDEX(OP_TotalRates_RES_1[[Ausnet]:[United Energy]],MATCH("TOU - Shoulder",OP_TotalRates_RES_1[[Rate name]:[Rate name]],0),MATCH(OP_CMAB!G$10,OP_TotalRates_RES_1[[#Headers],[Ausnet]:[United Energy]],0))*
INDEX(Input_Usage[[F-CurrentVDO_Input]:[F-NextVDO_Input]],MATCH($D12&amp;" - Shoulder",Input_Usage[[Ref]:[Ref]],0),MATCH($D$7,Inputs!$I$133:$M$133,0))),0)+
(INDEX(OP_TotalRates_RES_1[[Ausnet]:[United Energy]],MATCH("Off peak",OP_TotalRates_RES_1[[Rate name]:[Rate name]],0),MATCH(OP_CMAB!G$10,OP_TotalRates_RES_1[[#Headers],[Ausnet]:[United Energy]],0))*
INDEX(Input_Usage[[F-CurrentVDO_Input]:[F-NextVDO_Input]],MATCH($D12&amp;" - Off peak",Input_Usage[[Ref]:[Ref]],0),MATCH($D$7,Inputs!$I$133:$M$133,0))),0)),"-")</f>
        <v>1312</v>
      </c>
      <c r="H12" s="122">
        <f>IFERROR(
IF($D$7="VDO 2021 - Final",
ROUNDUP(
(INDEX(OP_TotalRates_RES_1[[Ausnet]:[United Energy]],MATCH("Anytime - supply",OP_TotalRates_RES_1[[Rate name]:[Rate name]],0),MATCH(OP_CMAB!H$10,OP_TotalRates_RES_1[[#Headers],[Ausnet]:[United Energy]],0))*DiY)+
(IFERROR((INDEX(OP_TotalRates_RES_1[[Ausnet]:[United Energy]],MATCH("Block 1",OP_TotalRates_RES_1[[Rate name]:[Rate name]],0),MATCH(OP_CMAB!H$10,OP_TotalRates_RES_1[[#Headers],[Ausnet]:[United Energy]],0))*
INDEX(Input_Usage[[F-CurrentVDO_Input]:[F-NextVDO_Input]],MATCH(OP_CMAB!$D12&amp;" - Block 1",Input_Usage[[Ref]:[Ref]],0),MATCH(OP_CMAB!$D$7,Inputs!$I$133:$M$133,0))),0)+
IFERROR((INDEX(OP_TotalRates_RES_1[[Ausnet]:[United Energy]],MATCH("Balance",OP_TotalRates_RES_1[[Rate name]:[Rate name]],0),MATCH(OP_CMAB!H$10,OP_TotalRates_RES_1[[#Headers],[Ausnet]:[United Energy]],0))*
INDEX(Input_Usage[[F-CurrentVDO_Input]:[F-NextVDO_Input]],MATCH(OP_CMAB!$D12&amp;" - Balance",Input_Usage[[Ref]:[Ref]],0),MATCH(OP_CMAB!$D$7,Inputs!$I$133:$M$133,0))),0)+
IFERROR((INDEX(OP_TotalRates_RES_1[[Ausnet]:[United Energy]],MATCH("Single rate",OP_TotalRates_RES_1[[Rate name]:[Rate name]],0),MATCH(OP_CMAB!H$10,OP_TotalRates_RES_1[[#Headers],[Ausnet]:[United Energy]],0))*
INDEX(Input_Usage[[F-CurrentVDO_Input]:[F-NextVDO_Input]],MATCH(OP_CMAB!$D12&amp;" - Annual",Input_Usage[[Ref]:[Ref]],0),MATCH(OP_CMAB!$D$7,Inputs!$I$133:$M$133,0))),0)),0),
ROUNDUP(
(INDEX(OP_TotalRates_RES_1[[Ausnet]:[United Energy]],MATCH("TOU - supply",OP_TotalRates_RES_1[[Rate name]:[Rate name]],0),MATCH(OP_CMAB!H$10,OP_TotalRates_RES_1[[#Headers],[Ausnet]:[United Energy]],0))*DiY)+
(INDEX(OP_TotalRates_RES_1[[Ausnet]:[United Energy]],MATCH("Peak",OP_TotalRates_RES_1[[Rate name]:[Rate name]],0),MATCH(OP_CMAB!H$10,OP_TotalRates_RES_1[[#Headers],[Ausnet]:[United Energy]],0))*
INDEX(Input_Usage[[F-CurrentVDO_Input]:[F-NextVDO_Input]],MATCH($D12&amp;" - Peak",Input_Usage[[Ref]:[Ref]],0),MATCH($D$7,Inputs!$I$133:$M$133,0)))+
IFERROR((INDEX(OP_TotalRates_RES_1[[Ausnet]:[United Energy]],MATCH("TOU - Shoulder",OP_TotalRates_RES_1[[Rate name]:[Rate name]],0),MATCH(OP_CMAB!H$10,OP_TotalRates_RES_1[[#Headers],[Ausnet]:[United Energy]],0))*
INDEX(Input_Usage[[F-CurrentVDO_Input]:[F-NextVDO_Input]],MATCH($D12&amp;" - Shoulder",Input_Usage[[Ref]:[Ref]],0),MATCH($D$7,Inputs!$I$133:$M$133,0))),0)+
(INDEX(OP_TotalRates_RES_1[[Ausnet]:[United Energy]],MATCH("Off peak",OP_TotalRates_RES_1[[Rate name]:[Rate name]],0),MATCH(OP_CMAB!H$10,OP_TotalRates_RES_1[[#Headers],[Ausnet]:[United Energy]],0))*
INDEX(Input_Usage[[F-CurrentVDO_Input]:[F-NextVDO_Input]],MATCH($D12&amp;" - Off peak",Input_Usage[[Ref]:[Ref]],0),MATCH($D$7,Inputs!$I$133:$M$133,0))),0)),"-")</f>
        <v>1413</v>
      </c>
      <c r="I12" s="122">
        <f>IFERROR(
IF($D$7="VDO 2021 - Final",
ROUNDUP(
(INDEX(OP_TotalRates_RES_1[[Ausnet]:[United Energy]],MATCH("Anytime - supply",OP_TotalRates_RES_1[[Rate name]:[Rate name]],0),MATCH(OP_CMAB!I$10,OP_TotalRates_RES_1[[#Headers],[Ausnet]:[United Energy]],0))*DiY)+
(IFERROR((INDEX(OP_TotalRates_RES_1[[Ausnet]:[United Energy]],MATCH("Block 1",OP_TotalRates_RES_1[[Rate name]:[Rate name]],0),MATCH(OP_CMAB!I$10,OP_TotalRates_RES_1[[#Headers],[Ausnet]:[United Energy]],0))*
INDEX(Input_Usage[[F-CurrentVDO_Input]:[F-NextVDO_Input]],MATCH(OP_CMAB!$D12&amp;" - Block 1",Input_Usage[[Ref]:[Ref]],0),MATCH(OP_CMAB!$D$7,Inputs!$I$133:$M$133,0))),0)+
IFERROR((INDEX(OP_TotalRates_RES_1[[Ausnet]:[United Energy]],MATCH("Balance",OP_TotalRates_RES_1[[Rate name]:[Rate name]],0),MATCH(OP_CMAB!I$10,OP_TotalRates_RES_1[[#Headers],[Ausnet]:[United Energy]],0))*
INDEX(Input_Usage[[F-CurrentVDO_Input]:[F-NextVDO_Input]],MATCH(OP_CMAB!$D12&amp;" - Balance",Input_Usage[[Ref]:[Ref]],0),MATCH(OP_CMAB!$D$7,Inputs!$I$133:$M$133,0))),0)+
IFERROR((INDEX(OP_TotalRates_RES_1[[Ausnet]:[United Energy]],MATCH("Single rate",OP_TotalRates_RES_1[[Rate name]:[Rate name]],0),MATCH(OP_CMAB!I$10,OP_TotalRates_RES_1[[#Headers],[Ausnet]:[United Energy]],0))*
INDEX(Input_Usage[[F-CurrentVDO_Input]:[F-NextVDO_Input]],MATCH(OP_CMAB!$D12&amp;" - Annual",Input_Usage[[Ref]:[Ref]],0),MATCH(OP_CMAB!$D$7,Inputs!$I$133:$M$133,0))),0)),0),
ROUNDUP(
(INDEX(OP_TotalRates_RES_1[[Ausnet]:[United Energy]],MATCH("TOU - supply",OP_TotalRates_RES_1[[Rate name]:[Rate name]],0),MATCH(OP_CMAB!I$10,OP_TotalRates_RES_1[[#Headers],[Ausnet]:[United Energy]],0))*DiY)+
(INDEX(OP_TotalRates_RES_1[[Ausnet]:[United Energy]],MATCH("Peak",OP_TotalRates_RES_1[[Rate name]:[Rate name]],0),MATCH(OP_CMAB!I$10,OP_TotalRates_RES_1[[#Headers],[Ausnet]:[United Energy]],0))*
INDEX(Input_Usage[[F-CurrentVDO_Input]:[F-NextVDO_Input]],MATCH($D12&amp;" - Peak",Input_Usage[[Ref]:[Ref]],0),MATCH($D$7,Inputs!$I$133:$M$133,0)))+
IFERROR((INDEX(OP_TotalRates_RES_1[[Ausnet]:[United Energy]],MATCH("TOU - Shoulder",OP_TotalRates_RES_1[[Rate name]:[Rate name]],0),MATCH(OP_CMAB!I$10,OP_TotalRates_RES_1[[#Headers],[Ausnet]:[United Energy]],0))*
INDEX(Input_Usage[[F-CurrentVDO_Input]:[F-NextVDO_Input]],MATCH($D12&amp;" - Shoulder",Input_Usage[[Ref]:[Ref]],0),MATCH($D$7,Inputs!$I$133:$M$133,0))),0)+
(INDEX(OP_TotalRates_RES_1[[Ausnet]:[United Energy]],MATCH("Off peak",OP_TotalRates_RES_1[[Rate name]:[Rate name]],0),MATCH(OP_CMAB!I$10,OP_TotalRates_RES_1[[#Headers],[Ausnet]:[United Energy]],0))*
INDEX(Input_Usage[[F-CurrentVDO_Input]:[F-NextVDO_Input]],MATCH($D12&amp;" - Off peak",Input_Usage[[Ref]:[Ref]],0),MATCH($D$7,Inputs!$I$133:$M$133,0))),0)),"-")</f>
        <v>1344</v>
      </c>
      <c r="K12" s="24" t="s">
        <v>101</v>
      </c>
      <c r="L12" s="24" t="s">
        <v>235</v>
      </c>
      <c r="M12" s="122">
        <f>IFERROR(
IF($D$7="VDO 2021 - Final",
ROUNDUP(
(INDEX(OP_TotalRates_SME_1[[Ausnet]:[United Energy]],MATCH("Anytime - supply",OP_TotalRates_SME_1[[Rate name]:[Rate name]],0),MATCH(OP_CMAB!M$10,OP_TotalRates_SME_1[[#Headers],[Ausnet]:[United Energy]],0))*DiY)+
(IFERROR((INDEX(OP_TotalRates_SME_1[[Ausnet]:[United Energy]],MATCH("Block 1",OP_TotalRates_SME_1[[Rate name]:[Rate name]],0),MATCH(OP_CMAB!M$10,OP_TotalRates_SME_1[[#Headers],[Ausnet]:[United Energy]],0))*
INDEX(Input_Usage[[F-CurrentVDO_Input]:[F-NextVDO_Input]],MATCH(OP_CMAB!$L12&amp;" - Block 1",Input_Usage[[Ref]:[Ref]],0),MATCH(OP_CMAB!$D$7,Inputs!$I$133:$M$133,0))),0)+
IFERROR((INDEX(OP_TotalRates_SME_1[[Ausnet]:[United Energy]],MATCH("Balance",OP_TotalRates_SME_1[[Rate name]:[Rate name]],0),MATCH(OP_CMAB!M$10,OP_TotalRates_SME_1[[#Headers],[Ausnet]:[United Energy]],0))*
INDEX(Input_Usage[[F-CurrentVDO_Input]:[F-NextVDO_Input]],MATCH(OP_CMAB!$L12&amp;" - Balance",Input_Usage[[Ref]:[Ref]],0),MATCH(OP_CMAB!$D$7,Inputs!$I$133:$M$133,0))),0)+
IFERROR((INDEX(OP_TotalRates_SME_1[[Ausnet]:[United Energy]],MATCH("Single rate",OP_TotalRates_SME_1[[Rate name]:[Rate name]],0),MATCH(OP_CMAB!M$10,OP_TotalRates_SME_1[[#Headers],[Ausnet]:[United Energy]],0))*
INDEX(Input_Usage[[F-CurrentVDO_Input]:[F-NextVDO_Input]],MATCH(OP_CMAB!$L12&amp;" - Annual",Input_Usage[[Ref]:[Ref]],0),MATCH(OP_CMAB!$D$7,Inputs!$I$133:$M$133,0))),0)),0),
ROUNDUP(
(INDEX(OP_TotalRates_SME_1[[Ausnet]:[United Energy]],MATCH("TOU - supply",OP_TotalRates_SME_1[[Rate name]:[Rate name]],0),MATCH(OP_CMAB!M$10,OP_TotalRates_SME_1[[#Headers],[Ausnet]:[United Energy]],0))*DiY)+
(INDEX(OP_TotalRates_SME_1[[Ausnet]:[United Energy]],MATCH("Peak",OP_TotalRates_SME_1[[Rate name]:[Rate name]],0),MATCH(OP_CMAB!M$10,OP_TotalRates_SME_1[[#Headers],[Ausnet]:[United Energy]],0))*
INDEX(Input_Usage[[F-CurrentVDO_Input]:[F-NextVDO_Input]],MATCH($L12&amp;" - Peak",Input_Usage[[Ref]:[Ref]],0),MATCH($D$7,Inputs!$I$133:$M$133,0)))+
IFERROR((INDEX(OP_TotalRates_SME_1[[Ausnet]:[United Energy]],MATCH("TOU - Shoulder",OP_TotalRates_SME_1[[Rate name]:[Rate name]],0),MATCH(OP_CMAB!M$10,OP_TotalRates_SME_1[[#Headers],[Ausnet]:[United Energy]],0))*
INDEX(Input_Usage[[F-CurrentVDO_Input]:[F-NextVDO_Input]],MATCH($L12&amp;" - Shoulder",Input_Usage[[Ref]:[Ref]],0),MATCH($D$7,Inputs!$I$133:$M$133,0))),0)+
(INDEX(OP_TotalRates_SME_1[[Ausnet]:[United Energy]],MATCH("Off peak",OP_TotalRates_SME_1[[Rate name]:[Rate name]],0),MATCH(OP_CMAB!M$10,OP_TotalRates_SME_1[[#Headers],[Ausnet]:[United Energy]],0))*
INDEX(Input_Usage[[F-CurrentVDO_Input]:[F-NextVDO_Input]],MATCH($L12&amp;" - Off peak",Input_Usage[[Ref]:[Ref]],0),MATCH($D$7,Inputs!$I$133:$M$133,0))),0)),"-")</f>
        <v>5597</v>
      </c>
      <c r="N12" s="122">
        <f>IFERROR(
IF($D$7="VDO 2021 - Final",
ROUNDUP(
(INDEX(OP_TotalRates_SME_1[[Ausnet]:[United Energy]],MATCH("Anytime - supply",OP_TotalRates_SME_1[[Rate name]:[Rate name]],0),MATCH(OP_CMAB!N$10,OP_TotalRates_SME_1[[#Headers],[Ausnet]:[United Energy]],0))*DiY)+
(IFERROR((INDEX(OP_TotalRates_SME_1[[Ausnet]:[United Energy]],MATCH("Block 1",OP_TotalRates_SME_1[[Rate name]:[Rate name]],0),MATCH(OP_CMAB!N$10,OP_TotalRates_SME_1[[#Headers],[Ausnet]:[United Energy]],0))*
INDEX(Input_Usage[[F-CurrentVDO_Input]:[F-NextVDO_Input]],MATCH(OP_CMAB!$L12&amp;" - Block 1",Input_Usage[[Ref]:[Ref]],0),MATCH(OP_CMAB!$D$7,Inputs!$I$133:$M$133,0))),0)+
IFERROR((INDEX(OP_TotalRates_SME_1[[Ausnet]:[United Energy]],MATCH("Balance",OP_TotalRates_SME_1[[Rate name]:[Rate name]],0),MATCH(OP_CMAB!N$10,OP_TotalRates_SME_1[[#Headers],[Ausnet]:[United Energy]],0))*
INDEX(Input_Usage[[F-CurrentVDO_Input]:[F-NextVDO_Input]],MATCH(OP_CMAB!$L12&amp;" - Balance",Input_Usage[[Ref]:[Ref]],0),MATCH(OP_CMAB!$D$7,Inputs!$I$133:$M$133,0))),0)+
IFERROR((INDEX(OP_TotalRates_SME_1[[Ausnet]:[United Energy]],MATCH("Single rate",OP_TotalRates_SME_1[[Rate name]:[Rate name]],0),MATCH(OP_CMAB!N$10,OP_TotalRates_SME_1[[#Headers],[Ausnet]:[United Energy]],0))*
INDEX(Input_Usage[[F-CurrentVDO_Input]:[F-NextVDO_Input]],MATCH(OP_CMAB!$L12&amp;" - Annual",Input_Usage[[Ref]:[Ref]],0),MATCH(OP_CMAB!$D$7,Inputs!$I$133:$M$133,0))),0)),0),
ROUNDUP(
(INDEX(OP_TotalRates_SME_1[[Ausnet]:[United Energy]],MATCH("TOU - supply",OP_TotalRates_SME_1[[Rate name]:[Rate name]],0),MATCH(OP_CMAB!N$10,OP_TotalRates_SME_1[[#Headers],[Ausnet]:[United Energy]],0))*DiY)+
(INDEX(OP_TotalRates_SME_1[[Ausnet]:[United Energy]],MATCH("Peak",OP_TotalRates_SME_1[[Rate name]:[Rate name]],0),MATCH(OP_CMAB!N$10,OP_TotalRates_SME_1[[#Headers],[Ausnet]:[United Energy]],0))*
INDEX(Input_Usage[[F-CurrentVDO_Input]:[F-NextVDO_Input]],MATCH($L12&amp;" - Peak",Input_Usage[[Ref]:[Ref]],0),MATCH($D$7,Inputs!$I$133:$M$133,0)))+
IFERROR((INDEX(OP_TotalRates_SME_1[[Ausnet]:[United Energy]],MATCH("TOU - Shoulder",OP_TotalRates_SME_1[[Rate name]:[Rate name]],0),MATCH(OP_CMAB!N$10,OP_TotalRates_SME_1[[#Headers],[Ausnet]:[United Energy]],0))*
INDEX(Input_Usage[[F-CurrentVDO_Input]:[F-NextVDO_Input]],MATCH($L12&amp;" - Shoulder",Input_Usage[[Ref]:[Ref]],0),MATCH($D$7,Inputs!$I$133:$M$133,0))),0)+
(INDEX(OP_TotalRates_SME_1[[Ausnet]:[United Energy]],MATCH("Off peak",OP_TotalRates_SME_1[[Rate name]:[Rate name]],0),MATCH(OP_CMAB!N$10,OP_TotalRates_SME_1[[#Headers],[Ausnet]:[United Energy]],0))*
INDEX(Input_Usage[[F-CurrentVDO_Input]:[F-NextVDO_Input]],MATCH($L12&amp;" - Off peak",Input_Usage[[Ref]:[Ref]],0),MATCH($D$7,Inputs!$I$133:$M$133,0))),0)),"-")</f>
        <v>4997</v>
      </c>
      <c r="O12" s="122">
        <f>IFERROR(
IF($D$7="VDO 2021 - Final",
ROUNDUP(
(INDEX(OP_TotalRates_SME_1[[Ausnet]:[United Energy]],MATCH("Anytime - supply",OP_TotalRates_SME_1[[Rate name]:[Rate name]],0),MATCH(OP_CMAB!O$10,OP_TotalRates_SME_1[[#Headers],[Ausnet]:[United Energy]],0))*DiY)+
(IFERROR((INDEX(OP_TotalRates_SME_1[[Ausnet]:[United Energy]],MATCH("Block 1",OP_TotalRates_SME_1[[Rate name]:[Rate name]],0),MATCH(OP_CMAB!O$10,OP_TotalRates_SME_1[[#Headers],[Ausnet]:[United Energy]],0))*
INDEX(Input_Usage[[F-CurrentVDO_Input]:[F-NextVDO_Input]],MATCH(OP_CMAB!$L12&amp;" - Block 1",Input_Usage[[Ref]:[Ref]],0),MATCH(OP_CMAB!$D$7,Inputs!$I$133:$M$133,0))),0)+
IFERROR((INDEX(OP_TotalRates_SME_1[[Ausnet]:[United Energy]],MATCH("Balance",OP_TotalRates_SME_1[[Rate name]:[Rate name]],0),MATCH(OP_CMAB!O$10,OP_TotalRates_SME_1[[#Headers],[Ausnet]:[United Energy]],0))*
INDEX(Input_Usage[[F-CurrentVDO_Input]:[F-NextVDO_Input]],MATCH(OP_CMAB!$L12&amp;" - Balance",Input_Usage[[Ref]:[Ref]],0),MATCH(OP_CMAB!$D$7,Inputs!$I$133:$M$133,0))),0)+
IFERROR((INDEX(OP_TotalRates_SME_1[[Ausnet]:[United Energy]],MATCH("Single rate",OP_TotalRates_SME_1[[Rate name]:[Rate name]],0),MATCH(OP_CMAB!O$10,OP_TotalRates_SME_1[[#Headers],[Ausnet]:[United Energy]],0))*
INDEX(Input_Usage[[F-CurrentVDO_Input]:[F-NextVDO_Input]],MATCH(OP_CMAB!$L12&amp;" - Annual",Input_Usage[[Ref]:[Ref]],0),MATCH(OP_CMAB!$D$7,Inputs!$I$133:$M$133,0))),0)),0),
ROUNDUP(
(INDEX(OP_TotalRates_SME_1[[Ausnet]:[United Energy]],MATCH("TOU - supply",OP_TotalRates_SME_1[[Rate name]:[Rate name]],0),MATCH(OP_CMAB!O$10,OP_TotalRates_SME_1[[#Headers],[Ausnet]:[United Energy]],0))*DiY)+
(INDEX(OP_TotalRates_SME_1[[Ausnet]:[United Energy]],MATCH("Peak",OP_TotalRates_SME_1[[Rate name]:[Rate name]],0),MATCH(OP_CMAB!O$10,OP_TotalRates_SME_1[[#Headers],[Ausnet]:[United Energy]],0))*
INDEX(Input_Usage[[F-CurrentVDO_Input]:[F-NextVDO_Input]],MATCH($L12&amp;" - Peak",Input_Usage[[Ref]:[Ref]],0),MATCH($D$7,Inputs!$I$133:$M$133,0)))+
IFERROR((INDEX(OP_TotalRates_SME_1[[Ausnet]:[United Energy]],MATCH("TOU - Shoulder",OP_TotalRates_SME_1[[Rate name]:[Rate name]],0),MATCH(OP_CMAB!O$10,OP_TotalRates_SME_1[[#Headers],[Ausnet]:[United Energy]],0))*
INDEX(Input_Usage[[F-CurrentVDO_Input]:[F-NextVDO_Input]],MATCH($L12&amp;" - Shoulder",Input_Usage[[Ref]:[Ref]],0),MATCH($D$7,Inputs!$I$133:$M$133,0))),0)+
(INDEX(OP_TotalRates_SME_1[[Ausnet]:[United Energy]],MATCH("Off peak",OP_TotalRates_SME_1[[Rate name]:[Rate name]],0),MATCH(OP_CMAB!O$10,OP_TotalRates_SME_1[[#Headers],[Ausnet]:[United Energy]],0))*
INDEX(Input_Usage[[F-CurrentVDO_Input]:[F-NextVDO_Input]],MATCH($L12&amp;" - Off peak",Input_Usage[[Ref]:[Ref]],0),MATCH($D$7,Inputs!$I$133:$M$133,0))),0)),"-")</f>
        <v>5214</v>
      </c>
      <c r="P12" s="122">
        <f>IFERROR(
IF($D$7="VDO 2021 - Final",
ROUNDUP(
(INDEX(OP_TotalRates_SME_1[[Ausnet]:[United Energy]],MATCH("Anytime - supply",OP_TotalRates_SME_1[[Rate name]:[Rate name]],0),MATCH(OP_CMAB!P$10,OP_TotalRates_SME_1[[#Headers],[Ausnet]:[United Energy]],0))*DiY)+
(IFERROR((INDEX(OP_TotalRates_SME_1[[Ausnet]:[United Energy]],MATCH("Block 1",OP_TotalRates_SME_1[[Rate name]:[Rate name]],0),MATCH(OP_CMAB!P$10,OP_TotalRates_SME_1[[#Headers],[Ausnet]:[United Energy]],0))*
INDEX(Input_Usage[[F-CurrentVDO_Input]:[F-NextVDO_Input]],MATCH(OP_CMAB!$L12&amp;" - Block 1",Input_Usage[[Ref]:[Ref]],0),MATCH(OP_CMAB!$D$7,Inputs!$I$133:$M$133,0))),0)+
IFERROR((INDEX(OP_TotalRates_SME_1[[Ausnet]:[United Energy]],MATCH("Balance",OP_TotalRates_SME_1[[Rate name]:[Rate name]],0),MATCH(OP_CMAB!P$10,OP_TotalRates_SME_1[[#Headers],[Ausnet]:[United Energy]],0))*
INDEX(Input_Usage[[F-CurrentVDO_Input]:[F-NextVDO_Input]],MATCH(OP_CMAB!$L12&amp;" - Balance",Input_Usage[[Ref]:[Ref]],0),MATCH(OP_CMAB!$D$7,Inputs!$I$133:$M$133,0))),0)+
IFERROR((INDEX(OP_TotalRates_SME_1[[Ausnet]:[United Energy]],MATCH("Single rate",OP_TotalRates_SME_1[[Rate name]:[Rate name]],0),MATCH(OP_CMAB!P$10,OP_TotalRates_SME_1[[#Headers],[Ausnet]:[United Energy]],0))*
INDEX(Input_Usage[[F-CurrentVDO_Input]:[F-NextVDO_Input]],MATCH(OP_CMAB!$L12&amp;" - Annual",Input_Usage[[Ref]:[Ref]],0),MATCH(OP_CMAB!$D$7,Inputs!$I$133:$M$133,0))),0)),0),
ROUNDUP(
(INDEX(OP_TotalRates_SME_1[[Ausnet]:[United Energy]],MATCH("TOU - supply",OP_TotalRates_SME_1[[Rate name]:[Rate name]],0),MATCH(OP_CMAB!P$10,OP_TotalRates_SME_1[[#Headers],[Ausnet]:[United Energy]],0))*DiY)+
(INDEX(OP_TotalRates_SME_1[[Ausnet]:[United Energy]],MATCH("Peak",OP_TotalRates_SME_1[[Rate name]:[Rate name]],0),MATCH(OP_CMAB!P$10,OP_TotalRates_SME_1[[#Headers],[Ausnet]:[United Energy]],0))*
INDEX(Input_Usage[[F-CurrentVDO_Input]:[F-NextVDO_Input]],MATCH($L12&amp;" - Peak",Input_Usage[[Ref]:[Ref]],0),MATCH($D$7,Inputs!$I$133:$M$133,0)))+
IFERROR((INDEX(OP_TotalRates_SME_1[[Ausnet]:[United Energy]],MATCH("TOU - Shoulder",OP_TotalRates_SME_1[[Rate name]:[Rate name]],0),MATCH(OP_CMAB!P$10,OP_TotalRates_SME_1[[#Headers],[Ausnet]:[United Energy]],0))*
INDEX(Input_Usage[[F-CurrentVDO_Input]:[F-NextVDO_Input]],MATCH($L12&amp;" - Shoulder",Input_Usage[[Ref]:[Ref]],0),MATCH($D$7,Inputs!$I$133:$M$133,0))),0)+
(INDEX(OP_TotalRates_SME_1[[Ausnet]:[United Energy]],MATCH("Off peak",OP_TotalRates_SME_1[[Rate name]:[Rate name]],0),MATCH(OP_CMAB!P$10,OP_TotalRates_SME_1[[#Headers],[Ausnet]:[United Energy]],0))*
INDEX(Input_Usage[[F-CurrentVDO_Input]:[F-NextVDO_Input]],MATCH($L12&amp;" - Off peak",Input_Usage[[Ref]:[Ref]],0),MATCH($D$7,Inputs!$I$133:$M$133,0))),0)),"-")</f>
        <v>5193</v>
      </c>
      <c r="Q12" s="122">
        <f>IFERROR(
IF($D$7="VDO 2021 - Final",
ROUNDUP(
(INDEX(OP_TotalRates_SME_1[[Ausnet]:[United Energy]],MATCH("Anytime - supply",OP_TotalRates_SME_1[[Rate name]:[Rate name]],0),MATCH(OP_CMAB!Q$10,OP_TotalRates_SME_1[[#Headers],[Ausnet]:[United Energy]],0))*DiY)+
(IFERROR((INDEX(OP_TotalRates_SME_1[[Ausnet]:[United Energy]],MATCH("Block 1",OP_TotalRates_SME_1[[Rate name]:[Rate name]],0),MATCH(OP_CMAB!Q$10,OP_TotalRates_SME_1[[#Headers],[Ausnet]:[United Energy]],0))*
INDEX(Input_Usage[[F-CurrentVDO_Input]:[F-NextVDO_Input]],MATCH(OP_CMAB!$L12&amp;" - Block 1",Input_Usage[[Ref]:[Ref]],0),MATCH(OP_CMAB!$D$7,Inputs!$I$133:$M$133,0))),0)+
IFERROR((INDEX(OP_TotalRates_SME_1[[Ausnet]:[United Energy]],MATCH("Balance",OP_TotalRates_SME_1[[Rate name]:[Rate name]],0),MATCH(OP_CMAB!Q$10,OP_TotalRates_SME_1[[#Headers],[Ausnet]:[United Energy]],0))*
INDEX(Input_Usage[[F-CurrentVDO_Input]:[F-NextVDO_Input]],MATCH(OP_CMAB!$L12&amp;" - Balance",Input_Usage[[Ref]:[Ref]],0),MATCH(OP_CMAB!$D$7,Inputs!$I$133:$M$133,0))),0)+
IFERROR((INDEX(OP_TotalRates_SME_1[[Ausnet]:[United Energy]],MATCH("Single rate",OP_TotalRates_SME_1[[Rate name]:[Rate name]],0),MATCH(OP_CMAB!Q$10,OP_TotalRates_SME_1[[#Headers],[Ausnet]:[United Energy]],0))*
INDEX(Input_Usage[[F-CurrentVDO_Input]:[F-NextVDO_Input]],MATCH(OP_CMAB!$L12&amp;" - Annual",Input_Usage[[Ref]:[Ref]],0),MATCH(OP_CMAB!$D$7,Inputs!$I$133:$M$133,0))),0)),0),
ROUNDUP(
(INDEX(OP_TotalRates_SME_1[[Ausnet]:[United Energy]],MATCH("TOU - supply",OP_TotalRates_SME_1[[Rate name]:[Rate name]],0),MATCH(OP_CMAB!Q$10,OP_TotalRates_SME_1[[#Headers],[Ausnet]:[United Energy]],0))*DiY)+
(INDEX(OP_TotalRates_SME_1[[Ausnet]:[United Energy]],MATCH("Peak",OP_TotalRates_SME_1[[Rate name]:[Rate name]],0),MATCH(OP_CMAB!Q$10,OP_TotalRates_SME_1[[#Headers],[Ausnet]:[United Energy]],0))*
INDEX(Input_Usage[[F-CurrentVDO_Input]:[F-NextVDO_Input]],MATCH($L12&amp;" - Peak",Input_Usage[[Ref]:[Ref]],0),MATCH($D$7,Inputs!$I$133:$M$133,0)))+
IFERROR((INDEX(OP_TotalRates_SME_1[[Ausnet]:[United Energy]],MATCH("TOU - Shoulder",OP_TotalRates_SME_1[[Rate name]:[Rate name]],0),MATCH(OP_CMAB!Q$10,OP_TotalRates_SME_1[[#Headers],[Ausnet]:[United Energy]],0))*
INDEX(Input_Usage[[F-CurrentVDO_Input]:[F-NextVDO_Input]],MATCH($L12&amp;" - Shoulder",Input_Usage[[Ref]:[Ref]],0),MATCH($D$7,Inputs!$I$133:$M$133,0))),0)+
(INDEX(OP_TotalRates_SME_1[[Ausnet]:[United Energy]],MATCH("Off peak",OP_TotalRates_SME_1[[Rate name]:[Rate name]],0),MATCH(OP_CMAB!Q$10,OP_TotalRates_SME_1[[#Headers],[Ausnet]:[United Energy]],0))*
INDEX(Input_Usage[[F-CurrentVDO_Input]:[F-NextVDO_Input]],MATCH($L12&amp;" - Off peak",Input_Usage[[Ref]:[Ref]],0),MATCH($D$7,Inputs!$I$133:$M$133,0))),0)),"-")</f>
        <v>5116</v>
      </c>
    </row>
    <row r="13" spans="1:18" hidden="1" x14ac:dyDescent="0.25">
      <c r="C13" s="45" t="s">
        <v>100</v>
      </c>
      <c r="D13" s="45" t="s">
        <v>233</v>
      </c>
      <c r="E13" s="122">
        <f>IFERROR(
IF($D$7="VDO 2021 - Final",
ROUNDUP(
(INDEX(OP_TotalRates_RES_1[[Ausnet]:[United Energy]],MATCH("Anytime - supply",OP_TotalRates_RES_1[[Rate name]:[Rate name]],0),MATCH(OP_CMAB!E$10,OP_TotalRates_RES_1[[#Headers],[Ausnet]:[United Energy]],0))*DiY)+
(IFERROR((INDEX(OP_TotalRates_RES_1[[Ausnet]:[United Energy]],MATCH("Block 1",OP_TotalRates_RES_1[[Rate name]:[Rate name]],0),MATCH(OP_CMAB!E$10,OP_TotalRates_RES_1[[#Headers],[Ausnet]:[United Energy]],0))*
INDEX(Input_Usage[[F-CurrentVDO_Input]:[F-NextVDO_Input]],MATCH(OP_CMAB!$D13&amp;" - Block 1",Input_Usage[[Ref]:[Ref]],0),MATCH(OP_CMAB!$D$7,Inputs!$I$133:$M$133,0))),0)+
IFERROR((INDEX(OP_TotalRates_RES_1[[Ausnet]:[United Energy]],MATCH("Balance",OP_TotalRates_RES_1[[Rate name]:[Rate name]],0),MATCH(OP_CMAB!E$10,OP_TotalRates_RES_1[[#Headers],[Ausnet]:[United Energy]],0))*
INDEX(Input_Usage[[F-CurrentVDO_Input]:[F-NextVDO_Input]],MATCH(OP_CMAB!$D13&amp;" - Balance",Input_Usage[[Ref]:[Ref]],0),MATCH(OP_CMAB!$D$7,Inputs!$I$133:$M$133,0))),0)+
IFERROR((INDEX(OP_TotalRates_RES_1[[Ausnet]:[United Energy]],MATCH("Single rate",OP_TotalRates_RES_1[[Rate name]:[Rate name]],0),MATCH(OP_CMAB!E$10,OP_TotalRates_RES_1[[#Headers],[Ausnet]:[United Energy]],0))*
INDEX(Input_Usage[[F-CurrentVDO_Input]:[F-NextVDO_Input]],MATCH(OP_CMAB!$D13&amp;" - Annual",Input_Usage[[Ref]:[Ref]],0),MATCH(OP_CMAB!$D$7,Inputs!$I$133:$M$133,0))),0)),0),
ROUNDUP(
(INDEX(OP_TotalRates_RES_1[[Ausnet]:[United Energy]],MATCH("TOU - supply",OP_TotalRates_RES_1[[Rate name]:[Rate name]],0),MATCH(OP_CMAB!E$10,OP_TotalRates_RES_1[[#Headers],[Ausnet]:[United Energy]],0))*DiY)+
(INDEX(OP_TotalRates_RES_1[[Ausnet]:[United Energy]],MATCH("Peak",OP_TotalRates_RES_1[[Rate name]:[Rate name]],0),MATCH(OP_CMAB!E$10,OP_TotalRates_RES_1[[#Headers],[Ausnet]:[United Energy]],0))*
INDEX(Input_Usage[[F-CurrentVDO_Input]:[F-NextVDO_Input]],MATCH($D13&amp;" - Peak",Input_Usage[[Ref]:[Ref]],0),MATCH($D$7,Inputs!$I$133:$M$133,0)))+
IFERROR((INDEX(OP_TotalRates_RES_1[[Ausnet]:[United Energy]],MATCH("TOU - Shoulder",OP_TotalRates_RES_1[[Rate name]:[Rate name]],0),MATCH(OP_CMAB!E$10,OP_TotalRates_RES_1[[#Headers],[Ausnet]:[United Energy]],0))*
INDEX(Input_Usage[[F-CurrentVDO_Input]:[F-NextVDO_Input]],MATCH($D13&amp;" - Shoulder",Input_Usage[[Ref]:[Ref]],0),MATCH($D$7,Inputs!$I$133:$M$133,0))),0)+
(INDEX(OP_TotalRates_RES_1[[Ausnet]:[United Energy]],MATCH("Off peak",OP_TotalRates_RES_1[[Rate name]:[Rate name]],0),MATCH(OP_CMAB!E$10,OP_TotalRates_RES_1[[#Headers],[Ausnet]:[United Energy]],0))*
INDEX(Input_Usage[[F-CurrentVDO_Input]:[F-NextVDO_Input]],MATCH($D13&amp;" - Off peak",Input_Usage[[Ref]:[Ref]],0),MATCH($D$7,Inputs!$I$133:$M$133,0))),0)),"-")</f>
        <v>2529</v>
      </c>
      <c r="F13" s="122">
        <f>IFERROR(
IF($D$7="VDO 2021 - Final",
ROUNDUP(
(INDEX(OP_TotalRates_RES_1[[Ausnet]:[United Energy]],MATCH("Anytime - supply",OP_TotalRates_RES_1[[Rate name]:[Rate name]],0),MATCH(OP_CMAB!F$10,OP_TotalRates_RES_1[[#Headers],[Ausnet]:[United Energy]],0))*DiY)+
(IFERROR((INDEX(OP_TotalRates_RES_1[[Ausnet]:[United Energy]],MATCH("Block 1",OP_TotalRates_RES_1[[Rate name]:[Rate name]],0),MATCH(OP_CMAB!F$10,OP_TotalRates_RES_1[[#Headers],[Ausnet]:[United Energy]],0))*
INDEX(Input_Usage[[F-CurrentVDO_Input]:[F-NextVDO_Input]],MATCH(OP_CMAB!$D13&amp;" - Block 1",Input_Usage[[Ref]:[Ref]],0),MATCH(OP_CMAB!$D$7,Inputs!$I$133:$M$133,0))),0)+
IFERROR((INDEX(OP_TotalRates_RES_1[[Ausnet]:[United Energy]],MATCH("Balance",OP_TotalRates_RES_1[[Rate name]:[Rate name]],0),MATCH(OP_CMAB!F$10,OP_TotalRates_RES_1[[#Headers],[Ausnet]:[United Energy]],0))*
INDEX(Input_Usage[[F-CurrentVDO_Input]:[F-NextVDO_Input]],MATCH(OP_CMAB!$D13&amp;" - Balance",Input_Usage[[Ref]:[Ref]],0),MATCH(OP_CMAB!$D$7,Inputs!$I$133:$M$133,0))),0)+
IFERROR((INDEX(OP_TotalRates_RES_1[[Ausnet]:[United Energy]],MATCH("Single rate",OP_TotalRates_RES_1[[Rate name]:[Rate name]],0),MATCH(OP_CMAB!F$10,OP_TotalRates_RES_1[[#Headers],[Ausnet]:[United Energy]],0))*
INDEX(Input_Usage[[F-CurrentVDO_Input]:[F-NextVDO_Input]],MATCH(OP_CMAB!$D13&amp;" - Annual",Input_Usage[[Ref]:[Ref]],0),MATCH(OP_CMAB!$D$7,Inputs!$I$133:$M$133,0))),0)),0),
ROUNDUP(
(INDEX(OP_TotalRates_RES_1[[Ausnet]:[United Energy]],MATCH("TOU - supply",OP_TotalRates_RES_1[[Rate name]:[Rate name]],0),MATCH(OP_CMAB!F$10,OP_TotalRates_RES_1[[#Headers],[Ausnet]:[United Energy]],0))*DiY)+
(INDEX(OP_TotalRates_RES_1[[Ausnet]:[United Energy]],MATCH("Peak",OP_TotalRates_RES_1[[Rate name]:[Rate name]],0),MATCH(OP_CMAB!F$10,OP_TotalRates_RES_1[[#Headers],[Ausnet]:[United Energy]],0))*
INDEX(Input_Usage[[F-CurrentVDO_Input]:[F-NextVDO_Input]],MATCH($D13&amp;" - Peak",Input_Usage[[Ref]:[Ref]],0),MATCH($D$7,Inputs!$I$133:$M$133,0)))+
IFERROR((INDEX(OP_TotalRates_RES_1[[Ausnet]:[United Energy]],MATCH("TOU - Shoulder",OP_TotalRates_RES_1[[Rate name]:[Rate name]],0),MATCH(OP_CMAB!F$10,OP_TotalRates_RES_1[[#Headers],[Ausnet]:[United Energy]],0))*
INDEX(Input_Usage[[F-CurrentVDO_Input]:[F-NextVDO_Input]],MATCH($D13&amp;" - Shoulder",Input_Usage[[Ref]:[Ref]],0),MATCH($D$7,Inputs!$I$133:$M$133,0))),0)+
(INDEX(OP_TotalRates_RES_1[[Ausnet]:[United Energy]],MATCH("Off peak",OP_TotalRates_RES_1[[Rate name]:[Rate name]],0),MATCH(OP_CMAB!F$10,OP_TotalRates_RES_1[[#Headers],[Ausnet]:[United Energy]],0))*
INDEX(Input_Usage[[F-CurrentVDO_Input]:[F-NextVDO_Input]],MATCH($D13&amp;" - Off peak",Input_Usage[[Ref]:[Ref]],0),MATCH($D$7,Inputs!$I$133:$M$133,0))),0)),"-")</f>
        <v>2254</v>
      </c>
      <c r="G13" s="122">
        <f>IFERROR(
IF($D$7="VDO 2021 - Final",
ROUNDUP(
(INDEX(OP_TotalRates_RES_1[[Ausnet]:[United Energy]],MATCH("Anytime - supply",OP_TotalRates_RES_1[[Rate name]:[Rate name]],0),MATCH(OP_CMAB!G$10,OP_TotalRates_RES_1[[#Headers],[Ausnet]:[United Energy]],0))*DiY)+
(IFERROR((INDEX(OP_TotalRates_RES_1[[Ausnet]:[United Energy]],MATCH("Block 1",OP_TotalRates_RES_1[[Rate name]:[Rate name]],0),MATCH(OP_CMAB!G$10,OP_TotalRates_RES_1[[#Headers],[Ausnet]:[United Energy]],0))*
INDEX(Input_Usage[[F-CurrentVDO_Input]:[F-NextVDO_Input]],MATCH(OP_CMAB!$D13&amp;" - Block 1",Input_Usage[[Ref]:[Ref]],0),MATCH(OP_CMAB!$D$7,Inputs!$I$133:$M$133,0))),0)+
IFERROR((INDEX(OP_TotalRates_RES_1[[Ausnet]:[United Energy]],MATCH("Balance",OP_TotalRates_RES_1[[Rate name]:[Rate name]],0),MATCH(OP_CMAB!G$10,OP_TotalRates_RES_1[[#Headers],[Ausnet]:[United Energy]],0))*
INDEX(Input_Usage[[F-CurrentVDO_Input]:[F-NextVDO_Input]],MATCH(OP_CMAB!$D13&amp;" - Balance",Input_Usage[[Ref]:[Ref]],0),MATCH(OP_CMAB!$D$7,Inputs!$I$133:$M$133,0))),0)+
IFERROR((INDEX(OP_TotalRates_RES_1[[Ausnet]:[United Energy]],MATCH("Single rate",OP_TotalRates_RES_1[[Rate name]:[Rate name]],0),MATCH(OP_CMAB!G$10,OP_TotalRates_RES_1[[#Headers],[Ausnet]:[United Energy]],0))*
INDEX(Input_Usage[[F-CurrentVDO_Input]:[F-NextVDO_Input]],MATCH(OP_CMAB!$D13&amp;" - Annual",Input_Usage[[Ref]:[Ref]],0),MATCH(OP_CMAB!$D$7,Inputs!$I$133:$M$133,0))),0)),0),
ROUNDUP(
(INDEX(OP_TotalRates_RES_1[[Ausnet]:[United Energy]],MATCH("TOU - supply",OP_TotalRates_RES_1[[Rate name]:[Rate name]],0),MATCH(OP_CMAB!G$10,OP_TotalRates_RES_1[[#Headers],[Ausnet]:[United Energy]],0))*DiY)+
(INDEX(OP_TotalRates_RES_1[[Ausnet]:[United Energy]],MATCH("Peak",OP_TotalRates_RES_1[[Rate name]:[Rate name]],0),MATCH(OP_CMAB!G$10,OP_TotalRates_RES_1[[#Headers],[Ausnet]:[United Energy]],0))*
INDEX(Input_Usage[[F-CurrentVDO_Input]:[F-NextVDO_Input]],MATCH($D13&amp;" - Peak",Input_Usage[[Ref]:[Ref]],0),MATCH($D$7,Inputs!$I$133:$M$133,0)))+
IFERROR((INDEX(OP_TotalRates_RES_1[[Ausnet]:[United Energy]],MATCH("TOU - Shoulder",OP_TotalRates_RES_1[[Rate name]:[Rate name]],0),MATCH(OP_CMAB!G$10,OP_TotalRates_RES_1[[#Headers],[Ausnet]:[United Energy]],0))*
INDEX(Input_Usage[[F-CurrentVDO_Input]:[F-NextVDO_Input]],MATCH($D13&amp;" - Shoulder",Input_Usage[[Ref]:[Ref]],0),MATCH($D$7,Inputs!$I$133:$M$133,0))),0)+
(INDEX(OP_TotalRates_RES_1[[Ausnet]:[United Energy]],MATCH("Off peak",OP_TotalRates_RES_1[[Rate name]:[Rate name]],0),MATCH(OP_CMAB!G$10,OP_TotalRates_RES_1[[#Headers],[Ausnet]:[United Energy]],0))*
INDEX(Input_Usage[[F-CurrentVDO_Input]:[F-NextVDO_Input]],MATCH($D13&amp;" - Off peak",Input_Usage[[Ref]:[Ref]],0),MATCH($D$7,Inputs!$I$133:$M$133,0))),0)),"-")</f>
        <v>2233</v>
      </c>
      <c r="H13" s="122">
        <f>IFERROR(
IF($D$7="VDO 2021 - Final",
ROUNDUP(
(INDEX(OP_TotalRates_RES_1[[Ausnet]:[United Energy]],MATCH("Anytime - supply",OP_TotalRates_RES_1[[Rate name]:[Rate name]],0),MATCH(OP_CMAB!H$10,OP_TotalRates_RES_1[[#Headers],[Ausnet]:[United Energy]],0))*DiY)+
(IFERROR((INDEX(OP_TotalRates_RES_1[[Ausnet]:[United Energy]],MATCH("Block 1",OP_TotalRates_RES_1[[Rate name]:[Rate name]],0),MATCH(OP_CMAB!H$10,OP_TotalRates_RES_1[[#Headers],[Ausnet]:[United Energy]],0))*
INDEX(Input_Usage[[F-CurrentVDO_Input]:[F-NextVDO_Input]],MATCH(OP_CMAB!$D13&amp;" - Block 1",Input_Usage[[Ref]:[Ref]],0),MATCH(OP_CMAB!$D$7,Inputs!$I$133:$M$133,0))),0)+
IFERROR((INDEX(OP_TotalRates_RES_1[[Ausnet]:[United Energy]],MATCH("Balance",OP_TotalRates_RES_1[[Rate name]:[Rate name]],0),MATCH(OP_CMAB!H$10,OP_TotalRates_RES_1[[#Headers],[Ausnet]:[United Energy]],0))*
INDEX(Input_Usage[[F-CurrentVDO_Input]:[F-NextVDO_Input]],MATCH(OP_CMAB!$D13&amp;" - Balance",Input_Usage[[Ref]:[Ref]],0),MATCH(OP_CMAB!$D$7,Inputs!$I$133:$M$133,0))),0)+
IFERROR((INDEX(OP_TotalRates_RES_1[[Ausnet]:[United Energy]],MATCH("Single rate",OP_TotalRates_RES_1[[Rate name]:[Rate name]],0),MATCH(OP_CMAB!H$10,OP_TotalRates_RES_1[[#Headers],[Ausnet]:[United Energy]],0))*
INDEX(Input_Usage[[F-CurrentVDO_Input]:[F-NextVDO_Input]],MATCH(OP_CMAB!$D13&amp;" - Annual",Input_Usage[[Ref]:[Ref]],0),MATCH(OP_CMAB!$D$7,Inputs!$I$133:$M$133,0))),0)),0),
ROUNDUP(
(INDEX(OP_TotalRates_RES_1[[Ausnet]:[United Energy]],MATCH("TOU - supply",OP_TotalRates_RES_1[[Rate name]:[Rate name]],0),MATCH(OP_CMAB!H$10,OP_TotalRates_RES_1[[#Headers],[Ausnet]:[United Energy]],0))*DiY)+
(INDEX(OP_TotalRates_RES_1[[Ausnet]:[United Energy]],MATCH("Peak",OP_TotalRates_RES_1[[Rate name]:[Rate name]],0),MATCH(OP_CMAB!H$10,OP_TotalRates_RES_1[[#Headers],[Ausnet]:[United Energy]],0))*
INDEX(Input_Usage[[F-CurrentVDO_Input]:[F-NextVDO_Input]],MATCH($D13&amp;" - Peak",Input_Usage[[Ref]:[Ref]],0),MATCH($D$7,Inputs!$I$133:$M$133,0)))+
IFERROR((INDEX(OP_TotalRates_RES_1[[Ausnet]:[United Energy]],MATCH("TOU - Shoulder",OP_TotalRates_RES_1[[Rate name]:[Rate name]],0),MATCH(OP_CMAB!H$10,OP_TotalRates_RES_1[[#Headers],[Ausnet]:[United Energy]],0))*
INDEX(Input_Usage[[F-CurrentVDO_Input]:[F-NextVDO_Input]],MATCH($D13&amp;" - Shoulder",Input_Usage[[Ref]:[Ref]],0),MATCH($D$7,Inputs!$I$133:$M$133,0))),0)+
(INDEX(OP_TotalRates_RES_1[[Ausnet]:[United Energy]],MATCH("Off peak",OP_TotalRates_RES_1[[Rate name]:[Rate name]],0),MATCH(OP_CMAB!H$10,OP_TotalRates_RES_1[[#Headers],[Ausnet]:[United Energy]],0))*
INDEX(Input_Usage[[F-CurrentVDO_Input]:[F-NextVDO_Input]],MATCH($D13&amp;" - Off peak",Input_Usage[[Ref]:[Ref]],0),MATCH($D$7,Inputs!$I$133:$M$133,0))),0)),"-")</f>
        <v>2363</v>
      </c>
      <c r="I13" s="122">
        <f>IFERROR(
IF($D$7="VDO 2021 - Final",
ROUNDUP(
(INDEX(OP_TotalRates_RES_1[[Ausnet]:[United Energy]],MATCH("Anytime - supply",OP_TotalRates_RES_1[[Rate name]:[Rate name]],0),MATCH(OP_CMAB!I$10,OP_TotalRates_RES_1[[#Headers],[Ausnet]:[United Energy]],0))*DiY)+
(IFERROR((INDEX(OP_TotalRates_RES_1[[Ausnet]:[United Energy]],MATCH("Block 1",OP_TotalRates_RES_1[[Rate name]:[Rate name]],0),MATCH(OP_CMAB!I$10,OP_TotalRates_RES_1[[#Headers],[Ausnet]:[United Energy]],0))*
INDEX(Input_Usage[[F-CurrentVDO_Input]:[F-NextVDO_Input]],MATCH(OP_CMAB!$D13&amp;" - Block 1",Input_Usage[[Ref]:[Ref]],0),MATCH(OP_CMAB!$D$7,Inputs!$I$133:$M$133,0))),0)+
IFERROR((INDEX(OP_TotalRates_RES_1[[Ausnet]:[United Energy]],MATCH("Balance",OP_TotalRates_RES_1[[Rate name]:[Rate name]],0),MATCH(OP_CMAB!I$10,OP_TotalRates_RES_1[[#Headers],[Ausnet]:[United Energy]],0))*
INDEX(Input_Usage[[F-CurrentVDO_Input]:[F-NextVDO_Input]],MATCH(OP_CMAB!$D13&amp;" - Balance",Input_Usage[[Ref]:[Ref]],0),MATCH(OP_CMAB!$D$7,Inputs!$I$133:$M$133,0))),0)+
IFERROR((INDEX(OP_TotalRates_RES_1[[Ausnet]:[United Energy]],MATCH("Single rate",OP_TotalRates_RES_1[[Rate name]:[Rate name]],0),MATCH(OP_CMAB!I$10,OP_TotalRates_RES_1[[#Headers],[Ausnet]:[United Energy]],0))*
INDEX(Input_Usage[[F-CurrentVDO_Input]:[F-NextVDO_Input]],MATCH(OP_CMAB!$D13&amp;" - Annual",Input_Usage[[Ref]:[Ref]],0),MATCH(OP_CMAB!$D$7,Inputs!$I$133:$M$133,0))),0)),0),
ROUNDUP(
(INDEX(OP_TotalRates_RES_1[[Ausnet]:[United Energy]],MATCH("TOU - supply",OP_TotalRates_RES_1[[Rate name]:[Rate name]],0),MATCH(OP_CMAB!I$10,OP_TotalRates_RES_1[[#Headers],[Ausnet]:[United Energy]],0))*DiY)+
(INDEX(OP_TotalRates_RES_1[[Ausnet]:[United Energy]],MATCH("Peak",OP_TotalRates_RES_1[[Rate name]:[Rate name]],0),MATCH(OP_CMAB!I$10,OP_TotalRates_RES_1[[#Headers],[Ausnet]:[United Energy]],0))*
INDEX(Input_Usage[[F-CurrentVDO_Input]:[F-NextVDO_Input]],MATCH($D13&amp;" - Peak",Input_Usage[[Ref]:[Ref]],0),MATCH($D$7,Inputs!$I$133:$M$133,0)))+
IFERROR((INDEX(OP_TotalRates_RES_1[[Ausnet]:[United Energy]],MATCH("TOU - Shoulder",OP_TotalRates_RES_1[[Rate name]:[Rate name]],0),MATCH(OP_CMAB!I$10,OP_TotalRates_RES_1[[#Headers],[Ausnet]:[United Energy]],0))*
INDEX(Input_Usage[[F-CurrentVDO_Input]:[F-NextVDO_Input]],MATCH($D13&amp;" - Shoulder",Input_Usage[[Ref]:[Ref]],0),MATCH($D$7,Inputs!$I$133:$M$133,0))),0)+
(INDEX(OP_TotalRates_RES_1[[Ausnet]:[United Energy]],MATCH("Off peak",OP_TotalRates_RES_1[[Rate name]:[Rate name]],0),MATCH(OP_CMAB!I$10,OP_TotalRates_RES_1[[#Headers],[Ausnet]:[United Energy]],0))*
INDEX(Input_Usage[[F-CurrentVDO_Input]:[F-NextVDO_Input]],MATCH($D13&amp;" - Off peak",Input_Usage[[Ref]:[Ref]],0),MATCH($D$7,Inputs!$I$133:$M$133,0))),0)),"-")</f>
        <v>2313</v>
      </c>
      <c r="K13" s="45" t="s">
        <v>101</v>
      </c>
      <c r="L13" s="45" t="s">
        <v>236</v>
      </c>
      <c r="M13" s="122">
        <f>IFERROR(
IF($D$7="VDO 2021 - Final",
ROUNDUP(
(INDEX(OP_TotalRates_SME_1[[Ausnet]:[United Energy]],MATCH("Anytime - supply",OP_TotalRates_SME_1[[Rate name]:[Rate name]],0),MATCH(OP_CMAB!M$10,OP_TotalRates_SME_1[[#Headers],[Ausnet]:[United Energy]],0))*DiY)+
(IFERROR((INDEX(OP_TotalRates_SME_1[[Ausnet]:[United Energy]],MATCH("Block 1",OP_TotalRates_SME_1[[Rate name]:[Rate name]],0),MATCH(OP_CMAB!M$10,OP_TotalRates_SME_1[[#Headers],[Ausnet]:[United Energy]],0))*
INDEX(Input_Usage[[F-CurrentVDO_Input]:[F-NextVDO_Input]],MATCH(OP_CMAB!$L13&amp;" - Block 1",Input_Usage[[Ref]:[Ref]],0),MATCH(OP_CMAB!$D$7,Inputs!$I$133:$M$133,0))),0)+
IFERROR((INDEX(OP_TotalRates_SME_1[[Ausnet]:[United Energy]],MATCH("Balance",OP_TotalRates_SME_1[[Rate name]:[Rate name]],0),MATCH(OP_CMAB!M$10,OP_TotalRates_SME_1[[#Headers],[Ausnet]:[United Energy]],0))*
INDEX(Input_Usage[[F-CurrentVDO_Input]:[F-NextVDO_Input]],MATCH(OP_CMAB!$L13&amp;" - Balance",Input_Usage[[Ref]:[Ref]],0),MATCH(OP_CMAB!$D$7,Inputs!$I$133:$M$133,0))),0)+
IFERROR((INDEX(OP_TotalRates_SME_1[[Ausnet]:[United Energy]],MATCH("Single rate",OP_TotalRates_SME_1[[Rate name]:[Rate name]],0),MATCH(OP_CMAB!M$10,OP_TotalRates_SME_1[[#Headers],[Ausnet]:[United Energy]],0))*
INDEX(Input_Usage[[F-CurrentVDO_Input]:[F-NextVDO_Input]],MATCH(OP_CMAB!$L13&amp;" - Annual",Input_Usage[[Ref]:[Ref]],0),MATCH(OP_CMAB!$D$7,Inputs!$I$133:$M$133,0))),0)),0),
ROUNDUP(
(INDEX(OP_TotalRates_SME_1[[Ausnet]:[United Energy]],MATCH("TOU - supply",OP_TotalRates_SME_1[[Rate name]:[Rate name]],0),MATCH(OP_CMAB!M$10,OP_TotalRates_SME_1[[#Headers],[Ausnet]:[United Energy]],0))*DiY)+
(INDEX(OP_TotalRates_SME_1[[Ausnet]:[United Energy]],MATCH("Peak",OP_TotalRates_SME_1[[Rate name]:[Rate name]],0),MATCH(OP_CMAB!M$10,OP_TotalRates_SME_1[[#Headers],[Ausnet]:[United Energy]],0))*
INDEX(Input_Usage[[F-CurrentVDO_Input]:[F-NextVDO_Input]],MATCH($L13&amp;" - Peak",Input_Usage[[Ref]:[Ref]],0),MATCH($D$7,Inputs!$I$133:$M$133,0)))+
IFERROR((INDEX(OP_TotalRates_SME_1[[Ausnet]:[United Energy]],MATCH("TOU - Shoulder",OP_TotalRates_SME_1[[Rate name]:[Rate name]],0),MATCH(OP_CMAB!M$10,OP_TotalRates_SME_1[[#Headers],[Ausnet]:[United Energy]],0))*
INDEX(Input_Usage[[F-CurrentVDO_Input]:[F-NextVDO_Input]],MATCH($L13&amp;" - Shoulder",Input_Usage[[Ref]:[Ref]],0),MATCH($D$7,Inputs!$I$133:$M$133,0))),0)+
(INDEX(OP_TotalRates_SME_1[[Ausnet]:[United Energy]],MATCH("Off peak",OP_TotalRates_SME_1[[Rate name]:[Rate name]],0),MATCH(OP_CMAB!M$10,OP_TotalRates_SME_1[[#Headers],[Ausnet]:[United Energy]],0))*
INDEX(Input_Usage[[F-CurrentVDO_Input]:[F-NextVDO_Input]],MATCH($L13&amp;" - Off peak",Input_Usage[[Ref]:[Ref]],0),MATCH($D$7,Inputs!$I$133:$M$133,0))),0)),"-")</f>
        <v>10758</v>
      </c>
      <c r="N13" s="122">
        <f>IFERROR(
IF($D$7="VDO 2021 - Final",
ROUNDUP(
(INDEX(OP_TotalRates_SME_1[[Ausnet]:[United Energy]],MATCH("Anytime - supply",OP_TotalRates_SME_1[[Rate name]:[Rate name]],0),MATCH(OP_CMAB!N$10,OP_TotalRates_SME_1[[#Headers],[Ausnet]:[United Energy]],0))*DiY)+
(IFERROR((INDEX(OP_TotalRates_SME_1[[Ausnet]:[United Energy]],MATCH("Block 1",OP_TotalRates_SME_1[[Rate name]:[Rate name]],0),MATCH(OP_CMAB!N$10,OP_TotalRates_SME_1[[#Headers],[Ausnet]:[United Energy]],0))*
INDEX(Input_Usage[[F-CurrentVDO_Input]:[F-NextVDO_Input]],MATCH(OP_CMAB!$L13&amp;" - Block 1",Input_Usage[[Ref]:[Ref]],0),MATCH(OP_CMAB!$D$7,Inputs!$I$133:$M$133,0))),0)+
IFERROR((INDEX(OP_TotalRates_SME_1[[Ausnet]:[United Energy]],MATCH("Balance",OP_TotalRates_SME_1[[Rate name]:[Rate name]],0),MATCH(OP_CMAB!N$10,OP_TotalRates_SME_1[[#Headers],[Ausnet]:[United Energy]],0))*
INDEX(Input_Usage[[F-CurrentVDO_Input]:[F-NextVDO_Input]],MATCH(OP_CMAB!$L13&amp;" - Balance",Input_Usage[[Ref]:[Ref]],0),MATCH(OP_CMAB!$D$7,Inputs!$I$133:$M$133,0))),0)+
IFERROR((INDEX(OP_TotalRates_SME_1[[Ausnet]:[United Energy]],MATCH("Single rate",OP_TotalRates_SME_1[[Rate name]:[Rate name]],0),MATCH(OP_CMAB!N$10,OP_TotalRates_SME_1[[#Headers],[Ausnet]:[United Energy]],0))*
INDEX(Input_Usage[[F-CurrentVDO_Input]:[F-NextVDO_Input]],MATCH(OP_CMAB!$L13&amp;" - Annual",Input_Usage[[Ref]:[Ref]],0),MATCH(OP_CMAB!$D$7,Inputs!$I$133:$M$133,0))),0)),0),
ROUNDUP(
(INDEX(OP_TotalRates_SME_1[[Ausnet]:[United Energy]],MATCH("TOU - supply",OP_TotalRates_SME_1[[Rate name]:[Rate name]],0),MATCH(OP_CMAB!N$10,OP_TotalRates_SME_1[[#Headers],[Ausnet]:[United Energy]],0))*DiY)+
(INDEX(OP_TotalRates_SME_1[[Ausnet]:[United Energy]],MATCH("Peak",OP_TotalRates_SME_1[[Rate name]:[Rate name]],0),MATCH(OP_CMAB!N$10,OP_TotalRates_SME_1[[#Headers],[Ausnet]:[United Energy]],0))*
INDEX(Input_Usage[[F-CurrentVDO_Input]:[F-NextVDO_Input]],MATCH($L13&amp;" - Peak",Input_Usage[[Ref]:[Ref]],0),MATCH($D$7,Inputs!$I$133:$M$133,0)))+
IFERROR((INDEX(OP_TotalRates_SME_1[[Ausnet]:[United Energy]],MATCH("TOU - Shoulder",OP_TotalRates_SME_1[[Rate name]:[Rate name]],0),MATCH(OP_CMAB!N$10,OP_TotalRates_SME_1[[#Headers],[Ausnet]:[United Energy]],0))*
INDEX(Input_Usage[[F-CurrentVDO_Input]:[F-NextVDO_Input]],MATCH($L13&amp;" - Shoulder",Input_Usage[[Ref]:[Ref]],0),MATCH($D$7,Inputs!$I$133:$M$133,0))),0)+
(INDEX(OP_TotalRates_SME_1[[Ausnet]:[United Energy]],MATCH("Off peak",OP_TotalRates_SME_1[[Rate name]:[Rate name]],0),MATCH(OP_CMAB!N$10,OP_TotalRates_SME_1[[#Headers],[Ausnet]:[United Energy]],0))*
INDEX(Input_Usage[[F-CurrentVDO_Input]:[F-NextVDO_Input]],MATCH($L13&amp;" - Off peak",Input_Usage[[Ref]:[Ref]],0),MATCH($D$7,Inputs!$I$133:$M$133,0))),0)),"-")</f>
        <v>9505</v>
      </c>
      <c r="O13" s="122">
        <f>IFERROR(
IF($D$7="VDO 2021 - Final",
ROUNDUP(
(INDEX(OP_TotalRates_SME_1[[Ausnet]:[United Energy]],MATCH("Anytime - supply",OP_TotalRates_SME_1[[Rate name]:[Rate name]],0),MATCH(OP_CMAB!O$10,OP_TotalRates_SME_1[[#Headers],[Ausnet]:[United Energy]],0))*DiY)+
(IFERROR((INDEX(OP_TotalRates_SME_1[[Ausnet]:[United Energy]],MATCH("Block 1",OP_TotalRates_SME_1[[Rate name]:[Rate name]],0),MATCH(OP_CMAB!O$10,OP_TotalRates_SME_1[[#Headers],[Ausnet]:[United Energy]],0))*
INDEX(Input_Usage[[F-CurrentVDO_Input]:[F-NextVDO_Input]],MATCH(OP_CMAB!$L13&amp;" - Block 1",Input_Usage[[Ref]:[Ref]],0),MATCH(OP_CMAB!$D$7,Inputs!$I$133:$M$133,0))),0)+
IFERROR((INDEX(OP_TotalRates_SME_1[[Ausnet]:[United Energy]],MATCH("Balance",OP_TotalRates_SME_1[[Rate name]:[Rate name]],0),MATCH(OP_CMAB!O$10,OP_TotalRates_SME_1[[#Headers],[Ausnet]:[United Energy]],0))*
INDEX(Input_Usage[[F-CurrentVDO_Input]:[F-NextVDO_Input]],MATCH(OP_CMAB!$L13&amp;" - Balance",Input_Usage[[Ref]:[Ref]],0),MATCH(OP_CMAB!$D$7,Inputs!$I$133:$M$133,0))),0)+
IFERROR((INDEX(OP_TotalRates_SME_1[[Ausnet]:[United Energy]],MATCH("Single rate",OP_TotalRates_SME_1[[Rate name]:[Rate name]],0),MATCH(OP_CMAB!O$10,OP_TotalRates_SME_1[[#Headers],[Ausnet]:[United Energy]],0))*
INDEX(Input_Usage[[F-CurrentVDO_Input]:[F-NextVDO_Input]],MATCH(OP_CMAB!$L13&amp;" - Annual",Input_Usage[[Ref]:[Ref]],0),MATCH(OP_CMAB!$D$7,Inputs!$I$133:$M$133,0))),0)),0),
ROUNDUP(
(INDEX(OP_TotalRates_SME_1[[Ausnet]:[United Energy]],MATCH("TOU - supply",OP_TotalRates_SME_1[[Rate name]:[Rate name]],0),MATCH(OP_CMAB!O$10,OP_TotalRates_SME_1[[#Headers],[Ausnet]:[United Energy]],0))*DiY)+
(INDEX(OP_TotalRates_SME_1[[Ausnet]:[United Energy]],MATCH("Peak",OP_TotalRates_SME_1[[Rate name]:[Rate name]],0),MATCH(OP_CMAB!O$10,OP_TotalRates_SME_1[[#Headers],[Ausnet]:[United Energy]],0))*
INDEX(Input_Usage[[F-CurrentVDO_Input]:[F-NextVDO_Input]],MATCH($L13&amp;" - Peak",Input_Usage[[Ref]:[Ref]],0),MATCH($D$7,Inputs!$I$133:$M$133,0)))+
IFERROR((INDEX(OP_TotalRates_SME_1[[Ausnet]:[United Energy]],MATCH("TOU - Shoulder",OP_TotalRates_SME_1[[Rate name]:[Rate name]],0),MATCH(OP_CMAB!O$10,OP_TotalRates_SME_1[[#Headers],[Ausnet]:[United Energy]],0))*
INDEX(Input_Usage[[F-CurrentVDO_Input]:[F-NextVDO_Input]],MATCH($L13&amp;" - Shoulder",Input_Usage[[Ref]:[Ref]],0),MATCH($D$7,Inputs!$I$133:$M$133,0))),0)+
(INDEX(OP_TotalRates_SME_1[[Ausnet]:[United Energy]],MATCH("Off peak",OP_TotalRates_SME_1[[Rate name]:[Rate name]],0),MATCH(OP_CMAB!O$10,OP_TotalRates_SME_1[[#Headers],[Ausnet]:[United Energy]],0))*
INDEX(Input_Usage[[F-CurrentVDO_Input]:[F-NextVDO_Input]],MATCH($L13&amp;" - Off peak",Input_Usage[[Ref]:[Ref]],0),MATCH($D$7,Inputs!$I$133:$M$133,0))),0)),"-")</f>
        <v>9849</v>
      </c>
      <c r="P13" s="122">
        <f>IFERROR(
IF($D$7="VDO 2021 - Final",
ROUNDUP(
(INDEX(OP_TotalRates_SME_1[[Ausnet]:[United Energy]],MATCH("Anytime - supply",OP_TotalRates_SME_1[[Rate name]:[Rate name]],0),MATCH(OP_CMAB!P$10,OP_TotalRates_SME_1[[#Headers],[Ausnet]:[United Energy]],0))*DiY)+
(IFERROR((INDEX(OP_TotalRates_SME_1[[Ausnet]:[United Energy]],MATCH("Block 1",OP_TotalRates_SME_1[[Rate name]:[Rate name]],0),MATCH(OP_CMAB!P$10,OP_TotalRates_SME_1[[#Headers],[Ausnet]:[United Energy]],0))*
INDEX(Input_Usage[[F-CurrentVDO_Input]:[F-NextVDO_Input]],MATCH(OP_CMAB!$L13&amp;" - Block 1",Input_Usage[[Ref]:[Ref]],0),MATCH(OP_CMAB!$D$7,Inputs!$I$133:$M$133,0))),0)+
IFERROR((INDEX(OP_TotalRates_SME_1[[Ausnet]:[United Energy]],MATCH("Balance",OP_TotalRates_SME_1[[Rate name]:[Rate name]],0),MATCH(OP_CMAB!P$10,OP_TotalRates_SME_1[[#Headers],[Ausnet]:[United Energy]],0))*
INDEX(Input_Usage[[F-CurrentVDO_Input]:[F-NextVDO_Input]],MATCH(OP_CMAB!$L13&amp;" - Balance",Input_Usage[[Ref]:[Ref]],0),MATCH(OP_CMAB!$D$7,Inputs!$I$133:$M$133,0))),0)+
IFERROR((INDEX(OP_TotalRates_SME_1[[Ausnet]:[United Energy]],MATCH("Single rate",OP_TotalRates_SME_1[[Rate name]:[Rate name]],0),MATCH(OP_CMAB!P$10,OP_TotalRates_SME_1[[#Headers],[Ausnet]:[United Energy]],0))*
INDEX(Input_Usage[[F-CurrentVDO_Input]:[F-NextVDO_Input]],MATCH(OP_CMAB!$L13&amp;" - Annual",Input_Usage[[Ref]:[Ref]],0),MATCH(OP_CMAB!$D$7,Inputs!$I$133:$M$133,0))),0)),0),
ROUNDUP(
(INDEX(OP_TotalRates_SME_1[[Ausnet]:[United Energy]],MATCH("TOU - supply",OP_TotalRates_SME_1[[Rate name]:[Rate name]],0),MATCH(OP_CMAB!P$10,OP_TotalRates_SME_1[[#Headers],[Ausnet]:[United Energy]],0))*DiY)+
(INDEX(OP_TotalRates_SME_1[[Ausnet]:[United Energy]],MATCH("Peak",OP_TotalRates_SME_1[[Rate name]:[Rate name]],0),MATCH(OP_CMAB!P$10,OP_TotalRates_SME_1[[#Headers],[Ausnet]:[United Energy]],0))*
INDEX(Input_Usage[[F-CurrentVDO_Input]:[F-NextVDO_Input]],MATCH($L13&amp;" - Peak",Input_Usage[[Ref]:[Ref]],0),MATCH($D$7,Inputs!$I$133:$M$133,0)))+
IFERROR((INDEX(OP_TotalRates_SME_1[[Ausnet]:[United Energy]],MATCH("TOU - Shoulder",OP_TotalRates_SME_1[[Rate name]:[Rate name]],0),MATCH(OP_CMAB!P$10,OP_TotalRates_SME_1[[#Headers],[Ausnet]:[United Energy]],0))*
INDEX(Input_Usage[[F-CurrentVDO_Input]:[F-NextVDO_Input]],MATCH($L13&amp;" - Shoulder",Input_Usage[[Ref]:[Ref]],0),MATCH($D$7,Inputs!$I$133:$M$133,0))),0)+
(INDEX(OP_TotalRates_SME_1[[Ausnet]:[United Energy]],MATCH("Off peak",OP_TotalRates_SME_1[[Rate name]:[Rate name]],0),MATCH(OP_CMAB!P$10,OP_TotalRates_SME_1[[#Headers],[Ausnet]:[United Energy]],0))*
INDEX(Input_Usage[[F-CurrentVDO_Input]:[F-NextVDO_Input]],MATCH($L13&amp;" - Off peak",Input_Usage[[Ref]:[Ref]],0),MATCH($D$7,Inputs!$I$133:$M$133,0))),0)),"-")</f>
        <v>9876</v>
      </c>
      <c r="Q13" s="122">
        <f>IFERROR(
IF($D$7="VDO 2021 - Final",
ROUNDUP(
(INDEX(OP_TotalRates_SME_1[[Ausnet]:[United Energy]],MATCH("Anytime - supply",OP_TotalRates_SME_1[[Rate name]:[Rate name]],0),MATCH(OP_CMAB!Q$10,OP_TotalRates_SME_1[[#Headers],[Ausnet]:[United Energy]],0))*DiY)+
(IFERROR((INDEX(OP_TotalRates_SME_1[[Ausnet]:[United Energy]],MATCH("Block 1",OP_TotalRates_SME_1[[Rate name]:[Rate name]],0),MATCH(OP_CMAB!Q$10,OP_TotalRates_SME_1[[#Headers],[Ausnet]:[United Energy]],0))*
INDEX(Input_Usage[[F-CurrentVDO_Input]:[F-NextVDO_Input]],MATCH(OP_CMAB!$L13&amp;" - Block 1",Input_Usage[[Ref]:[Ref]],0),MATCH(OP_CMAB!$D$7,Inputs!$I$133:$M$133,0))),0)+
IFERROR((INDEX(OP_TotalRates_SME_1[[Ausnet]:[United Energy]],MATCH("Balance",OP_TotalRates_SME_1[[Rate name]:[Rate name]],0),MATCH(OP_CMAB!Q$10,OP_TotalRates_SME_1[[#Headers],[Ausnet]:[United Energy]],0))*
INDEX(Input_Usage[[F-CurrentVDO_Input]:[F-NextVDO_Input]],MATCH(OP_CMAB!$L13&amp;" - Balance",Input_Usage[[Ref]:[Ref]],0),MATCH(OP_CMAB!$D$7,Inputs!$I$133:$M$133,0))),0)+
IFERROR((INDEX(OP_TotalRates_SME_1[[Ausnet]:[United Energy]],MATCH("Single rate",OP_TotalRates_SME_1[[Rate name]:[Rate name]],0),MATCH(OP_CMAB!Q$10,OP_TotalRates_SME_1[[#Headers],[Ausnet]:[United Energy]],0))*
INDEX(Input_Usage[[F-CurrentVDO_Input]:[F-NextVDO_Input]],MATCH(OP_CMAB!$L13&amp;" - Annual",Input_Usage[[Ref]:[Ref]],0),MATCH(OP_CMAB!$D$7,Inputs!$I$133:$M$133,0))),0)),0),
ROUNDUP(
(INDEX(OP_TotalRates_SME_1[[Ausnet]:[United Energy]],MATCH("TOU - supply",OP_TotalRates_SME_1[[Rate name]:[Rate name]],0),MATCH(OP_CMAB!Q$10,OP_TotalRates_SME_1[[#Headers],[Ausnet]:[United Energy]],0))*DiY)+
(INDEX(OP_TotalRates_SME_1[[Ausnet]:[United Energy]],MATCH("Peak",OP_TotalRates_SME_1[[Rate name]:[Rate name]],0),MATCH(OP_CMAB!Q$10,OP_TotalRates_SME_1[[#Headers],[Ausnet]:[United Energy]],0))*
INDEX(Input_Usage[[F-CurrentVDO_Input]:[F-NextVDO_Input]],MATCH($L13&amp;" - Peak",Input_Usage[[Ref]:[Ref]],0),MATCH($D$7,Inputs!$I$133:$M$133,0)))+
IFERROR((INDEX(OP_TotalRates_SME_1[[Ausnet]:[United Energy]],MATCH("TOU - Shoulder",OP_TotalRates_SME_1[[Rate name]:[Rate name]],0),MATCH(OP_CMAB!Q$10,OP_TotalRates_SME_1[[#Headers],[Ausnet]:[United Energy]],0))*
INDEX(Input_Usage[[F-CurrentVDO_Input]:[F-NextVDO_Input]],MATCH($L13&amp;" - Shoulder",Input_Usage[[Ref]:[Ref]],0),MATCH($D$7,Inputs!$I$133:$M$133,0))),0)+
(INDEX(OP_TotalRates_SME_1[[Ausnet]:[United Energy]],MATCH("Off peak",OP_TotalRates_SME_1[[Rate name]:[Rate name]],0),MATCH(OP_CMAB!Q$10,OP_TotalRates_SME_1[[#Headers],[Ausnet]:[United Energy]],0))*
INDEX(Input_Usage[[F-CurrentVDO_Input]:[F-NextVDO_Input]],MATCH($L13&amp;" - Off peak",Input_Usage[[Ref]:[Ref]],0),MATCH($D$7,Inputs!$I$133:$M$133,0))),0)),"-")</f>
        <v>9810</v>
      </c>
    </row>
    <row r="14" spans="1:18" hidden="1" x14ac:dyDescent="0.25"/>
    <row r="15" spans="1:18" ht="15.75" hidden="1" x14ac:dyDescent="0.25">
      <c r="E15" s="94">
        <f>IF($D$21="VDO 2021 - Final",
IF(E11=
ROUNDUP(
(INDEX(OP_TotalRates_RES_1[[Ausnet]:[United Energy]],MATCH("Anytime - supply",OP_TotalRates_RES_1[Rate name],0),MATCH(OP_CMAB!E$24,OP_TotalRates_RES_1[[#Headers],[Ausnet]:[United Energy]],0))*DiY)+
(IFERROR((INDEX(OP_TotalRates_RES_1[[Ausnet]:[United Energy]],MATCH("Block 1",OP_TotalRates_RES_1[Rate name],0),MATCH(OP_CMAB!E$24,OP_TotalRates_RES_1[[#Headers],[Ausnet]:[United Energy]],0))*
INDEX(Input_Usage[[F-CurrentVDO_Input]:[F-NextVDO_Input]],MATCH(OP_CMAB!$D11&amp;" - Block 1",Input_Usage[Ref],0),MATCH(OP_CMAB!$D$21,Inputs!$I$133:$M$133,0))),0)+
IFERROR((INDEX(OP_TotalRates_RES_1[[Ausnet]:[United Energy]],MATCH("Balance",OP_TotalRates_RES_1[Rate name],0),MATCH(OP_CMAB!E$24,OP_TotalRates_RES_1[[#Headers],[Ausnet]:[United Energy]],0))*
INDEX(Input_Usage[[F-CurrentVDO_Input]:[F-NextVDO_Input]],MATCH(OP_CMAB!$D11&amp;" - Balance",Input_Usage[Ref],0),MATCH(OP_CMAB!$D$21,Inputs!$I$133:$M$133,0))),0)+
IFERROR((INDEX(OP_TotalRates_RES_1[[Ausnet]:[United Energy]],MATCH("Single rate",OP_TotalRates_RES_1[Rate name],0),MATCH(OP_CMAB!E$24,OP_TotalRates_RES_1[[#Headers],[Ausnet]:[United Energy]],0))*
INDEX(Input_Usage[[F-CurrentVDO_Input]:[F-NextVDO_Input]],MATCH(OP_CMAB!$D11&amp;" - Annual",Input_Usage[Ref],0),MATCH(OP_CMAB!$D$21,Inputs!$I$133:$M$133,0))),0)),0),0,1),
IF(E11=
ROUNDUP(
(INDEX(OP_TotalRates_RES_1[[Ausnet]:[United Energy]],MATCH("TOU - supply",OP_TotalRates_RES_1[Rate name],0),MATCH(OP_CMAB!E$24,OP_TotalRates_RES_1[[#Headers],[Ausnet]:[United Energy]],0))*DiY)+
(INDEX(OP_TotalRates_RES_1[[Ausnet]:[United Energy]],MATCH("Peak",OP_TotalRates_RES_1[Rate name],0),MATCH(OP_CMAB!E$24,OP_TotalRates_RES_1[[#Headers],[Ausnet]:[United Energy]],0))*
INDEX(Input_Usage[[F-CurrentVDO_Input]:[F-NextVDO_Input]],MATCH($D11&amp;" - Peak",Input_Usage[Ref],0),MATCH($D$21,Inputs!$I$133:$M$133,0)))+
IFERROR((INDEX(OP_TotalRates_RES_1[[Ausnet]:[United Energy]],MATCH("TOU - Shoulder",OP_TotalRates_RES_1[Rate name],0),MATCH(OP_CMAB!E$24,OP_TotalRates_RES_1[[#Headers],[Ausnet]:[United Energy]],0))*
INDEX(Input_Usage[[F-CurrentVDO_Input]:[F-NextVDO_Input]],MATCH($D11&amp;" - Shoulder",Input_Usage[Ref],0),MATCH($D$21,Inputs!$I$133:$M$133,0))),0)+
(INDEX(OP_TotalRates_RES_1[[Ausnet]:[United Energy]],MATCH("Off peak",OP_TotalRates_RES_1[Rate name],0),MATCH(OP_CMAB!E$24,OP_TotalRates_RES_1[[#Headers],[Ausnet]:[United Energy]],0))*
INDEX(Input_Usage[[F-CurrentVDO_Input]:[F-NextVDO_Input]],MATCH($D11&amp;" - Off peak",Input_Usage[Ref],0),MATCH($D$21,Inputs!$I$133:$M$133,0))),0),0,1))</f>
        <v>0</v>
      </c>
      <c r="F15" s="94">
        <f>IF($D$21="VDO 2021 - Final",
IF(F11=
ROUNDUP(
(INDEX(OP_TotalRates_RES_1[[Ausnet]:[United Energy]],MATCH("Anytime - supply",OP_TotalRates_RES_1[Rate name],0),MATCH(OP_CMAB!F$24,OP_TotalRates_RES_1[[#Headers],[Ausnet]:[United Energy]],0))*DiY)+
(IFERROR((INDEX(OP_TotalRates_RES_1[[Ausnet]:[United Energy]],MATCH("Block 1",OP_TotalRates_RES_1[Rate name],0),MATCH(OP_CMAB!F$24,OP_TotalRates_RES_1[[#Headers],[Ausnet]:[United Energy]],0))*
INDEX(Input_Usage[[F-CurrentVDO_Input]:[F-NextVDO_Input]],MATCH(OP_CMAB!$D11&amp;" - Block 1",Input_Usage[Ref],0),MATCH(OP_CMAB!$D$21,Inputs!$I$133:$M$133,0))),0)+
IFERROR((INDEX(OP_TotalRates_RES_1[[Ausnet]:[United Energy]],MATCH("Balance",OP_TotalRates_RES_1[Rate name],0),MATCH(OP_CMAB!F$24,OP_TotalRates_RES_1[[#Headers],[Ausnet]:[United Energy]],0))*
INDEX(Input_Usage[[F-CurrentVDO_Input]:[F-NextVDO_Input]],MATCH(OP_CMAB!$D11&amp;" - Balance",Input_Usage[Ref],0),MATCH(OP_CMAB!$D$21,Inputs!$I$133:$M$133,0))),0)+
IFERROR((INDEX(OP_TotalRates_RES_1[[Ausnet]:[United Energy]],MATCH("Single rate",OP_TotalRates_RES_1[Rate name],0),MATCH(OP_CMAB!F$24,OP_TotalRates_RES_1[[#Headers],[Ausnet]:[United Energy]],0))*
INDEX(Input_Usage[[F-CurrentVDO_Input]:[F-NextVDO_Input]],MATCH(OP_CMAB!$D11&amp;" - Annual",Input_Usage[Ref],0),MATCH(OP_CMAB!$D$21,Inputs!$I$133:$M$133,0))),0)),0),0,1),
IF(F11=
ROUNDUP(
(INDEX(OP_TotalRates_RES_1[[Ausnet]:[United Energy]],MATCH("TOU - supply",OP_TotalRates_RES_1[Rate name],0),MATCH(OP_CMAB!F$24,OP_TotalRates_RES_1[[#Headers],[Ausnet]:[United Energy]],0))*DiY)+
(INDEX(OP_TotalRates_RES_1[[Ausnet]:[United Energy]],MATCH("Peak",OP_TotalRates_RES_1[Rate name],0),MATCH(OP_CMAB!F$24,OP_TotalRates_RES_1[[#Headers],[Ausnet]:[United Energy]],0))*
INDEX(Input_Usage[[F-CurrentVDO_Input]:[F-NextVDO_Input]],MATCH($D11&amp;" - Peak",Input_Usage[Ref],0),MATCH($D$21,Inputs!$I$133:$M$133,0)))+
IFERROR((INDEX(OP_TotalRates_RES_1[[Ausnet]:[United Energy]],MATCH("TOU - Shoulder",OP_TotalRates_RES_1[Rate name],0),MATCH(OP_CMAB!F$24,OP_TotalRates_RES_1[[#Headers],[Ausnet]:[United Energy]],0))*
INDEX(Input_Usage[[F-CurrentVDO_Input]:[F-NextVDO_Input]],MATCH($D11&amp;" - Shoulder",Input_Usage[Ref],0),MATCH($D$21,Inputs!$I$133:$M$133,0))),0)+
(INDEX(OP_TotalRates_RES_1[[Ausnet]:[United Energy]],MATCH("Off peak",OP_TotalRates_RES_1[Rate name],0),MATCH(OP_CMAB!F$24,OP_TotalRates_RES_1[[#Headers],[Ausnet]:[United Energy]],0))*
INDEX(Input_Usage[[F-CurrentVDO_Input]:[F-NextVDO_Input]],MATCH($D11&amp;" - Off peak",Input_Usage[Ref],0),MATCH($D$21,Inputs!$I$133:$M$133,0))),0),0,1))</f>
        <v>0</v>
      </c>
      <c r="G15" s="94">
        <f>IF($D$21="VDO 2021 - Final",
IF(G11=
ROUNDUP(
(INDEX(OP_TotalRates_RES_1[[Ausnet]:[United Energy]],MATCH("Anytime - supply",OP_TotalRates_RES_1[Rate name],0),MATCH(OP_CMAB!G$24,OP_TotalRates_RES_1[[#Headers],[Ausnet]:[United Energy]],0))*DiY)+
(IFERROR((INDEX(OP_TotalRates_RES_1[[Ausnet]:[United Energy]],MATCH("Block 1",OP_TotalRates_RES_1[Rate name],0),MATCH(OP_CMAB!G$24,OP_TotalRates_RES_1[[#Headers],[Ausnet]:[United Energy]],0))*
INDEX(Input_Usage[[F-CurrentVDO_Input]:[F-NextVDO_Input]],MATCH(OP_CMAB!$D11&amp;" - Block 1",Input_Usage[Ref],0),MATCH(OP_CMAB!$D$21,Inputs!$I$133:$M$133,0))),0)+
IFERROR((INDEX(OP_TotalRates_RES_1[[Ausnet]:[United Energy]],MATCH("Balance",OP_TotalRates_RES_1[Rate name],0),MATCH(OP_CMAB!G$24,OP_TotalRates_RES_1[[#Headers],[Ausnet]:[United Energy]],0))*
INDEX(Input_Usage[[F-CurrentVDO_Input]:[F-NextVDO_Input]],MATCH(OP_CMAB!$D11&amp;" - Balance",Input_Usage[Ref],0),MATCH(OP_CMAB!$D$21,Inputs!$I$133:$M$133,0))),0)+
IFERROR((INDEX(OP_TotalRates_RES_1[[Ausnet]:[United Energy]],MATCH("Single rate",OP_TotalRates_RES_1[Rate name],0),MATCH(OP_CMAB!G$24,OP_TotalRates_RES_1[[#Headers],[Ausnet]:[United Energy]],0))*
INDEX(Input_Usage[[F-CurrentVDO_Input]:[F-NextVDO_Input]],MATCH(OP_CMAB!$D11&amp;" - Annual",Input_Usage[Ref],0),MATCH(OP_CMAB!$D$21,Inputs!$I$133:$M$133,0))),0)),0),0,1),
IF(G11=
ROUNDUP(
(INDEX(OP_TotalRates_RES_1[[Ausnet]:[United Energy]],MATCH("TOU - supply",OP_TotalRates_RES_1[Rate name],0),MATCH(OP_CMAB!G$24,OP_TotalRates_RES_1[[#Headers],[Ausnet]:[United Energy]],0))*DiY)+
(INDEX(OP_TotalRates_RES_1[[Ausnet]:[United Energy]],MATCH("Peak",OP_TotalRates_RES_1[Rate name],0),MATCH(OP_CMAB!G$24,OP_TotalRates_RES_1[[#Headers],[Ausnet]:[United Energy]],0))*
INDEX(Input_Usage[[F-CurrentVDO_Input]:[F-NextVDO_Input]],MATCH($D11&amp;" - Peak",Input_Usage[Ref],0),MATCH($D$21,Inputs!$I$133:$M$133,0)))+
IFERROR((INDEX(OP_TotalRates_RES_1[[Ausnet]:[United Energy]],MATCH("TOU - Shoulder",OP_TotalRates_RES_1[Rate name],0),MATCH(OP_CMAB!G$24,OP_TotalRates_RES_1[[#Headers],[Ausnet]:[United Energy]],0))*
INDEX(Input_Usage[[F-CurrentVDO_Input]:[F-NextVDO_Input]],MATCH($D11&amp;" - Shoulder",Input_Usage[Ref],0),MATCH($D$21,Inputs!$I$133:$M$133,0))),0)+
(INDEX(OP_TotalRates_RES_1[[Ausnet]:[United Energy]],MATCH("Off peak",OP_TotalRates_RES_1[Rate name],0),MATCH(OP_CMAB!G$24,OP_TotalRates_RES_1[[#Headers],[Ausnet]:[United Energy]],0))*
INDEX(Input_Usage[[F-CurrentVDO_Input]:[F-NextVDO_Input]],MATCH($D11&amp;" - Off peak",Input_Usage[Ref],0),MATCH($D$21,Inputs!$I$133:$M$133,0))),0),0,1))</f>
        <v>0</v>
      </c>
      <c r="H15" s="94">
        <f>IF($D$21="VDO 2021 - Final",
IF(H11=
ROUNDUP(
(INDEX(OP_TotalRates_RES_1[[Ausnet]:[United Energy]],MATCH("Anytime - supply",OP_TotalRates_RES_1[Rate name],0),MATCH(OP_CMAB!H$24,OP_TotalRates_RES_1[[#Headers],[Ausnet]:[United Energy]],0))*DiY)+
(IFERROR((INDEX(OP_TotalRates_RES_1[[Ausnet]:[United Energy]],MATCH("Block 1",OP_TotalRates_RES_1[Rate name],0),MATCH(OP_CMAB!H$24,OP_TotalRates_RES_1[[#Headers],[Ausnet]:[United Energy]],0))*
INDEX(Input_Usage[[F-CurrentVDO_Input]:[F-NextVDO_Input]],MATCH(OP_CMAB!$D11&amp;" - Block 1",Input_Usage[Ref],0),MATCH(OP_CMAB!$D$21,Inputs!$I$133:$M$133,0))),0)+
IFERROR((INDEX(OP_TotalRates_RES_1[[Ausnet]:[United Energy]],MATCH("Balance",OP_TotalRates_RES_1[Rate name],0),MATCH(OP_CMAB!H$24,OP_TotalRates_RES_1[[#Headers],[Ausnet]:[United Energy]],0))*
INDEX(Input_Usage[[F-CurrentVDO_Input]:[F-NextVDO_Input]],MATCH(OP_CMAB!$D11&amp;" - Balance",Input_Usage[Ref],0),MATCH(OP_CMAB!$D$21,Inputs!$I$133:$M$133,0))),0)+
IFERROR((INDEX(OP_TotalRates_RES_1[[Ausnet]:[United Energy]],MATCH("Single rate",OP_TotalRates_RES_1[Rate name],0),MATCH(OP_CMAB!H$24,OP_TotalRates_RES_1[[#Headers],[Ausnet]:[United Energy]],0))*
INDEX(Input_Usage[[F-CurrentVDO_Input]:[F-NextVDO_Input]],MATCH(OP_CMAB!$D11&amp;" - Annual",Input_Usage[Ref],0),MATCH(OP_CMAB!$D$21,Inputs!$I$133:$M$133,0))),0)),0),0,1),
IF(H11=
ROUNDUP(
(INDEX(OP_TotalRates_RES_1[[Ausnet]:[United Energy]],MATCH("TOU - supply",OP_TotalRates_RES_1[Rate name],0),MATCH(OP_CMAB!H$24,OP_TotalRates_RES_1[[#Headers],[Ausnet]:[United Energy]],0))*DiY)+
(INDEX(OP_TotalRates_RES_1[[Ausnet]:[United Energy]],MATCH("Peak",OP_TotalRates_RES_1[Rate name],0),MATCH(OP_CMAB!H$24,OP_TotalRates_RES_1[[#Headers],[Ausnet]:[United Energy]],0))*
INDEX(Input_Usage[[F-CurrentVDO_Input]:[F-NextVDO_Input]],MATCH($D11&amp;" - Peak",Input_Usage[Ref],0),MATCH($D$21,Inputs!$I$133:$M$133,0)))+
IFERROR((INDEX(OP_TotalRates_RES_1[[Ausnet]:[United Energy]],MATCH("TOU - Shoulder",OP_TotalRates_RES_1[Rate name],0),MATCH(OP_CMAB!H$24,OP_TotalRates_RES_1[[#Headers],[Ausnet]:[United Energy]],0))*
INDEX(Input_Usage[[F-CurrentVDO_Input]:[F-NextVDO_Input]],MATCH($D11&amp;" - Shoulder",Input_Usage[Ref],0),MATCH($D$21,Inputs!$I$133:$M$133,0))),0)+
(INDEX(OP_TotalRates_RES_1[[Ausnet]:[United Energy]],MATCH("Off peak",OP_TotalRates_RES_1[Rate name],0),MATCH(OP_CMAB!H$24,OP_TotalRates_RES_1[[#Headers],[Ausnet]:[United Energy]],0))*
INDEX(Input_Usage[[F-CurrentVDO_Input]:[F-NextVDO_Input]],MATCH($D11&amp;" - Off peak",Input_Usage[Ref],0),MATCH($D$21,Inputs!$I$133:$M$133,0))),0),0,1))</f>
        <v>0</v>
      </c>
      <c r="I15" s="94">
        <f>IF($D$21="VDO 2021 - Final",
IF(I11=
ROUNDUP(
(INDEX(OP_TotalRates_RES_1[[Ausnet]:[United Energy]],MATCH("Anytime - supply",OP_TotalRates_RES_1[Rate name],0),MATCH(OP_CMAB!I$24,OP_TotalRates_RES_1[[#Headers],[Ausnet]:[United Energy]],0))*DiY)+
(IFERROR((INDEX(OP_TotalRates_RES_1[[Ausnet]:[United Energy]],MATCH("Block 1",OP_TotalRates_RES_1[Rate name],0),MATCH(OP_CMAB!I$24,OP_TotalRates_RES_1[[#Headers],[Ausnet]:[United Energy]],0))*
INDEX(Input_Usage[[F-CurrentVDO_Input]:[F-NextVDO_Input]],MATCH(OP_CMAB!$D11&amp;" - Block 1",Input_Usage[Ref],0),MATCH(OP_CMAB!$D$21,Inputs!$I$133:$M$133,0))),0)+
IFERROR((INDEX(OP_TotalRates_RES_1[[Ausnet]:[United Energy]],MATCH("Balance",OP_TotalRates_RES_1[Rate name],0),MATCH(OP_CMAB!I$24,OP_TotalRates_RES_1[[#Headers],[Ausnet]:[United Energy]],0))*
INDEX(Input_Usage[[F-CurrentVDO_Input]:[F-NextVDO_Input]],MATCH(OP_CMAB!$D11&amp;" - Balance",Input_Usage[Ref],0),MATCH(OP_CMAB!$D$21,Inputs!$I$133:$M$133,0))),0)+
IFERROR((INDEX(OP_TotalRates_RES_1[[Ausnet]:[United Energy]],MATCH("Single rate",OP_TotalRates_RES_1[Rate name],0),MATCH(OP_CMAB!I$24,OP_TotalRates_RES_1[[#Headers],[Ausnet]:[United Energy]],0))*
INDEX(Input_Usage[[F-CurrentVDO_Input]:[F-NextVDO_Input]],MATCH(OP_CMAB!$D11&amp;" - Annual",Input_Usage[Ref],0),MATCH(OP_CMAB!$D$21,Inputs!$I$133:$M$133,0))),0)),0),0,1),
IF(I11=
ROUNDUP(
(INDEX(OP_TotalRates_RES_1[[Ausnet]:[United Energy]],MATCH("TOU - supply",OP_TotalRates_RES_1[Rate name],0),MATCH(OP_CMAB!I$24,OP_TotalRates_RES_1[[#Headers],[Ausnet]:[United Energy]],0))*DiY)+
(INDEX(OP_TotalRates_RES_1[[Ausnet]:[United Energy]],MATCH("Peak",OP_TotalRates_RES_1[Rate name],0),MATCH(OP_CMAB!I$24,OP_TotalRates_RES_1[[#Headers],[Ausnet]:[United Energy]],0))*
INDEX(Input_Usage[[F-CurrentVDO_Input]:[F-NextVDO_Input]],MATCH($D11&amp;" - Peak",Input_Usage[Ref],0),MATCH($D$21,Inputs!$I$133:$M$133,0)))+
IFERROR((INDEX(OP_TotalRates_RES_1[[Ausnet]:[United Energy]],MATCH("TOU - Shoulder",OP_TotalRates_RES_1[Rate name],0),MATCH(OP_CMAB!I$24,OP_TotalRates_RES_1[[#Headers],[Ausnet]:[United Energy]],0))*
INDEX(Input_Usage[[F-CurrentVDO_Input]:[F-NextVDO_Input]],MATCH($D11&amp;" - Shoulder",Input_Usage[Ref],0),MATCH($D$21,Inputs!$I$133:$M$133,0))),0)+
(INDEX(OP_TotalRates_RES_1[[Ausnet]:[United Energy]],MATCH("Off peak",OP_TotalRates_RES_1[Rate name],0),MATCH(OP_CMAB!I$24,OP_TotalRates_RES_1[[#Headers],[Ausnet]:[United Energy]],0))*
INDEX(Input_Usage[[F-CurrentVDO_Input]:[F-NextVDO_Input]],MATCH($D11&amp;" - Off peak",Input_Usage[Ref],0),MATCH($D$21,Inputs!$I$133:$M$133,0))),0),0,1))</f>
        <v>0</v>
      </c>
      <c r="M15" s="94">
        <f>IF($D$21="VDO 2021 - Final",
IF(M11=
ROUNDUP(
(INDEX(OP_TotalRates_SME_1[[Ausnet]:[United Energy]],MATCH("Anytime - supply",OP_TotalRates_SME_1[Rate name],0),MATCH(OP_CMAB!M$24,OP_TotalRates_SME_1[[#Headers],[Ausnet]:[United Energy]],0))*DiY)+
(IFERROR((INDEX(OP_TotalRates_SME_1[[Ausnet]:[United Energy]],MATCH("Block 1",OP_TotalRates_SME_1[Rate name],0),MATCH(OP_CMAB!M$24,OP_TotalRates_SME_1[[#Headers],[Ausnet]:[United Energy]],0))*
INDEX(Input_Usage[[F-CurrentVDO_Input]:[F-NextVDO_Input]],MATCH(OP_CMAB!$L11&amp;" - Block 1",Input_Usage[Ref],0),MATCH(OP_CMAB!$D$21,Inputs!$I$133:$M$133,0))),0)+
IFERROR((INDEX(OP_TotalRates_SME_1[[Ausnet]:[United Energy]],MATCH("Balance",OP_TotalRates_SME_1[Rate name],0),MATCH(OP_CMAB!M$24,OP_TotalRates_SME_1[[#Headers],[Ausnet]:[United Energy]],0))*
INDEX(Input_Usage[[F-CurrentVDO_Input]:[F-NextVDO_Input]],MATCH(OP_CMAB!$L11&amp;" - Balance",Input_Usage[Ref],0),MATCH(OP_CMAB!$D$21,Inputs!$I$133:$M$133,0))),0)+
IFERROR((INDEX(OP_TotalRates_SME_1[[Ausnet]:[United Energy]],MATCH("Single rate",OP_TotalRates_SME_1[Rate name],0),MATCH(OP_CMAB!M$24,OP_TotalRates_SME_1[[#Headers],[Ausnet]:[United Energy]],0))*
INDEX(Input_Usage[[F-CurrentVDO_Input]:[F-NextVDO_Input]],MATCH(OP_CMAB!$L11&amp;" - Annual",Input_Usage[Ref],0),MATCH(OP_CMAB!$D$21,Inputs!$I$133:$M$133,0))),0)),0),0,1),
IF(M11=
ROUNDUP(
(INDEX(OP_TotalRates_SME_1[[Ausnet]:[United Energy]],MATCH("TOU - supply",OP_TotalRates_SME_1[Rate name],0),MATCH(OP_CMAB!M$24,OP_TotalRates_SME_1[[#Headers],[Ausnet]:[United Energy]],0))*DiY)+
(INDEX(OP_TotalRates_SME_1[[Ausnet]:[United Energy]],MATCH("Peak",OP_TotalRates_SME_1[Rate name],0),MATCH(OP_CMAB!M$24,OP_TotalRates_SME_1[[#Headers],[Ausnet]:[United Energy]],0))*
INDEX(Input_Usage[[F-CurrentVDO_Input]:[F-NextVDO_Input]],MATCH($L11&amp;" - Peak",Input_Usage[Ref],0),MATCH($D$21,Inputs!$I$133:$M$133,0)))+
IFERROR((INDEX(OP_TotalRates_SME_1[[Ausnet]:[United Energy]],MATCH("TOU - Shoulder",OP_TotalRates_SME_1[Rate name],0),MATCH(OP_CMAB!M$24,OP_TotalRates_SME_1[[#Headers],[Ausnet]:[United Energy]],0))*
INDEX(Input_Usage[[F-CurrentVDO_Input]:[F-NextVDO_Input]],MATCH($L11&amp;" - Shoulder",Input_Usage[Ref],0),MATCH($D$21,Inputs!$I$133:$M$133,0))),0)+
(INDEX(OP_TotalRates_SME_1[[Ausnet]:[United Energy]],MATCH("Off peak",OP_TotalRates_SME_1[Rate name],0),MATCH(OP_CMAB!M$24,OP_TotalRates_SME_1[[#Headers],[Ausnet]:[United Energy]],0))*
INDEX(Input_Usage[[F-CurrentVDO_Input]:[F-NextVDO_Input]],MATCH($L11&amp;" - Off peak",Input_Usage[Ref],0),MATCH($D$21,Inputs!$I$133:$M$133,0))),0),0,1))</f>
        <v>0</v>
      </c>
      <c r="N15" s="94">
        <f>IF($D$21="VDO 2021 - Final",
IF(N11=
ROUNDUP(
(INDEX(OP_TotalRates_SME_1[[Ausnet]:[United Energy]],MATCH("Anytime - supply",OP_TotalRates_SME_1[Rate name],0),MATCH(OP_CMAB!N$24,OP_TotalRates_SME_1[[#Headers],[Ausnet]:[United Energy]],0))*DiY)+
(IFERROR((INDEX(OP_TotalRates_SME_1[[Ausnet]:[United Energy]],MATCH("Block 1",OP_TotalRates_SME_1[Rate name],0),MATCH(OP_CMAB!N$24,OP_TotalRates_SME_1[[#Headers],[Ausnet]:[United Energy]],0))*
INDEX(Input_Usage[[F-CurrentVDO_Input]:[F-NextVDO_Input]],MATCH(OP_CMAB!$L11&amp;" - Block 1",Input_Usage[Ref],0),MATCH(OP_CMAB!$D$21,Inputs!$I$133:$M$133,0))),0)+
IFERROR((INDEX(OP_TotalRates_SME_1[[Ausnet]:[United Energy]],MATCH("Balance",OP_TotalRates_SME_1[Rate name],0),MATCH(OP_CMAB!N$24,OP_TotalRates_SME_1[[#Headers],[Ausnet]:[United Energy]],0))*
INDEX(Input_Usage[[F-CurrentVDO_Input]:[F-NextVDO_Input]],MATCH(OP_CMAB!$L11&amp;" - Balance",Input_Usage[Ref],0),MATCH(OP_CMAB!$D$21,Inputs!$I$133:$M$133,0))),0)+
IFERROR((INDEX(OP_TotalRates_SME_1[[Ausnet]:[United Energy]],MATCH("Single rate",OP_TotalRates_SME_1[Rate name],0),MATCH(OP_CMAB!N$24,OP_TotalRates_SME_1[[#Headers],[Ausnet]:[United Energy]],0))*
INDEX(Input_Usage[[F-CurrentVDO_Input]:[F-NextVDO_Input]],MATCH(OP_CMAB!$L11&amp;" - Annual",Input_Usage[Ref],0),MATCH(OP_CMAB!$D$21,Inputs!$I$133:$M$133,0))),0)),0),0,1),
IF(N11=
ROUNDUP(
(INDEX(OP_TotalRates_SME_1[[Ausnet]:[United Energy]],MATCH("TOU - supply",OP_TotalRates_SME_1[Rate name],0),MATCH(OP_CMAB!N$24,OP_TotalRates_SME_1[[#Headers],[Ausnet]:[United Energy]],0))*DiY)+
(INDEX(OP_TotalRates_SME_1[[Ausnet]:[United Energy]],MATCH("Peak",OP_TotalRates_SME_1[Rate name],0),MATCH(OP_CMAB!N$24,OP_TotalRates_SME_1[[#Headers],[Ausnet]:[United Energy]],0))*
INDEX(Input_Usage[[F-CurrentVDO_Input]:[F-NextVDO_Input]],MATCH($L11&amp;" - Peak",Input_Usage[Ref],0),MATCH($D$21,Inputs!$I$133:$M$133,0)))+
IFERROR((INDEX(OP_TotalRates_SME_1[[Ausnet]:[United Energy]],MATCH("TOU - Shoulder",OP_TotalRates_SME_1[Rate name],0),MATCH(OP_CMAB!N$24,OP_TotalRates_SME_1[[#Headers],[Ausnet]:[United Energy]],0))*
INDEX(Input_Usage[[F-CurrentVDO_Input]:[F-NextVDO_Input]],MATCH($L11&amp;" - Shoulder",Input_Usage[Ref],0),MATCH($D$21,Inputs!$I$133:$M$133,0))),0)+
(INDEX(OP_TotalRates_SME_1[[Ausnet]:[United Energy]],MATCH("Off peak",OP_TotalRates_SME_1[Rate name],0),MATCH(OP_CMAB!N$24,OP_TotalRates_SME_1[[#Headers],[Ausnet]:[United Energy]],0))*
INDEX(Input_Usage[[F-CurrentVDO_Input]:[F-NextVDO_Input]],MATCH($L11&amp;" - Off peak",Input_Usage[Ref],0),MATCH($D$21,Inputs!$I$133:$M$133,0))),0),0,1))</f>
        <v>0</v>
      </c>
      <c r="O15" s="94">
        <f>IF($D$21="VDO 2021 - Final",
IF(O11=
ROUNDUP(
(INDEX(OP_TotalRates_SME_1[[Ausnet]:[United Energy]],MATCH("Anytime - supply",OP_TotalRates_SME_1[Rate name],0),MATCH(OP_CMAB!O$24,OP_TotalRates_SME_1[[#Headers],[Ausnet]:[United Energy]],0))*DiY)+
(IFERROR((INDEX(OP_TotalRates_SME_1[[Ausnet]:[United Energy]],MATCH("Block 1",OP_TotalRates_SME_1[Rate name],0),MATCH(OP_CMAB!O$24,OP_TotalRates_SME_1[[#Headers],[Ausnet]:[United Energy]],0))*
INDEX(Input_Usage[[F-CurrentVDO_Input]:[F-NextVDO_Input]],MATCH(OP_CMAB!$L11&amp;" - Block 1",Input_Usage[Ref],0),MATCH(OP_CMAB!$D$21,Inputs!$I$133:$M$133,0))),0)+
IFERROR((INDEX(OP_TotalRates_SME_1[[Ausnet]:[United Energy]],MATCH("Balance",OP_TotalRates_SME_1[Rate name],0),MATCH(OP_CMAB!O$24,OP_TotalRates_SME_1[[#Headers],[Ausnet]:[United Energy]],0))*
INDEX(Input_Usage[[F-CurrentVDO_Input]:[F-NextVDO_Input]],MATCH(OP_CMAB!$L11&amp;" - Balance",Input_Usage[Ref],0),MATCH(OP_CMAB!$D$21,Inputs!$I$133:$M$133,0))),0)+
IFERROR((INDEX(OP_TotalRates_SME_1[[Ausnet]:[United Energy]],MATCH("Single rate",OP_TotalRates_SME_1[Rate name],0),MATCH(OP_CMAB!O$24,OP_TotalRates_SME_1[[#Headers],[Ausnet]:[United Energy]],0))*
INDEX(Input_Usage[[F-CurrentVDO_Input]:[F-NextVDO_Input]],MATCH(OP_CMAB!$L11&amp;" - Annual",Input_Usage[Ref],0),MATCH(OP_CMAB!$D$21,Inputs!$I$133:$M$133,0))),0)),0),0,1),
IF(O11=
ROUNDUP(
(INDEX(OP_TotalRates_SME_1[[Ausnet]:[United Energy]],MATCH("TOU - supply",OP_TotalRates_SME_1[Rate name],0),MATCH(OP_CMAB!O$24,OP_TotalRates_SME_1[[#Headers],[Ausnet]:[United Energy]],0))*DiY)+
(INDEX(OP_TotalRates_SME_1[[Ausnet]:[United Energy]],MATCH("Peak",OP_TotalRates_SME_1[Rate name],0),MATCH(OP_CMAB!O$24,OP_TotalRates_SME_1[[#Headers],[Ausnet]:[United Energy]],0))*
INDEX(Input_Usage[[F-CurrentVDO_Input]:[F-NextVDO_Input]],MATCH($L11&amp;" - Peak",Input_Usage[Ref],0),MATCH($D$21,Inputs!$I$133:$M$133,0)))+
IFERROR((INDEX(OP_TotalRates_SME_1[[Ausnet]:[United Energy]],MATCH("TOU - Shoulder",OP_TotalRates_SME_1[Rate name],0),MATCH(OP_CMAB!O$24,OP_TotalRates_SME_1[[#Headers],[Ausnet]:[United Energy]],0))*
INDEX(Input_Usage[[F-CurrentVDO_Input]:[F-NextVDO_Input]],MATCH($L11&amp;" - Shoulder",Input_Usage[Ref],0),MATCH($D$21,Inputs!$I$133:$M$133,0))),0)+
(INDEX(OP_TotalRates_SME_1[[Ausnet]:[United Energy]],MATCH("Off peak",OP_TotalRates_SME_1[Rate name],0),MATCH(OP_CMAB!O$24,OP_TotalRates_SME_1[[#Headers],[Ausnet]:[United Energy]],0))*
INDEX(Input_Usage[[F-CurrentVDO_Input]:[F-NextVDO_Input]],MATCH($L11&amp;" - Off peak",Input_Usage[Ref],0),MATCH($D$21,Inputs!$I$133:$M$133,0))),0),0,1))</f>
        <v>0</v>
      </c>
      <c r="P15" s="94">
        <f>IF($D$21="VDO 2021 - Final",
IF(P11=
ROUNDUP(
(INDEX(OP_TotalRates_SME_1[[Ausnet]:[United Energy]],MATCH("Anytime - supply",OP_TotalRates_SME_1[Rate name],0),MATCH(OP_CMAB!P$24,OP_TotalRates_SME_1[[#Headers],[Ausnet]:[United Energy]],0))*DiY)+
(IFERROR((INDEX(OP_TotalRates_SME_1[[Ausnet]:[United Energy]],MATCH("Block 1",OP_TotalRates_SME_1[Rate name],0),MATCH(OP_CMAB!P$24,OP_TotalRates_SME_1[[#Headers],[Ausnet]:[United Energy]],0))*
INDEX(Input_Usage[[F-CurrentVDO_Input]:[F-NextVDO_Input]],MATCH(OP_CMAB!$L11&amp;" - Block 1",Input_Usage[Ref],0),MATCH(OP_CMAB!$D$21,Inputs!$I$133:$M$133,0))),0)+
IFERROR((INDEX(OP_TotalRates_SME_1[[Ausnet]:[United Energy]],MATCH("Balance",OP_TotalRates_SME_1[Rate name],0),MATCH(OP_CMAB!P$24,OP_TotalRates_SME_1[[#Headers],[Ausnet]:[United Energy]],0))*
INDEX(Input_Usage[[F-CurrentVDO_Input]:[F-NextVDO_Input]],MATCH(OP_CMAB!$L11&amp;" - Balance",Input_Usage[Ref],0),MATCH(OP_CMAB!$D$21,Inputs!$I$133:$M$133,0))),0)+
IFERROR((INDEX(OP_TotalRates_SME_1[[Ausnet]:[United Energy]],MATCH("Single rate",OP_TotalRates_SME_1[Rate name],0),MATCH(OP_CMAB!P$24,OP_TotalRates_SME_1[[#Headers],[Ausnet]:[United Energy]],0))*
INDEX(Input_Usage[[F-CurrentVDO_Input]:[F-NextVDO_Input]],MATCH(OP_CMAB!$L11&amp;" - Annual",Input_Usage[Ref],0),MATCH(OP_CMAB!$D$21,Inputs!$I$133:$M$133,0))),0)),0),0,1),
IF(P11=
ROUNDUP(
(INDEX(OP_TotalRates_SME_1[[Ausnet]:[United Energy]],MATCH("TOU - supply",OP_TotalRates_SME_1[Rate name],0),MATCH(OP_CMAB!P$24,OP_TotalRates_SME_1[[#Headers],[Ausnet]:[United Energy]],0))*DiY)+
(INDEX(OP_TotalRates_SME_1[[Ausnet]:[United Energy]],MATCH("Peak",OP_TotalRates_SME_1[Rate name],0),MATCH(OP_CMAB!P$24,OP_TotalRates_SME_1[[#Headers],[Ausnet]:[United Energy]],0))*
INDEX(Input_Usage[[F-CurrentVDO_Input]:[F-NextVDO_Input]],MATCH($L11&amp;" - Peak",Input_Usage[Ref],0),MATCH($D$21,Inputs!$I$133:$M$133,0)))+
IFERROR((INDEX(OP_TotalRates_SME_1[[Ausnet]:[United Energy]],MATCH("TOU - Shoulder",OP_TotalRates_SME_1[Rate name],0),MATCH(OP_CMAB!P$24,OP_TotalRates_SME_1[[#Headers],[Ausnet]:[United Energy]],0))*
INDEX(Input_Usage[[F-CurrentVDO_Input]:[F-NextVDO_Input]],MATCH($L11&amp;" - Shoulder",Input_Usage[Ref],0),MATCH($D$21,Inputs!$I$133:$M$133,0))),0)+
(INDEX(OP_TotalRates_SME_1[[Ausnet]:[United Energy]],MATCH("Off peak",OP_TotalRates_SME_1[Rate name],0),MATCH(OP_CMAB!P$24,OP_TotalRates_SME_1[[#Headers],[Ausnet]:[United Energy]],0))*
INDEX(Input_Usage[[F-CurrentVDO_Input]:[F-NextVDO_Input]],MATCH($L11&amp;" - Off peak",Input_Usage[Ref],0),MATCH($D$21,Inputs!$I$133:$M$133,0))),0),0,1))</f>
        <v>0</v>
      </c>
      <c r="Q15" s="94">
        <f>IF($D$21="VDO 2021 - Final",
IF(Q11=
ROUNDUP(
(INDEX(OP_TotalRates_SME_1[[Ausnet]:[United Energy]],MATCH("Anytime - supply",OP_TotalRates_SME_1[Rate name],0),MATCH(OP_CMAB!Q$24,OP_TotalRates_SME_1[[#Headers],[Ausnet]:[United Energy]],0))*DiY)+
(IFERROR((INDEX(OP_TotalRates_SME_1[[Ausnet]:[United Energy]],MATCH("Block 1",OP_TotalRates_SME_1[Rate name],0),MATCH(OP_CMAB!Q$24,OP_TotalRates_SME_1[[#Headers],[Ausnet]:[United Energy]],0))*
INDEX(Input_Usage[[F-CurrentVDO_Input]:[F-NextVDO_Input]],MATCH(OP_CMAB!$L11&amp;" - Block 1",Input_Usage[Ref],0),MATCH(OP_CMAB!$D$21,Inputs!$I$133:$M$133,0))),0)+
IFERROR((INDEX(OP_TotalRates_SME_1[[Ausnet]:[United Energy]],MATCH("Balance",OP_TotalRates_SME_1[Rate name],0),MATCH(OP_CMAB!Q$24,OP_TotalRates_SME_1[[#Headers],[Ausnet]:[United Energy]],0))*
INDEX(Input_Usage[[F-CurrentVDO_Input]:[F-NextVDO_Input]],MATCH(OP_CMAB!$L11&amp;" - Balance",Input_Usage[Ref],0),MATCH(OP_CMAB!$D$21,Inputs!$I$133:$M$133,0))),0)+
IFERROR((INDEX(OP_TotalRates_SME_1[[Ausnet]:[United Energy]],MATCH("Single rate",OP_TotalRates_SME_1[Rate name],0),MATCH(OP_CMAB!Q$24,OP_TotalRates_SME_1[[#Headers],[Ausnet]:[United Energy]],0))*
INDEX(Input_Usage[[F-CurrentVDO_Input]:[F-NextVDO_Input]],MATCH(OP_CMAB!$L11&amp;" - Annual",Input_Usage[Ref],0),MATCH(OP_CMAB!$D$21,Inputs!$I$133:$M$133,0))),0)),0),0,1),
IF(Q11=
ROUNDUP(
(INDEX(OP_TotalRates_SME_1[[Ausnet]:[United Energy]],MATCH("TOU - supply",OP_TotalRates_SME_1[Rate name],0),MATCH(OP_CMAB!Q$24,OP_TotalRates_SME_1[[#Headers],[Ausnet]:[United Energy]],0))*DiY)+
(INDEX(OP_TotalRates_SME_1[[Ausnet]:[United Energy]],MATCH("Peak",OP_TotalRates_SME_1[Rate name],0),MATCH(OP_CMAB!Q$24,OP_TotalRates_SME_1[[#Headers],[Ausnet]:[United Energy]],0))*
INDEX(Input_Usage[[F-CurrentVDO_Input]:[F-NextVDO_Input]],MATCH($L11&amp;" - Peak",Input_Usage[Ref],0),MATCH($D$21,Inputs!$I$133:$M$133,0)))+
IFERROR((INDEX(OP_TotalRates_SME_1[[Ausnet]:[United Energy]],MATCH("TOU - Shoulder",OP_TotalRates_SME_1[Rate name],0),MATCH(OP_CMAB!Q$24,OP_TotalRates_SME_1[[#Headers],[Ausnet]:[United Energy]],0))*
INDEX(Input_Usage[[F-CurrentVDO_Input]:[F-NextVDO_Input]],MATCH($L11&amp;" - Shoulder",Input_Usage[Ref],0),MATCH($D$21,Inputs!$I$133:$M$133,0))),0)+
(INDEX(OP_TotalRates_SME_1[[Ausnet]:[United Energy]],MATCH("Off peak",OP_TotalRates_SME_1[Rate name],0),MATCH(OP_CMAB!Q$24,OP_TotalRates_SME_1[[#Headers],[Ausnet]:[United Energy]],0))*
INDEX(Input_Usage[[F-CurrentVDO_Input]:[F-NextVDO_Input]],MATCH($L11&amp;" - Off peak",Input_Usage[Ref],0),MATCH($D$21,Inputs!$I$133:$M$133,0))),0),0,1))</f>
        <v>0</v>
      </c>
    </row>
    <row r="16" spans="1:18" ht="15.75" hidden="1" x14ac:dyDescent="0.25">
      <c r="E16" s="94">
        <f>IF($D$21="VDO 2021 - Final",
IF(E12=
ROUNDUP(
(INDEX(OP_TotalRates_RES_1[[Ausnet]:[United Energy]],MATCH("Anytime - supply",OP_TotalRates_RES_1[Rate name],0),MATCH(OP_CMAB!E$24,OP_TotalRates_RES_1[[#Headers],[Ausnet]:[United Energy]],0))*DiY)+
(IFERROR((INDEX(OP_TotalRates_RES_1[[Ausnet]:[United Energy]],MATCH("Block 1",OP_TotalRates_RES_1[Rate name],0),MATCH(OP_CMAB!E$24,OP_TotalRates_RES_1[[#Headers],[Ausnet]:[United Energy]],0))*
INDEX(Input_Usage[[F-CurrentVDO_Input]:[F-NextVDO_Input]],MATCH(OP_CMAB!$D12&amp;" - Block 1",Input_Usage[Ref],0),MATCH(OP_CMAB!$D$21,Inputs!$I$133:$M$133,0))),0)+
IFERROR((INDEX(OP_TotalRates_RES_1[[Ausnet]:[United Energy]],MATCH("Balance",OP_TotalRates_RES_1[Rate name],0),MATCH(OP_CMAB!E$24,OP_TotalRates_RES_1[[#Headers],[Ausnet]:[United Energy]],0))*
INDEX(Input_Usage[[F-CurrentVDO_Input]:[F-NextVDO_Input]],MATCH(OP_CMAB!$D12&amp;" - Balance",Input_Usage[Ref],0),MATCH(OP_CMAB!$D$21,Inputs!$I$133:$M$133,0))),0)+
IFERROR((INDEX(OP_TotalRates_RES_1[[Ausnet]:[United Energy]],MATCH("Single rate",OP_TotalRates_RES_1[Rate name],0),MATCH(OP_CMAB!E$24,OP_TotalRates_RES_1[[#Headers],[Ausnet]:[United Energy]],0))*
INDEX(Input_Usage[[F-CurrentVDO_Input]:[F-NextVDO_Input]],MATCH(OP_CMAB!$D12&amp;" - Annual",Input_Usage[Ref],0),MATCH(OP_CMAB!$D$21,Inputs!$I$133:$M$133,0))),0)),0),0,1),
IF(E12=
ROUNDUP(
(INDEX(OP_TotalRates_RES_1[[Ausnet]:[United Energy]],MATCH("TOU - supply",OP_TotalRates_RES_1[Rate name],0),MATCH(OP_CMAB!E$24,OP_TotalRates_RES_1[[#Headers],[Ausnet]:[United Energy]],0))*DiY)+
(INDEX(OP_TotalRates_RES_1[[Ausnet]:[United Energy]],MATCH("Peak",OP_TotalRates_RES_1[Rate name],0),MATCH(OP_CMAB!E$24,OP_TotalRates_RES_1[[#Headers],[Ausnet]:[United Energy]],0))*
INDEX(Input_Usage[[F-CurrentVDO_Input]:[F-NextVDO_Input]],MATCH($D12&amp;" - Peak",Input_Usage[Ref],0),MATCH($D$21,Inputs!$I$133:$M$133,0)))+
IFERROR((INDEX(OP_TotalRates_RES_1[[Ausnet]:[United Energy]],MATCH("TOU - Shoulder",OP_TotalRates_RES_1[Rate name],0),MATCH(OP_CMAB!E$24,OP_TotalRates_RES_1[[#Headers],[Ausnet]:[United Energy]],0))*
INDEX(Input_Usage[[F-CurrentVDO_Input]:[F-NextVDO_Input]],MATCH($D12&amp;" - Shoulder",Input_Usage[Ref],0),MATCH($D$21,Inputs!$I$133:$M$133,0))),0)+
(INDEX(OP_TotalRates_RES_1[[Ausnet]:[United Energy]],MATCH("Off peak",OP_TotalRates_RES_1[Rate name],0),MATCH(OP_CMAB!E$24,OP_TotalRates_RES_1[[#Headers],[Ausnet]:[United Energy]],0))*
INDEX(Input_Usage[[F-CurrentVDO_Input]:[F-NextVDO_Input]],MATCH($D12&amp;" - Off peak",Input_Usage[Ref],0),MATCH($D$21,Inputs!$I$133:$M$133,0))),0),0,1))</f>
        <v>0</v>
      </c>
      <c r="F16" s="94">
        <f>IF($D$21="VDO 2021 - Final",
IF(F12=
ROUNDUP(
(INDEX(OP_TotalRates_RES_1[[Ausnet]:[United Energy]],MATCH("Anytime - supply",OP_TotalRates_RES_1[Rate name],0),MATCH(OP_CMAB!F$24,OP_TotalRates_RES_1[[#Headers],[Ausnet]:[United Energy]],0))*DiY)+
(IFERROR((INDEX(OP_TotalRates_RES_1[[Ausnet]:[United Energy]],MATCH("Block 1",OP_TotalRates_RES_1[Rate name],0),MATCH(OP_CMAB!F$24,OP_TotalRates_RES_1[[#Headers],[Ausnet]:[United Energy]],0))*
INDEX(Input_Usage[[F-CurrentVDO_Input]:[F-NextVDO_Input]],MATCH(OP_CMAB!$D12&amp;" - Block 1",Input_Usage[Ref],0),MATCH(OP_CMAB!$D$21,Inputs!$I$133:$M$133,0))),0)+
IFERROR((INDEX(OP_TotalRates_RES_1[[Ausnet]:[United Energy]],MATCH("Balance",OP_TotalRates_RES_1[Rate name],0),MATCH(OP_CMAB!F$24,OP_TotalRates_RES_1[[#Headers],[Ausnet]:[United Energy]],0))*
INDEX(Input_Usage[[F-CurrentVDO_Input]:[F-NextVDO_Input]],MATCH(OP_CMAB!$D12&amp;" - Balance",Input_Usage[Ref],0),MATCH(OP_CMAB!$D$21,Inputs!$I$133:$M$133,0))),0)+
IFERROR((INDEX(OP_TotalRates_RES_1[[Ausnet]:[United Energy]],MATCH("Single rate",OP_TotalRates_RES_1[Rate name],0),MATCH(OP_CMAB!F$24,OP_TotalRates_RES_1[[#Headers],[Ausnet]:[United Energy]],0))*
INDEX(Input_Usage[[F-CurrentVDO_Input]:[F-NextVDO_Input]],MATCH(OP_CMAB!$D12&amp;" - Annual",Input_Usage[Ref],0),MATCH(OP_CMAB!$D$21,Inputs!$I$133:$M$133,0))),0)),0),0,1),
IF(F12=
ROUNDUP(
(INDEX(OP_TotalRates_RES_1[[Ausnet]:[United Energy]],MATCH("TOU - supply",OP_TotalRates_RES_1[Rate name],0),MATCH(OP_CMAB!F$24,OP_TotalRates_RES_1[[#Headers],[Ausnet]:[United Energy]],0))*DiY)+
(INDEX(OP_TotalRates_RES_1[[Ausnet]:[United Energy]],MATCH("Peak",OP_TotalRates_RES_1[Rate name],0),MATCH(OP_CMAB!F$24,OP_TotalRates_RES_1[[#Headers],[Ausnet]:[United Energy]],0))*
INDEX(Input_Usage[[F-CurrentVDO_Input]:[F-NextVDO_Input]],MATCH($D12&amp;" - Peak",Input_Usage[Ref],0),MATCH($D$21,Inputs!$I$133:$M$133,0)))+
IFERROR((INDEX(OP_TotalRates_RES_1[[Ausnet]:[United Energy]],MATCH("TOU - Shoulder",OP_TotalRates_RES_1[Rate name],0),MATCH(OP_CMAB!F$24,OP_TotalRates_RES_1[[#Headers],[Ausnet]:[United Energy]],0))*
INDEX(Input_Usage[[F-CurrentVDO_Input]:[F-NextVDO_Input]],MATCH($D12&amp;" - Shoulder",Input_Usage[Ref],0),MATCH($D$21,Inputs!$I$133:$M$133,0))),0)+
(INDEX(OP_TotalRates_RES_1[[Ausnet]:[United Energy]],MATCH("Off peak",OP_TotalRates_RES_1[Rate name],0),MATCH(OP_CMAB!F$24,OP_TotalRates_RES_1[[#Headers],[Ausnet]:[United Energy]],0))*
INDEX(Input_Usage[[F-CurrentVDO_Input]:[F-NextVDO_Input]],MATCH($D12&amp;" - Off peak",Input_Usage[Ref],0),MATCH($D$21,Inputs!$I$133:$M$133,0))),0),0,1))</f>
        <v>0</v>
      </c>
      <c r="G16" s="94">
        <f>IF($D$21="VDO 2021 - Final",
IF(G12=
ROUNDUP(
(INDEX(OP_TotalRates_RES_1[[Ausnet]:[United Energy]],MATCH("Anytime - supply",OP_TotalRates_RES_1[Rate name],0),MATCH(OP_CMAB!G$24,OP_TotalRates_RES_1[[#Headers],[Ausnet]:[United Energy]],0))*DiY)+
(IFERROR((INDEX(OP_TotalRates_RES_1[[Ausnet]:[United Energy]],MATCH("Block 1",OP_TotalRates_RES_1[Rate name],0),MATCH(OP_CMAB!G$24,OP_TotalRates_RES_1[[#Headers],[Ausnet]:[United Energy]],0))*
INDEX(Input_Usage[[F-CurrentVDO_Input]:[F-NextVDO_Input]],MATCH(OP_CMAB!$D12&amp;" - Block 1",Input_Usage[Ref],0),MATCH(OP_CMAB!$D$21,Inputs!$I$133:$M$133,0))),0)+
IFERROR((INDEX(OP_TotalRates_RES_1[[Ausnet]:[United Energy]],MATCH("Balance",OP_TotalRates_RES_1[Rate name],0),MATCH(OP_CMAB!G$24,OP_TotalRates_RES_1[[#Headers],[Ausnet]:[United Energy]],0))*
INDEX(Input_Usage[[F-CurrentVDO_Input]:[F-NextVDO_Input]],MATCH(OP_CMAB!$D12&amp;" - Balance",Input_Usage[Ref],0),MATCH(OP_CMAB!$D$21,Inputs!$I$133:$M$133,0))),0)+
IFERROR((INDEX(OP_TotalRates_RES_1[[Ausnet]:[United Energy]],MATCH("Single rate",OP_TotalRates_RES_1[Rate name],0),MATCH(OP_CMAB!G$24,OP_TotalRates_RES_1[[#Headers],[Ausnet]:[United Energy]],0))*
INDEX(Input_Usage[[F-CurrentVDO_Input]:[F-NextVDO_Input]],MATCH(OP_CMAB!$D12&amp;" - Annual",Input_Usage[Ref],0),MATCH(OP_CMAB!$D$21,Inputs!$I$133:$M$133,0))),0)),0),0,1),
IF(G12=
ROUNDUP(
(INDEX(OP_TotalRates_RES_1[[Ausnet]:[United Energy]],MATCH("TOU - supply",OP_TotalRates_RES_1[Rate name],0),MATCH(OP_CMAB!G$24,OP_TotalRates_RES_1[[#Headers],[Ausnet]:[United Energy]],0))*DiY)+
(INDEX(OP_TotalRates_RES_1[[Ausnet]:[United Energy]],MATCH("Peak",OP_TotalRates_RES_1[Rate name],0),MATCH(OP_CMAB!G$24,OP_TotalRates_RES_1[[#Headers],[Ausnet]:[United Energy]],0))*
INDEX(Input_Usage[[F-CurrentVDO_Input]:[F-NextVDO_Input]],MATCH($D12&amp;" - Peak",Input_Usage[Ref],0),MATCH($D$21,Inputs!$I$133:$M$133,0)))+
IFERROR((INDEX(OP_TotalRates_RES_1[[Ausnet]:[United Energy]],MATCH("TOU - Shoulder",OP_TotalRates_RES_1[Rate name],0),MATCH(OP_CMAB!G$24,OP_TotalRates_RES_1[[#Headers],[Ausnet]:[United Energy]],0))*
INDEX(Input_Usage[[F-CurrentVDO_Input]:[F-NextVDO_Input]],MATCH($D12&amp;" - Shoulder",Input_Usage[Ref],0),MATCH($D$21,Inputs!$I$133:$M$133,0))),0)+
(INDEX(OP_TotalRates_RES_1[[Ausnet]:[United Energy]],MATCH("Off peak",OP_TotalRates_RES_1[Rate name],0),MATCH(OP_CMAB!G$24,OP_TotalRates_RES_1[[#Headers],[Ausnet]:[United Energy]],0))*
INDEX(Input_Usage[[F-CurrentVDO_Input]:[F-NextVDO_Input]],MATCH($D12&amp;" - Off peak",Input_Usage[Ref],0),MATCH($D$21,Inputs!$I$133:$M$133,0))),0),0,1))</f>
        <v>0</v>
      </c>
      <c r="H16" s="94">
        <f>IF($D$21="VDO 2021 - Final",
IF(H12=
ROUNDUP(
(INDEX(OP_TotalRates_RES_1[[Ausnet]:[United Energy]],MATCH("Anytime - supply",OP_TotalRates_RES_1[Rate name],0),MATCH(OP_CMAB!H$24,OP_TotalRates_RES_1[[#Headers],[Ausnet]:[United Energy]],0))*DiY)+
(IFERROR((INDEX(OP_TotalRates_RES_1[[Ausnet]:[United Energy]],MATCH("Block 1",OP_TotalRates_RES_1[Rate name],0),MATCH(OP_CMAB!H$24,OP_TotalRates_RES_1[[#Headers],[Ausnet]:[United Energy]],0))*
INDEX(Input_Usage[[F-CurrentVDO_Input]:[F-NextVDO_Input]],MATCH(OP_CMAB!$D12&amp;" - Block 1",Input_Usage[Ref],0),MATCH(OP_CMAB!$D$21,Inputs!$I$133:$M$133,0))),0)+
IFERROR((INDEX(OP_TotalRates_RES_1[[Ausnet]:[United Energy]],MATCH("Balance",OP_TotalRates_RES_1[Rate name],0),MATCH(OP_CMAB!H$24,OP_TotalRates_RES_1[[#Headers],[Ausnet]:[United Energy]],0))*
INDEX(Input_Usage[[F-CurrentVDO_Input]:[F-NextVDO_Input]],MATCH(OP_CMAB!$D12&amp;" - Balance",Input_Usage[Ref],0),MATCH(OP_CMAB!$D$21,Inputs!$I$133:$M$133,0))),0)+
IFERROR((INDEX(OP_TotalRates_RES_1[[Ausnet]:[United Energy]],MATCH("Single rate",OP_TotalRates_RES_1[Rate name],0),MATCH(OP_CMAB!H$24,OP_TotalRates_RES_1[[#Headers],[Ausnet]:[United Energy]],0))*
INDEX(Input_Usage[[F-CurrentVDO_Input]:[F-NextVDO_Input]],MATCH(OP_CMAB!$D12&amp;" - Annual",Input_Usage[Ref],0),MATCH(OP_CMAB!$D$21,Inputs!$I$133:$M$133,0))),0)),0),0,1),
IF(H12=
ROUNDUP(
(INDEX(OP_TotalRates_RES_1[[Ausnet]:[United Energy]],MATCH("TOU - supply",OP_TotalRates_RES_1[Rate name],0),MATCH(OP_CMAB!H$24,OP_TotalRates_RES_1[[#Headers],[Ausnet]:[United Energy]],0))*DiY)+
(INDEX(OP_TotalRates_RES_1[[Ausnet]:[United Energy]],MATCH("Peak",OP_TotalRates_RES_1[Rate name],0),MATCH(OP_CMAB!H$24,OP_TotalRates_RES_1[[#Headers],[Ausnet]:[United Energy]],0))*
INDEX(Input_Usage[[F-CurrentVDO_Input]:[F-NextVDO_Input]],MATCH($D12&amp;" - Peak",Input_Usage[Ref],0),MATCH($D$21,Inputs!$I$133:$M$133,0)))+
IFERROR((INDEX(OP_TotalRates_RES_1[[Ausnet]:[United Energy]],MATCH("TOU - Shoulder",OP_TotalRates_RES_1[Rate name],0),MATCH(OP_CMAB!H$24,OP_TotalRates_RES_1[[#Headers],[Ausnet]:[United Energy]],0))*
INDEX(Input_Usage[[F-CurrentVDO_Input]:[F-NextVDO_Input]],MATCH($D12&amp;" - Shoulder",Input_Usage[Ref],0),MATCH($D$21,Inputs!$I$133:$M$133,0))),0)+
(INDEX(OP_TotalRates_RES_1[[Ausnet]:[United Energy]],MATCH("Off peak",OP_TotalRates_RES_1[Rate name],0),MATCH(OP_CMAB!H$24,OP_TotalRates_RES_1[[#Headers],[Ausnet]:[United Energy]],0))*
INDEX(Input_Usage[[F-CurrentVDO_Input]:[F-NextVDO_Input]],MATCH($D12&amp;" - Off peak",Input_Usage[Ref],0),MATCH($D$21,Inputs!$I$133:$M$133,0))),0),0,1))</f>
        <v>0</v>
      </c>
      <c r="I16" s="94">
        <f>IF($D$21="VDO 2021 - Final",
IF(I12=
ROUNDUP(
(INDEX(OP_TotalRates_RES_1[[Ausnet]:[United Energy]],MATCH("Anytime - supply",OP_TotalRates_RES_1[Rate name],0),MATCH(OP_CMAB!I$24,OP_TotalRates_RES_1[[#Headers],[Ausnet]:[United Energy]],0))*DiY)+
(IFERROR((INDEX(OP_TotalRates_RES_1[[Ausnet]:[United Energy]],MATCH("Block 1",OP_TotalRates_RES_1[Rate name],0),MATCH(OP_CMAB!I$24,OP_TotalRates_RES_1[[#Headers],[Ausnet]:[United Energy]],0))*
INDEX(Input_Usage[[F-CurrentVDO_Input]:[F-NextVDO_Input]],MATCH(OP_CMAB!$D12&amp;" - Block 1",Input_Usage[Ref],0),MATCH(OP_CMAB!$D$21,Inputs!$I$133:$M$133,0))),0)+
IFERROR((INDEX(OP_TotalRates_RES_1[[Ausnet]:[United Energy]],MATCH("Balance",OP_TotalRates_RES_1[Rate name],0),MATCH(OP_CMAB!I$24,OP_TotalRates_RES_1[[#Headers],[Ausnet]:[United Energy]],0))*
INDEX(Input_Usage[[F-CurrentVDO_Input]:[F-NextVDO_Input]],MATCH(OP_CMAB!$D12&amp;" - Balance",Input_Usage[Ref],0),MATCH(OP_CMAB!$D$21,Inputs!$I$133:$M$133,0))),0)+
IFERROR((INDEX(OP_TotalRates_RES_1[[Ausnet]:[United Energy]],MATCH("Single rate",OP_TotalRates_RES_1[Rate name],0),MATCH(OP_CMAB!I$24,OP_TotalRates_RES_1[[#Headers],[Ausnet]:[United Energy]],0))*
INDEX(Input_Usage[[F-CurrentVDO_Input]:[F-NextVDO_Input]],MATCH(OP_CMAB!$D12&amp;" - Annual",Input_Usage[Ref],0),MATCH(OP_CMAB!$D$21,Inputs!$I$133:$M$133,0))),0)),0),0,1),
IF(I12=
ROUNDUP(
(INDEX(OP_TotalRates_RES_1[[Ausnet]:[United Energy]],MATCH("TOU - supply",OP_TotalRates_RES_1[Rate name],0),MATCH(OP_CMAB!I$24,OP_TotalRates_RES_1[[#Headers],[Ausnet]:[United Energy]],0))*DiY)+
(INDEX(OP_TotalRates_RES_1[[Ausnet]:[United Energy]],MATCH("Peak",OP_TotalRates_RES_1[Rate name],0),MATCH(OP_CMAB!I$24,OP_TotalRates_RES_1[[#Headers],[Ausnet]:[United Energy]],0))*
INDEX(Input_Usage[[F-CurrentVDO_Input]:[F-NextVDO_Input]],MATCH($D12&amp;" - Peak",Input_Usage[Ref],0),MATCH($D$21,Inputs!$I$133:$M$133,0)))+
IFERROR((INDEX(OP_TotalRates_RES_1[[Ausnet]:[United Energy]],MATCH("TOU - Shoulder",OP_TotalRates_RES_1[Rate name],0),MATCH(OP_CMAB!I$24,OP_TotalRates_RES_1[[#Headers],[Ausnet]:[United Energy]],0))*
INDEX(Input_Usage[[F-CurrentVDO_Input]:[F-NextVDO_Input]],MATCH($D12&amp;" - Shoulder",Input_Usage[Ref],0),MATCH($D$21,Inputs!$I$133:$M$133,0))),0)+
(INDEX(OP_TotalRates_RES_1[[Ausnet]:[United Energy]],MATCH("Off peak",OP_TotalRates_RES_1[Rate name],0),MATCH(OP_CMAB!I$24,OP_TotalRates_RES_1[[#Headers],[Ausnet]:[United Energy]],0))*
INDEX(Input_Usage[[F-CurrentVDO_Input]:[F-NextVDO_Input]],MATCH($D12&amp;" - Off peak",Input_Usage[Ref],0),MATCH($D$21,Inputs!$I$133:$M$133,0))),0),0,1))</f>
        <v>0</v>
      </c>
      <c r="M16" s="94">
        <f>IF($D$21="VDO 2021 - Final",
IF(M12=
ROUNDUP(
(INDEX(OP_TotalRates_SME_1[[Ausnet]:[United Energy]],MATCH("Anytime - supply",OP_TotalRates_SME_1[Rate name],0),MATCH(OP_CMAB!M$24,OP_TotalRates_SME_1[[#Headers],[Ausnet]:[United Energy]],0))*DiY)+
(IFERROR((INDEX(OP_TotalRates_SME_1[[Ausnet]:[United Energy]],MATCH("Block 1",OP_TotalRates_SME_1[Rate name],0),MATCH(OP_CMAB!M$24,OP_TotalRates_SME_1[[#Headers],[Ausnet]:[United Energy]],0))*
INDEX(Input_Usage[[F-CurrentVDO_Input]:[F-NextVDO_Input]],MATCH(OP_CMAB!$L12&amp;" - Block 1",Input_Usage[Ref],0),MATCH(OP_CMAB!$D$21,Inputs!$I$133:$M$133,0))),0)+
IFERROR((INDEX(OP_TotalRates_SME_1[[Ausnet]:[United Energy]],MATCH("Balance",OP_TotalRates_SME_1[Rate name],0),MATCH(OP_CMAB!M$24,OP_TotalRates_SME_1[[#Headers],[Ausnet]:[United Energy]],0))*
INDEX(Input_Usage[[F-CurrentVDO_Input]:[F-NextVDO_Input]],MATCH(OP_CMAB!$L12&amp;" - Balance",Input_Usage[Ref],0),MATCH(OP_CMAB!$D$21,Inputs!$I$133:$M$133,0))),0)+
IFERROR((INDEX(OP_TotalRates_SME_1[[Ausnet]:[United Energy]],MATCH("Single rate",OP_TotalRates_SME_1[Rate name],0),MATCH(OP_CMAB!M$24,OP_TotalRates_SME_1[[#Headers],[Ausnet]:[United Energy]],0))*
INDEX(Input_Usage[[F-CurrentVDO_Input]:[F-NextVDO_Input]],MATCH(OP_CMAB!$L12&amp;" - Annual",Input_Usage[Ref],0),MATCH(OP_CMAB!$D$21,Inputs!$I$133:$M$133,0))),0)),0),0,1),
IF(M12=
ROUNDUP(
(INDEX(OP_TotalRates_SME_1[[Ausnet]:[United Energy]],MATCH("TOU - supply",OP_TotalRates_SME_1[Rate name],0),MATCH(OP_CMAB!M$24,OP_TotalRates_SME_1[[#Headers],[Ausnet]:[United Energy]],0))*DiY)+
(INDEX(OP_TotalRates_SME_1[[Ausnet]:[United Energy]],MATCH("Peak",OP_TotalRates_SME_1[Rate name],0),MATCH(OP_CMAB!M$24,OP_TotalRates_SME_1[[#Headers],[Ausnet]:[United Energy]],0))*
INDEX(Input_Usage[[F-CurrentVDO_Input]:[F-NextVDO_Input]],MATCH($L12&amp;" - Peak",Input_Usage[Ref],0),MATCH($D$21,Inputs!$I$133:$M$133,0)))+
IFERROR((INDEX(OP_TotalRates_SME_1[[Ausnet]:[United Energy]],MATCH("TOU - Shoulder",OP_TotalRates_SME_1[Rate name],0),MATCH(OP_CMAB!M$24,OP_TotalRates_SME_1[[#Headers],[Ausnet]:[United Energy]],0))*
INDEX(Input_Usage[[F-CurrentVDO_Input]:[F-NextVDO_Input]],MATCH($L12&amp;" - Shoulder",Input_Usage[Ref],0),MATCH($D$21,Inputs!$I$133:$M$133,0))),0)+
(INDEX(OP_TotalRates_SME_1[[Ausnet]:[United Energy]],MATCH("Off peak",OP_TotalRates_SME_1[Rate name],0),MATCH(OP_CMAB!M$24,OP_TotalRates_SME_1[[#Headers],[Ausnet]:[United Energy]],0))*
INDEX(Input_Usage[[F-CurrentVDO_Input]:[F-NextVDO_Input]],MATCH($L12&amp;" - Off peak",Input_Usage[Ref],0),MATCH($D$21,Inputs!$I$133:$M$133,0))),0),0,1))</f>
        <v>0</v>
      </c>
      <c r="N16" s="94">
        <f>IF($D$21="VDO 2021 - Final",
IF(N12=
ROUNDUP(
(INDEX(OP_TotalRates_SME_1[[Ausnet]:[United Energy]],MATCH("Anytime - supply",OP_TotalRates_SME_1[Rate name],0),MATCH(OP_CMAB!N$24,OP_TotalRates_SME_1[[#Headers],[Ausnet]:[United Energy]],0))*DiY)+
(IFERROR((INDEX(OP_TotalRates_SME_1[[Ausnet]:[United Energy]],MATCH("Block 1",OP_TotalRates_SME_1[Rate name],0),MATCH(OP_CMAB!N$24,OP_TotalRates_SME_1[[#Headers],[Ausnet]:[United Energy]],0))*
INDEX(Input_Usage[[F-CurrentVDO_Input]:[F-NextVDO_Input]],MATCH(OP_CMAB!$L12&amp;" - Block 1",Input_Usage[Ref],0),MATCH(OP_CMAB!$D$21,Inputs!$I$133:$M$133,0))),0)+
IFERROR((INDEX(OP_TotalRates_SME_1[[Ausnet]:[United Energy]],MATCH("Balance",OP_TotalRates_SME_1[Rate name],0),MATCH(OP_CMAB!N$24,OP_TotalRates_SME_1[[#Headers],[Ausnet]:[United Energy]],0))*
INDEX(Input_Usage[[F-CurrentVDO_Input]:[F-NextVDO_Input]],MATCH(OP_CMAB!$L12&amp;" - Balance",Input_Usage[Ref],0),MATCH(OP_CMAB!$D$21,Inputs!$I$133:$M$133,0))),0)+
IFERROR((INDEX(OP_TotalRates_SME_1[[Ausnet]:[United Energy]],MATCH("Single rate",OP_TotalRates_SME_1[Rate name],0),MATCH(OP_CMAB!N$24,OP_TotalRates_SME_1[[#Headers],[Ausnet]:[United Energy]],0))*
INDEX(Input_Usage[[F-CurrentVDO_Input]:[F-NextVDO_Input]],MATCH(OP_CMAB!$L12&amp;" - Annual",Input_Usage[Ref],0),MATCH(OP_CMAB!$D$21,Inputs!$I$133:$M$133,0))),0)),0),0,1),
IF(N12=
ROUNDUP(
(INDEX(OP_TotalRates_SME_1[[Ausnet]:[United Energy]],MATCH("TOU - supply",OP_TotalRates_SME_1[Rate name],0),MATCH(OP_CMAB!N$24,OP_TotalRates_SME_1[[#Headers],[Ausnet]:[United Energy]],0))*DiY)+
(INDEX(OP_TotalRates_SME_1[[Ausnet]:[United Energy]],MATCH("Peak",OP_TotalRates_SME_1[Rate name],0),MATCH(OP_CMAB!N$24,OP_TotalRates_SME_1[[#Headers],[Ausnet]:[United Energy]],0))*
INDEX(Input_Usage[[F-CurrentVDO_Input]:[F-NextVDO_Input]],MATCH($L12&amp;" - Peak",Input_Usage[Ref],0),MATCH($D$21,Inputs!$I$133:$M$133,0)))+
IFERROR((INDEX(OP_TotalRates_SME_1[[Ausnet]:[United Energy]],MATCH("TOU - Shoulder",OP_TotalRates_SME_1[Rate name],0),MATCH(OP_CMAB!N$24,OP_TotalRates_SME_1[[#Headers],[Ausnet]:[United Energy]],0))*
INDEX(Input_Usage[[F-CurrentVDO_Input]:[F-NextVDO_Input]],MATCH($L12&amp;" - Shoulder",Input_Usage[Ref],0),MATCH($D$21,Inputs!$I$133:$M$133,0))),0)+
(INDEX(OP_TotalRates_SME_1[[Ausnet]:[United Energy]],MATCH("Off peak",OP_TotalRates_SME_1[Rate name],0),MATCH(OP_CMAB!N$24,OP_TotalRates_SME_1[[#Headers],[Ausnet]:[United Energy]],0))*
INDEX(Input_Usage[[F-CurrentVDO_Input]:[F-NextVDO_Input]],MATCH($L12&amp;" - Off peak",Input_Usage[Ref],0),MATCH($D$21,Inputs!$I$133:$M$133,0))),0),0,1))</f>
        <v>0</v>
      </c>
      <c r="O16" s="94">
        <f>IF($D$21="VDO 2021 - Final",
IF(O12=
ROUNDUP(
(INDEX(OP_TotalRates_SME_1[[Ausnet]:[United Energy]],MATCH("Anytime - supply",OP_TotalRates_SME_1[Rate name],0),MATCH(OP_CMAB!O$24,OP_TotalRates_SME_1[[#Headers],[Ausnet]:[United Energy]],0))*DiY)+
(IFERROR((INDEX(OP_TotalRates_SME_1[[Ausnet]:[United Energy]],MATCH("Block 1",OP_TotalRates_SME_1[Rate name],0),MATCH(OP_CMAB!O$24,OP_TotalRates_SME_1[[#Headers],[Ausnet]:[United Energy]],0))*
INDEX(Input_Usage[[F-CurrentVDO_Input]:[F-NextVDO_Input]],MATCH(OP_CMAB!$L12&amp;" - Block 1",Input_Usage[Ref],0),MATCH(OP_CMAB!$D$21,Inputs!$I$133:$M$133,0))),0)+
IFERROR((INDEX(OP_TotalRates_SME_1[[Ausnet]:[United Energy]],MATCH("Balance",OP_TotalRates_SME_1[Rate name],0),MATCH(OP_CMAB!O$24,OP_TotalRates_SME_1[[#Headers],[Ausnet]:[United Energy]],0))*
INDEX(Input_Usage[[F-CurrentVDO_Input]:[F-NextVDO_Input]],MATCH(OP_CMAB!$L12&amp;" - Balance",Input_Usage[Ref],0),MATCH(OP_CMAB!$D$21,Inputs!$I$133:$M$133,0))),0)+
IFERROR((INDEX(OP_TotalRates_SME_1[[Ausnet]:[United Energy]],MATCH("Single rate",OP_TotalRates_SME_1[Rate name],0),MATCH(OP_CMAB!O$24,OP_TotalRates_SME_1[[#Headers],[Ausnet]:[United Energy]],0))*
INDEX(Input_Usage[[F-CurrentVDO_Input]:[F-NextVDO_Input]],MATCH(OP_CMAB!$L12&amp;" - Annual",Input_Usage[Ref],0),MATCH(OP_CMAB!$D$21,Inputs!$I$133:$M$133,0))),0)),0),0,1),
IF(O12=
ROUNDUP(
(INDEX(OP_TotalRates_SME_1[[Ausnet]:[United Energy]],MATCH("TOU - supply",OP_TotalRates_SME_1[Rate name],0),MATCH(OP_CMAB!O$24,OP_TotalRates_SME_1[[#Headers],[Ausnet]:[United Energy]],0))*DiY)+
(INDEX(OP_TotalRates_SME_1[[Ausnet]:[United Energy]],MATCH("Peak",OP_TotalRates_SME_1[Rate name],0),MATCH(OP_CMAB!O$24,OP_TotalRates_SME_1[[#Headers],[Ausnet]:[United Energy]],0))*
INDEX(Input_Usage[[F-CurrentVDO_Input]:[F-NextVDO_Input]],MATCH($L12&amp;" - Peak",Input_Usage[Ref],0),MATCH($D$21,Inputs!$I$133:$M$133,0)))+
IFERROR((INDEX(OP_TotalRates_SME_1[[Ausnet]:[United Energy]],MATCH("TOU - Shoulder",OP_TotalRates_SME_1[Rate name],0),MATCH(OP_CMAB!O$24,OP_TotalRates_SME_1[[#Headers],[Ausnet]:[United Energy]],0))*
INDEX(Input_Usage[[F-CurrentVDO_Input]:[F-NextVDO_Input]],MATCH($L12&amp;" - Shoulder",Input_Usage[Ref],0),MATCH($D$21,Inputs!$I$133:$M$133,0))),0)+
(INDEX(OP_TotalRates_SME_1[[Ausnet]:[United Energy]],MATCH("Off peak",OP_TotalRates_SME_1[Rate name],0),MATCH(OP_CMAB!O$24,OP_TotalRates_SME_1[[#Headers],[Ausnet]:[United Energy]],0))*
INDEX(Input_Usage[[F-CurrentVDO_Input]:[F-NextVDO_Input]],MATCH($L12&amp;" - Off peak",Input_Usage[Ref],0),MATCH($D$21,Inputs!$I$133:$M$133,0))),0),0,1))</f>
        <v>0</v>
      </c>
      <c r="P16" s="94">
        <f>IF($D$21="VDO 2021 - Final",
IF(P12=
ROUNDUP(
(INDEX(OP_TotalRates_SME_1[[Ausnet]:[United Energy]],MATCH("Anytime - supply",OP_TotalRates_SME_1[Rate name],0),MATCH(OP_CMAB!P$24,OP_TotalRates_SME_1[[#Headers],[Ausnet]:[United Energy]],0))*DiY)+
(IFERROR((INDEX(OP_TotalRates_SME_1[[Ausnet]:[United Energy]],MATCH("Block 1",OP_TotalRates_SME_1[Rate name],0),MATCH(OP_CMAB!P$24,OP_TotalRates_SME_1[[#Headers],[Ausnet]:[United Energy]],0))*
INDEX(Input_Usage[[F-CurrentVDO_Input]:[F-NextVDO_Input]],MATCH(OP_CMAB!$L12&amp;" - Block 1",Input_Usage[Ref],0),MATCH(OP_CMAB!$D$21,Inputs!$I$133:$M$133,0))),0)+
IFERROR((INDEX(OP_TotalRates_SME_1[[Ausnet]:[United Energy]],MATCH("Balance",OP_TotalRates_SME_1[Rate name],0),MATCH(OP_CMAB!P$24,OP_TotalRates_SME_1[[#Headers],[Ausnet]:[United Energy]],0))*
INDEX(Input_Usage[[F-CurrentVDO_Input]:[F-NextVDO_Input]],MATCH(OP_CMAB!$L12&amp;" - Balance",Input_Usage[Ref],0),MATCH(OP_CMAB!$D$21,Inputs!$I$133:$M$133,0))),0)+
IFERROR((INDEX(OP_TotalRates_SME_1[[Ausnet]:[United Energy]],MATCH("Single rate",OP_TotalRates_SME_1[Rate name],0),MATCH(OP_CMAB!P$24,OP_TotalRates_SME_1[[#Headers],[Ausnet]:[United Energy]],0))*
INDEX(Input_Usage[[F-CurrentVDO_Input]:[F-NextVDO_Input]],MATCH(OP_CMAB!$L12&amp;" - Annual",Input_Usage[Ref],0),MATCH(OP_CMAB!$D$21,Inputs!$I$133:$M$133,0))),0)),0),0,1),
IF(P12=
ROUNDUP(
(INDEX(OP_TotalRates_SME_1[[Ausnet]:[United Energy]],MATCH("TOU - supply",OP_TotalRates_SME_1[Rate name],0),MATCH(OP_CMAB!P$24,OP_TotalRates_SME_1[[#Headers],[Ausnet]:[United Energy]],0))*DiY)+
(INDEX(OP_TotalRates_SME_1[[Ausnet]:[United Energy]],MATCH("Peak",OP_TotalRates_SME_1[Rate name],0),MATCH(OP_CMAB!P$24,OP_TotalRates_SME_1[[#Headers],[Ausnet]:[United Energy]],0))*
INDEX(Input_Usage[[F-CurrentVDO_Input]:[F-NextVDO_Input]],MATCH($L12&amp;" - Peak",Input_Usage[Ref],0),MATCH($D$21,Inputs!$I$133:$M$133,0)))+
IFERROR((INDEX(OP_TotalRates_SME_1[[Ausnet]:[United Energy]],MATCH("TOU - Shoulder",OP_TotalRates_SME_1[Rate name],0),MATCH(OP_CMAB!P$24,OP_TotalRates_SME_1[[#Headers],[Ausnet]:[United Energy]],0))*
INDEX(Input_Usage[[F-CurrentVDO_Input]:[F-NextVDO_Input]],MATCH($L12&amp;" - Shoulder",Input_Usage[Ref],0),MATCH($D$21,Inputs!$I$133:$M$133,0))),0)+
(INDEX(OP_TotalRates_SME_1[[Ausnet]:[United Energy]],MATCH("Off peak",OP_TotalRates_SME_1[Rate name],0),MATCH(OP_CMAB!P$24,OP_TotalRates_SME_1[[#Headers],[Ausnet]:[United Energy]],0))*
INDEX(Input_Usage[[F-CurrentVDO_Input]:[F-NextVDO_Input]],MATCH($L12&amp;" - Off peak",Input_Usage[Ref],0),MATCH($D$21,Inputs!$I$133:$M$133,0))),0),0,1))</f>
        <v>0</v>
      </c>
      <c r="Q16" s="94">
        <f>IF($D$21="VDO 2021 - Final",
IF(Q12=
ROUNDUP(
(INDEX(OP_TotalRates_SME_1[[Ausnet]:[United Energy]],MATCH("Anytime - supply",OP_TotalRates_SME_1[Rate name],0),MATCH(OP_CMAB!Q$24,OP_TotalRates_SME_1[[#Headers],[Ausnet]:[United Energy]],0))*DiY)+
(IFERROR((INDEX(OP_TotalRates_SME_1[[Ausnet]:[United Energy]],MATCH("Block 1",OP_TotalRates_SME_1[Rate name],0),MATCH(OP_CMAB!Q$24,OP_TotalRates_SME_1[[#Headers],[Ausnet]:[United Energy]],0))*
INDEX(Input_Usage[[F-CurrentVDO_Input]:[F-NextVDO_Input]],MATCH(OP_CMAB!$L12&amp;" - Block 1",Input_Usage[Ref],0),MATCH(OP_CMAB!$D$21,Inputs!$I$133:$M$133,0))),0)+
IFERROR((INDEX(OP_TotalRates_SME_1[[Ausnet]:[United Energy]],MATCH("Balance",OP_TotalRates_SME_1[Rate name],0),MATCH(OP_CMAB!Q$24,OP_TotalRates_SME_1[[#Headers],[Ausnet]:[United Energy]],0))*
INDEX(Input_Usage[[F-CurrentVDO_Input]:[F-NextVDO_Input]],MATCH(OP_CMAB!$L12&amp;" - Balance",Input_Usage[Ref],0),MATCH(OP_CMAB!$D$21,Inputs!$I$133:$M$133,0))),0)+
IFERROR((INDEX(OP_TotalRates_SME_1[[Ausnet]:[United Energy]],MATCH("Single rate",OP_TotalRates_SME_1[Rate name],0),MATCH(OP_CMAB!Q$24,OP_TotalRates_SME_1[[#Headers],[Ausnet]:[United Energy]],0))*
INDEX(Input_Usage[[F-CurrentVDO_Input]:[F-NextVDO_Input]],MATCH(OP_CMAB!$L12&amp;" - Annual",Input_Usage[Ref],0),MATCH(OP_CMAB!$D$21,Inputs!$I$133:$M$133,0))),0)),0),0,1),
IF(Q12=
ROUNDUP(
(INDEX(OP_TotalRates_SME_1[[Ausnet]:[United Energy]],MATCH("TOU - supply",OP_TotalRates_SME_1[Rate name],0),MATCH(OP_CMAB!Q$24,OP_TotalRates_SME_1[[#Headers],[Ausnet]:[United Energy]],0))*DiY)+
(INDEX(OP_TotalRates_SME_1[[Ausnet]:[United Energy]],MATCH("Peak",OP_TotalRates_SME_1[Rate name],0),MATCH(OP_CMAB!Q$24,OP_TotalRates_SME_1[[#Headers],[Ausnet]:[United Energy]],0))*
INDEX(Input_Usage[[F-CurrentVDO_Input]:[F-NextVDO_Input]],MATCH($L12&amp;" - Peak",Input_Usage[Ref],0),MATCH($D$21,Inputs!$I$133:$M$133,0)))+
IFERROR((INDEX(OP_TotalRates_SME_1[[Ausnet]:[United Energy]],MATCH("TOU - Shoulder",OP_TotalRates_SME_1[Rate name],0),MATCH(OP_CMAB!Q$24,OP_TotalRates_SME_1[[#Headers],[Ausnet]:[United Energy]],0))*
INDEX(Input_Usage[[F-CurrentVDO_Input]:[F-NextVDO_Input]],MATCH($L12&amp;" - Shoulder",Input_Usage[Ref],0),MATCH($D$21,Inputs!$I$133:$M$133,0))),0)+
(INDEX(OP_TotalRates_SME_1[[Ausnet]:[United Energy]],MATCH("Off peak",OP_TotalRates_SME_1[Rate name],0),MATCH(OP_CMAB!Q$24,OP_TotalRates_SME_1[[#Headers],[Ausnet]:[United Energy]],0))*
INDEX(Input_Usage[[F-CurrentVDO_Input]:[F-NextVDO_Input]],MATCH($L12&amp;" - Off peak",Input_Usage[Ref],0),MATCH($D$21,Inputs!$I$133:$M$133,0))),0),0,1))</f>
        <v>0</v>
      </c>
    </row>
    <row r="17" spans="1:18" ht="15.75" hidden="1" x14ac:dyDescent="0.25">
      <c r="E17" s="94">
        <f>IF($D$21="VDO 2021 - Final",
IF(E13=
ROUNDUP(
(INDEX(OP_TotalRates_RES_1[[Ausnet]:[United Energy]],MATCH("Anytime - supply",OP_TotalRates_RES_1[Rate name],0),MATCH(OP_CMAB!E$24,OP_TotalRates_RES_1[[#Headers],[Ausnet]:[United Energy]],0))*DiY)+
(IFERROR((INDEX(OP_TotalRates_RES_1[[Ausnet]:[United Energy]],MATCH("Block 1",OP_TotalRates_RES_1[Rate name],0),MATCH(OP_CMAB!E$24,OP_TotalRates_RES_1[[#Headers],[Ausnet]:[United Energy]],0))*
INDEX(Input_Usage[[F-CurrentVDO_Input]:[F-NextVDO_Input]],MATCH(OP_CMAB!$D13&amp;" - Block 1",Input_Usage[Ref],0),MATCH(OP_CMAB!$D$21,Inputs!$I$133:$M$133,0))),0)+
IFERROR((INDEX(OP_TotalRates_RES_1[[Ausnet]:[United Energy]],MATCH("Balance",OP_TotalRates_RES_1[Rate name],0),MATCH(OP_CMAB!E$24,OP_TotalRates_RES_1[[#Headers],[Ausnet]:[United Energy]],0))*
INDEX(Input_Usage[[F-CurrentVDO_Input]:[F-NextVDO_Input]],MATCH(OP_CMAB!$D13&amp;" - Balance",Input_Usage[Ref],0),MATCH(OP_CMAB!$D$21,Inputs!$I$133:$M$133,0))),0)+
IFERROR((INDEX(OP_TotalRates_RES_1[[Ausnet]:[United Energy]],MATCH("Single rate",OP_TotalRates_RES_1[Rate name],0),MATCH(OP_CMAB!E$24,OP_TotalRates_RES_1[[#Headers],[Ausnet]:[United Energy]],0))*
INDEX(Input_Usage[[F-CurrentVDO_Input]:[F-NextVDO_Input]],MATCH(OP_CMAB!$D13&amp;" - Annual",Input_Usage[Ref],0),MATCH(OP_CMAB!$D$21,Inputs!$I$133:$M$133,0))),0)),0),0,1),
IF(E13=
ROUNDUP(
(INDEX(OP_TotalRates_RES_1[[Ausnet]:[United Energy]],MATCH("TOU - supply",OP_TotalRates_RES_1[Rate name],0),MATCH(OP_CMAB!E$24,OP_TotalRates_RES_1[[#Headers],[Ausnet]:[United Energy]],0))*DiY)+
(INDEX(OP_TotalRates_RES_1[[Ausnet]:[United Energy]],MATCH("Peak",OP_TotalRates_RES_1[Rate name],0),MATCH(OP_CMAB!E$24,OP_TotalRates_RES_1[[#Headers],[Ausnet]:[United Energy]],0))*
INDEX(Input_Usage[[F-CurrentVDO_Input]:[F-NextVDO_Input]],MATCH($D13&amp;" - Peak",Input_Usage[Ref],0),MATCH($D$21,Inputs!$I$133:$M$133,0)))+
IFERROR((INDEX(OP_TotalRates_RES_1[[Ausnet]:[United Energy]],MATCH("TOU - Shoulder",OP_TotalRates_RES_1[Rate name],0),MATCH(OP_CMAB!E$24,OP_TotalRates_RES_1[[#Headers],[Ausnet]:[United Energy]],0))*
INDEX(Input_Usage[[F-CurrentVDO_Input]:[F-NextVDO_Input]],MATCH($D13&amp;" - Shoulder",Input_Usage[Ref],0),MATCH($D$21,Inputs!$I$133:$M$133,0))),0)+
(INDEX(OP_TotalRates_RES_1[[Ausnet]:[United Energy]],MATCH("Off peak",OP_TotalRates_RES_1[Rate name],0),MATCH(OP_CMAB!E$24,OP_TotalRates_RES_1[[#Headers],[Ausnet]:[United Energy]],0))*
INDEX(Input_Usage[[F-CurrentVDO_Input]:[F-NextVDO_Input]],MATCH($D13&amp;" - Off peak",Input_Usage[Ref],0),MATCH($D$21,Inputs!$I$133:$M$133,0))),0),0,1))</f>
        <v>0</v>
      </c>
      <c r="F17" s="94">
        <f>IF($D$21="VDO 2021 - Final",
IF(F13=
ROUNDUP(
(INDEX(OP_TotalRates_RES_1[[Ausnet]:[United Energy]],MATCH("Anytime - supply",OP_TotalRates_RES_1[Rate name],0),MATCH(OP_CMAB!F$24,OP_TotalRates_RES_1[[#Headers],[Ausnet]:[United Energy]],0))*DiY)+
(IFERROR((INDEX(OP_TotalRates_RES_1[[Ausnet]:[United Energy]],MATCH("Block 1",OP_TotalRates_RES_1[Rate name],0),MATCH(OP_CMAB!F$24,OP_TotalRates_RES_1[[#Headers],[Ausnet]:[United Energy]],0))*
INDEX(Input_Usage[[F-CurrentVDO_Input]:[F-NextVDO_Input]],MATCH(OP_CMAB!$D13&amp;" - Block 1",Input_Usage[Ref],0),MATCH(OP_CMAB!$D$21,Inputs!$I$133:$M$133,0))),0)+
IFERROR((INDEX(OP_TotalRates_RES_1[[Ausnet]:[United Energy]],MATCH("Balance",OP_TotalRates_RES_1[Rate name],0),MATCH(OP_CMAB!F$24,OP_TotalRates_RES_1[[#Headers],[Ausnet]:[United Energy]],0))*
INDEX(Input_Usage[[F-CurrentVDO_Input]:[F-NextVDO_Input]],MATCH(OP_CMAB!$D13&amp;" - Balance",Input_Usage[Ref],0),MATCH(OP_CMAB!$D$21,Inputs!$I$133:$M$133,0))),0)+
IFERROR((INDEX(OP_TotalRates_RES_1[[Ausnet]:[United Energy]],MATCH("Single rate",OP_TotalRates_RES_1[Rate name],0),MATCH(OP_CMAB!F$24,OP_TotalRates_RES_1[[#Headers],[Ausnet]:[United Energy]],0))*
INDEX(Input_Usage[[F-CurrentVDO_Input]:[F-NextVDO_Input]],MATCH(OP_CMAB!$D13&amp;" - Annual",Input_Usage[Ref],0),MATCH(OP_CMAB!$D$21,Inputs!$I$133:$M$133,0))),0)),0),0,1),
IF(F13=
ROUNDUP(
(INDEX(OP_TotalRates_RES_1[[Ausnet]:[United Energy]],MATCH("TOU - supply",OP_TotalRates_RES_1[Rate name],0),MATCH(OP_CMAB!F$24,OP_TotalRates_RES_1[[#Headers],[Ausnet]:[United Energy]],0))*DiY)+
(INDEX(OP_TotalRates_RES_1[[Ausnet]:[United Energy]],MATCH("Peak",OP_TotalRates_RES_1[Rate name],0),MATCH(OP_CMAB!F$24,OP_TotalRates_RES_1[[#Headers],[Ausnet]:[United Energy]],0))*
INDEX(Input_Usage[[F-CurrentVDO_Input]:[F-NextVDO_Input]],MATCH($D13&amp;" - Peak",Input_Usage[Ref],0),MATCH($D$21,Inputs!$I$133:$M$133,0)))+
IFERROR((INDEX(OP_TotalRates_RES_1[[Ausnet]:[United Energy]],MATCH("TOU - Shoulder",OP_TotalRates_RES_1[Rate name],0),MATCH(OP_CMAB!F$24,OP_TotalRates_RES_1[[#Headers],[Ausnet]:[United Energy]],0))*
INDEX(Input_Usage[[F-CurrentVDO_Input]:[F-NextVDO_Input]],MATCH($D13&amp;" - Shoulder",Input_Usage[Ref],0),MATCH($D$21,Inputs!$I$133:$M$133,0))),0)+
(INDEX(OP_TotalRates_RES_1[[Ausnet]:[United Energy]],MATCH("Off peak",OP_TotalRates_RES_1[Rate name],0),MATCH(OP_CMAB!F$24,OP_TotalRates_RES_1[[#Headers],[Ausnet]:[United Energy]],0))*
INDEX(Input_Usage[[F-CurrentVDO_Input]:[F-NextVDO_Input]],MATCH($D13&amp;" - Off peak",Input_Usage[Ref],0),MATCH($D$21,Inputs!$I$133:$M$133,0))),0),0,1))</f>
        <v>0</v>
      </c>
      <c r="G17" s="94">
        <f>IF($D$21="VDO 2021 - Final",
IF(G13=
ROUNDUP(
(INDEX(OP_TotalRates_RES_1[[Ausnet]:[United Energy]],MATCH("Anytime - supply",OP_TotalRates_RES_1[Rate name],0),MATCH(OP_CMAB!G$24,OP_TotalRates_RES_1[[#Headers],[Ausnet]:[United Energy]],0))*DiY)+
(IFERROR((INDEX(OP_TotalRates_RES_1[[Ausnet]:[United Energy]],MATCH("Block 1",OP_TotalRates_RES_1[Rate name],0),MATCH(OP_CMAB!G$24,OP_TotalRates_RES_1[[#Headers],[Ausnet]:[United Energy]],0))*
INDEX(Input_Usage[[F-CurrentVDO_Input]:[F-NextVDO_Input]],MATCH(OP_CMAB!$D13&amp;" - Block 1",Input_Usage[Ref],0),MATCH(OP_CMAB!$D$21,Inputs!$I$133:$M$133,0))),0)+
IFERROR((INDEX(OP_TotalRates_RES_1[[Ausnet]:[United Energy]],MATCH("Balance",OP_TotalRates_RES_1[Rate name],0),MATCH(OP_CMAB!G$24,OP_TotalRates_RES_1[[#Headers],[Ausnet]:[United Energy]],0))*
INDEX(Input_Usage[[F-CurrentVDO_Input]:[F-NextVDO_Input]],MATCH(OP_CMAB!$D13&amp;" - Balance",Input_Usage[Ref],0),MATCH(OP_CMAB!$D$21,Inputs!$I$133:$M$133,0))),0)+
IFERROR((INDEX(OP_TotalRates_RES_1[[Ausnet]:[United Energy]],MATCH("Single rate",OP_TotalRates_RES_1[Rate name],0),MATCH(OP_CMAB!G$24,OP_TotalRates_RES_1[[#Headers],[Ausnet]:[United Energy]],0))*
INDEX(Input_Usage[[F-CurrentVDO_Input]:[F-NextVDO_Input]],MATCH(OP_CMAB!$D13&amp;" - Annual",Input_Usage[Ref],0),MATCH(OP_CMAB!$D$21,Inputs!$I$133:$M$133,0))),0)),0),0,1),
IF(G13=
ROUNDUP(
(INDEX(OP_TotalRates_RES_1[[Ausnet]:[United Energy]],MATCH("TOU - supply",OP_TotalRates_RES_1[Rate name],0),MATCH(OP_CMAB!G$24,OP_TotalRates_RES_1[[#Headers],[Ausnet]:[United Energy]],0))*DiY)+
(INDEX(OP_TotalRates_RES_1[[Ausnet]:[United Energy]],MATCH("Peak",OP_TotalRates_RES_1[Rate name],0),MATCH(OP_CMAB!G$24,OP_TotalRates_RES_1[[#Headers],[Ausnet]:[United Energy]],0))*
INDEX(Input_Usage[[F-CurrentVDO_Input]:[F-NextVDO_Input]],MATCH($D13&amp;" - Peak",Input_Usage[Ref],0),MATCH($D$21,Inputs!$I$133:$M$133,0)))+
IFERROR((INDEX(OP_TotalRates_RES_1[[Ausnet]:[United Energy]],MATCH("TOU - Shoulder",OP_TotalRates_RES_1[Rate name],0),MATCH(OP_CMAB!G$24,OP_TotalRates_RES_1[[#Headers],[Ausnet]:[United Energy]],0))*
INDEX(Input_Usage[[F-CurrentVDO_Input]:[F-NextVDO_Input]],MATCH($D13&amp;" - Shoulder",Input_Usage[Ref],0),MATCH($D$21,Inputs!$I$133:$M$133,0))),0)+
(INDEX(OP_TotalRates_RES_1[[Ausnet]:[United Energy]],MATCH("Off peak",OP_TotalRates_RES_1[Rate name],0),MATCH(OP_CMAB!G$24,OP_TotalRates_RES_1[[#Headers],[Ausnet]:[United Energy]],0))*
INDEX(Input_Usage[[F-CurrentVDO_Input]:[F-NextVDO_Input]],MATCH($D13&amp;" - Off peak",Input_Usage[Ref],0),MATCH($D$21,Inputs!$I$133:$M$133,0))),0),0,1))</f>
        <v>0</v>
      </c>
      <c r="H17" s="94">
        <f>IF($D$21="VDO 2021 - Final",
IF(H13=
ROUNDUP(
(INDEX(OP_TotalRates_RES_1[[Ausnet]:[United Energy]],MATCH("Anytime - supply",OP_TotalRates_RES_1[Rate name],0),MATCH(OP_CMAB!H$24,OP_TotalRates_RES_1[[#Headers],[Ausnet]:[United Energy]],0))*DiY)+
(IFERROR((INDEX(OP_TotalRates_RES_1[[Ausnet]:[United Energy]],MATCH("Block 1",OP_TotalRates_RES_1[Rate name],0),MATCH(OP_CMAB!H$24,OP_TotalRates_RES_1[[#Headers],[Ausnet]:[United Energy]],0))*
INDEX(Input_Usage[[F-CurrentVDO_Input]:[F-NextVDO_Input]],MATCH(OP_CMAB!$D13&amp;" - Block 1",Input_Usage[Ref],0),MATCH(OP_CMAB!$D$21,Inputs!$I$133:$M$133,0))),0)+
IFERROR((INDEX(OP_TotalRates_RES_1[[Ausnet]:[United Energy]],MATCH("Balance",OP_TotalRates_RES_1[Rate name],0),MATCH(OP_CMAB!H$24,OP_TotalRates_RES_1[[#Headers],[Ausnet]:[United Energy]],0))*
INDEX(Input_Usage[[F-CurrentVDO_Input]:[F-NextVDO_Input]],MATCH(OP_CMAB!$D13&amp;" - Balance",Input_Usage[Ref],0),MATCH(OP_CMAB!$D$21,Inputs!$I$133:$M$133,0))),0)+
IFERROR((INDEX(OP_TotalRates_RES_1[[Ausnet]:[United Energy]],MATCH("Single rate",OP_TotalRates_RES_1[Rate name],0),MATCH(OP_CMAB!H$24,OP_TotalRates_RES_1[[#Headers],[Ausnet]:[United Energy]],0))*
INDEX(Input_Usage[[F-CurrentVDO_Input]:[F-NextVDO_Input]],MATCH(OP_CMAB!$D13&amp;" - Annual",Input_Usage[Ref],0),MATCH(OP_CMAB!$D$21,Inputs!$I$133:$M$133,0))),0)),0),0,1),
IF(H13=
ROUNDUP(
(INDEX(OP_TotalRates_RES_1[[Ausnet]:[United Energy]],MATCH("TOU - supply",OP_TotalRates_RES_1[Rate name],0),MATCH(OP_CMAB!H$24,OP_TotalRates_RES_1[[#Headers],[Ausnet]:[United Energy]],0))*DiY)+
(INDEX(OP_TotalRates_RES_1[[Ausnet]:[United Energy]],MATCH("Peak",OP_TotalRates_RES_1[Rate name],0),MATCH(OP_CMAB!H$24,OP_TotalRates_RES_1[[#Headers],[Ausnet]:[United Energy]],0))*
INDEX(Input_Usage[[F-CurrentVDO_Input]:[F-NextVDO_Input]],MATCH($D13&amp;" - Peak",Input_Usage[Ref],0),MATCH($D$21,Inputs!$I$133:$M$133,0)))+
IFERROR((INDEX(OP_TotalRates_RES_1[[Ausnet]:[United Energy]],MATCH("TOU - Shoulder",OP_TotalRates_RES_1[Rate name],0),MATCH(OP_CMAB!H$24,OP_TotalRates_RES_1[[#Headers],[Ausnet]:[United Energy]],0))*
INDEX(Input_Usage[[F-CurrentVDO_Input]:[F-NextVDO_Input]],MATCH($D13&amp;" - Shoulder",Input_Usage[Ref],0),MATCH($D$21,Inputs!$I$133:$M$133,0))),0)+
(INDEX(OP_TotalRates_RES_1[[Ausnet]:[United Energy]],MATCH("Off peak",OP_TotalRates_RES_1[Rate name],0),MATCH(OP_CMAB!H$24,OP_TotalRates_RES_1[[#Headers],[Ausnet]:[United Energy]],0))*
INDEX(Input_Usage[[F-CurrentVDO_Input]:[F-NextVDO_Input]],MATCH($D13&amp;" - Off peak",Input_Usage[Ref],0),MATCH($D$21,Inputs!$I$133:$M$133,0))),0),0,1))</f>
        <v>0</v>
      </c>
      <c r="I17" s="94">
        <f>IF($D$21="VDO 2021 - Final",
IF(I13=
ROUNDUP(
(INDEX(OP_TotalRates_RES_1[[Ausnet]:[United Energy]],MATCH("Anytime - supply",OP_TotalRates_RES_1[Rate name],0),MATCH(OP_CMAB!I$24,OP_TotalRates_RES_1[[#Headers],[Ausnet]:[United Energy]],0))*DiY)+
(IFERROR((INDEX(OP_TotalRates_RES_1[[Ausnet]:[United Energy]],MATCH("Block 1",OP_TotalRates_RES_1[Rate name],0),MATCH(OP_CMAB!I$24,OP_TotalRates_RES_1[[#Headers],[Ausnet]:[United Energy]],0))*
INDEX(Input_Usage[[F-CurrentVDO_Input]:[F-NextVDO_Input]],MATCH(OP_CMAB!$D13&amp;" - Block 1",Input_Usage[Ref],0),MATCH(OP_CMAB!$D$21,Inputs!$I$133:$M$133,0))),0)+
IFERROR((INDEX(OP_TotalRates_RES_1[[Ausnet]:[United Energy]],MATCH("Balance",OP_TotalRates_RES_1[Rate name],0),MATCH(OP_CMAB!I$24,OP_TotalRates_RES_1[[#Headers],[Ausnet]:[United Energy]],0))*
INDEX(Input_Usage[[F-CurrentVDO_Input]:[F-NextVDO_Input]],MATCH(OP_CMAB!$D13&amp;" - Balance",Input_Usage[Ref],0),MATCH(OP_CMAB!$D$21,Inputs!$I$133:$M$133,0))),0)+
IFERROR((INDEX(OP_TotalRates_RES_1[[Ausnet]:[United Energy]],MATCH("Single rate",OP_TotalRates_RES_1[Rate name],0),MATCH(OP_CMAB!I$24,OP_TotalRates_RES_1[[#Headers],[Ausnet]:[United Energy]],0))*
INDEX(Input_Usage[[F-CurrentVDO_Input]:[F-NextVDO_Input]],MATCH(OP_CMAB!$D13&amp;" - Annual",Input_Usage[Ref],0),MATCH(OP_CMAB!$D$21,Inputs!$I$133:$M$133,0))),0)),0),0,1),
IF(I13=
ROUNDUP(
(INDEX(OP_TotalRates_RES_1[[Ausnet]:[United Energy]],MATCH("TOU - supply",OP_TotalRates_RES_1[Rate name],0),MATCH(OP_CMAB!I$24,OP_TotalRates_RES_1[[#Headers],[Ausnet]:[United Energy]],0))*DiY)+
(INDEX(OP_TotalRates_RES_1[[Ausnet]:[United Energy]],MATCH("Peak",OP_TotalRates_RES_1[Rate name],0),MATCH(OP_CMAB!I$24,OP_TotalRates_RES_1[[#Headers],[Ausnet]:[United Energy]],0))*
INDEX(Input_Usage[[F-CurrentVDO_Input]:[F-NextVDO_Input]],MATCH($D13&amp;" - Peak",Input_Usage[Ref],0),MATCH($D$21,Inputs!$I$133:$M$133,0)))+
IFERROR((INDEX(OP_TotalRates_RES_1[[Ausnet]:[United Energy]],MATCH("TOU - Shoulder",OP_TotalRates_RES_1[Rate name],0),MATCH(OP_CMAB!I$24,OP_TotalRates_RES_1[[#Headers],[Ausnet]:[United Energy]],0))*
INDEX(Input_Usage[[F-CurrentVDO_Input]:[F-NextVDO_Input]],MATCH($D13&amp;" - Shoulder",Input_Usage[Ref],0),MATCH($D$21,Inputs!$I$133:$M$133,0))),0)+
(INDEX(OP_TotalRates_RES_1[[Ausnet]:[United Energy]],MATCH("Off peak",OP_TotalRates_RES_1[Rate name],0),MATCH(OP_CMAB!I$24,OP_TotalRates_RES_1[[#Headers],[Ausnet]:[United Energy]],0))*
INDEX(Input_Usage[[F-CurrentVDO_Input]:[F-NextVDO_Input]],MATCH($D13&amp;" - Off peak",Input_Usage[Ref],0),MATCH($D$21,Inputs!$I$133:$M$133,0))),0),0,1))</f>
        <v>0</v>
      </c>
      <c r="M17" s="94">
        <f>IF($D$21="VDO 2021 - Final",
IF(M13=
ROUNDUP(
(INDEX(OP_TotalRates_SME_1[[Ausnet]:[United Energy]],MATCH("Anytime - supply",OP_TotalRates_SME_1[Rate name],0),MATCH(OP_CMAB!M$24,OP_TotalRates_SME_1[[#Headers],[Ausnet]:[United Energy]],0))*DiY)+
(IFERROR((INDEX(OP_TotalRates_SME_1[[Ausnet]:[United Energy]],MATCH("Block 1",OP_TotalRates_SME_1[Rate name],0),MATCH(OP_CMAB!M$24,OP_TotalRates_SME_1[[#Headers],[Ausnet]:[United Energy]],0))*
INDEX(Input_Usage[[F-CurrentVDO_Input]:[F-NextVDO_Input]],MATCH(OP_CMAB!$L13&amp;" - Block 1",Input_Usage[Ref],0),MATCH(OP_CMAB!$D$21,Inputs!$I$133:$M$133,0))),0)+
IFERROR((INDEX(OP_TotalRates_SME_1[[Ausnet]:[United Energy]],MATCH("Balance",OP_TotalRates_SME_1[Rate name],0),MATCH(OP_CMAB!M$24,OP_TotalRates_SME_1[[#Headers],[Ausnet]:[United Energy]],0))*
INDEX(Input_Usage[[F-CurrentVDO_Input]:[F-NextVDO_Input]],MATCH(OP_CMAB!$L13&amp;" - Balance",Input_Usage[Ref],0),MATCH(OP_CMAB!$D$21,Inputs!$I$133:$M$133,0))),0)+
IFERROR((INDEX(OP_TotalRates_SME_1[[Ausnet]:[United Energy]],MATCH("Single rate",OP_TotalRates_SME_1[Rate name],0),MATCH(OP_CMAB!M$24,OP_TotalRates_SME_1[[#Headers],[Ausnet]:[United Energy]],0))*
INDEX(Input_Usage[[F-CurrentVDO_Input]:[F-NextVDO_Input]],MATCH(OP_CMAB!$L13&amp;" - Annual",Input_Usage[Ref],0),MATCH(OP_CMAB!$D$21,Inputs!$I$133:$M$133,0))),0)),0),0,1),
IF(M13=
ROUNDUP(
(INDEX(OP_TotalRates_SME_1[[Ausnet]:[United Energy]],MATCH("TOU - supply",OP_TotalRates_SME_1[Rate name],0),MATCH(OP_CMAB!M$24,OP_TotalRates_SME_1[[#Headers],[Ausnet]:[United Energy]],0))*DiY)+
(INDEX(OP_TotalRates_SME_1[[Ausnet]:[United Energy]],MATCH("Peak",OP_TotalRates_SME_1[Rate name],0),MATCH(OP_CMAB!M$24,OP_TotalRates_SME_1[[#Headers],[Ausnet]:[United Energy]],0))*
INDEX(Input_Usage[[F-CurrentVDO_Input]:[F-NextVDO_Input]],MATCH($L13&amp;" - Peak",Input_Usage[Ref],0),MATCH($D$21,Inputs!$I$133:$M$133,0)))+
IFERROR((INDEX(OP_TotalRates_SME_1[[Ausnet]:[United Energy]],MATCH("TOU - Shoulder",OP_TotalRates_SME_1[Rate name],0),MATCH(OP_CMAB!M$24,OP_TotalRates_SME_1[[#Headers],[Ausnet]:[United Energy]],0))*
INDEX(Input_Usage[[F-CurrentVDO_Input]:[F-NextVDO_Input]],MATCH($L13&amp;" - Shoulder",Input_Usage[Ref],0),MATCH($D$21,Inputs!$I$133:$M$133,0))),0)+
(INDEX(OP_TotalRates_SME_1[[Ausnet]:[United Energy]],MATCH("Off peak",OP_TotalRates_SME_1[Rate name],0),MATCH(OP_CMAB!M$24,OP_TotalRates_SME_1[[#Headers],[Ausnet]:[United Energy]],0))*
INDEX(Input_Usage[[F-CurrentVDO_Input]:[F-NextVDO_Input]],MATCH($L13&amp;" - Off peak",Input_Usage[Ref],0),MATCH($D$21,Inputs!$I$133:$M$133,0))),0),0,1))</f>
        <v>0</v>
      </c>
      <c r="N17" s="94">
        <f>IF($D$21="VDO 2021 - Final",
IF(N13=
ROUNDUP(
(INDEX(OP_TotalRates_SME_1[[Ausnet]:[United Energy]],MATCH("Anytime - supply",OP_TotalRates_SME_1[Rate name],0),MATCH(OP_CMAB!N$24,OP_TotalRates_SME_1[[#Headers],[Ausnet]:[United Energy]],0))*DiY)+
(IFERROR((INDEX(OP_TotalRates_SME_1[[Ausnet]:[United Energy]],MATCH("Block 1",OP_TotalRates_SME_1[Rate name],0),MATCH(OP_CMAB!N$24,OP_TotalRates_SME_1[[#Headers],[Ausnet]:[United Energy]],0))*
INDEX(Input_Usage[[F-CurrentVDO_Input]:[F-NextVDO_Input]],MATCH(OP_CMAB!$L13&amp;" - Block 1",Input_Usage[Ref],0),MATCH(OP_CMAB!$D$21,Inputs!$I$133:$M$133,0))),0)+
IFERROR((INDEX(OP_TotalRates_SME_1[[Ausnet]:[United Energy]],MATCH("Balance",OP_TotalRates_SME_1[Rate name],0),MATCH(OP_CMAB!N$24,OP_TotalRates_SME_1[[#Headers],[Ausnet]:[United Energy]],0))*
INDEX(Input_Usage[[F-CurrentVDO_Input]:[F-NextVDO_Input]],MATCH(OP_CMAB!$L13&amp;" - Balance",Input_Usage[Ref],0),MATCH(OP_CMAB!$D$21,Inputs!$I$133:$M$133,0))),0)+
IFERROR((INDEX(OP_TotalRates_SME_1[[Ausnet]:[United Energy]],MATCH("Single rate",OP_TotalRates_SME_1[Rate name],0),MATCH(OP_CMAB!N$24,OP_TotalRates_SME_1[[#Headers],[Ausnet]:[United Energy]],0))*
INDEX(Input_Usage[[F-CurrentVDO_Input]:[F-NextVDO_Input]],MATCH(OP_CMAB!$L13&amp;" - Annual",Input_Usage[Ref],0),MATCH(OP_CMAB!$D$21,Inputs!$I$133:$M$133,0))),0)),0),0,1),
IF(N13=
ROUNDUP(
(INDEX(OP_TotalRates_SME_1[[Ausnet]:[United Energy]],MATCH("TOU - supply",OP_TotalRates_SME_1[Rate name],0),MATCH(OP_CMAB!N$24,OP_TotalRates_SME_1[[#Headers],[Ausnet]:[United Energy]],0))*DiY)+
(INDEX(OP_TotalRates_SME_1[[Ausnet]:[United Energy]],MATCH("Peak",OP_TotalRates_SME_1[Rate name],0),MATCH(OP_CMAB!N$24,OP_TotalRates_SME_1[[#Headers],[Ausnet]:[United Energy]],0))*
INDEX(Input_Usage[[F-CurrentVDO_Input]:[F-NextVDO_Input]],MATCH($L13&amp;" - Peak",Input_Usage[Ref],0),MATCH($D$21,Inputs!$I$133:$M$133,0)))+
IFERROR((INDEX(OP_TotalRates_SME_1[[Ausnet]:[United Energy]],MATCH("TOU - Shoulder",OP_TotalRates_SME_1[Rate name],0),MATCH(OP_CMAB!N$24,OP_TotalRates_SME_1[[#Headers],[Ausnet]:[United Energy]],0))*
INDEX(Input_Usage[[F-CurrentVDO_Input]:[F-NextVDO_Input]],MATCH($L13&amp;" - Shoulder",Input_Usage[Ref],0),MATCH($D$21,Inputs!$I$133:$M$133,0))),0)+
(INDEX(OP_TotalRates_SME_1[[Ausnet]:[United Energy]],MATCH("Off peak",OP_TotalRates_SME_1[Rate name],0),MATCH(OP_CMAB!N$24,OP_TotalRates_SME_1[[#Headers],[Ausnet]:[United Energy]],0))*
INDEX(Input_Usage[[F-CurrentVDO_Input]:[F-NextVDO_Input]],MATCH($L13&amp;" - Off peak",Input_Usage[Ref],0),MATCH($D$21,Inputs!$I$133:$M$133,0))),0),0,1))</f>
        <v>0</v>
      </c>
      <c r="O17" s="94">
        <f>IF($D$21="VDO 2021 - Final",
IF(O13=
ROUNDUP(
(INDEX(OP_TotalRates_SME_1[[Ausnet]:[United Energy]],MATCH("Anytime - supply",OP_TotalRates_SME_1[Rate name],0),MATCH(OP_CMAB!O$24,OP_TotalRates_SME_1[[#Headers],[Ausnet]:[United Energy]],0))*DiY)+
(IFERROR((INDEX(OP_TotalRates_SME_1[[Ausnet]:[United Energy]],MATCH("Block 1",OP_TotalRates_SME_1[Rate name],0),MATCH(OP_CMAB!O$24,OP_TotalRates_SME_1[[#Headers],[Ausnet]:[United Energy]],0))*
INDEX(Input_Usage[[F-CurrentVDO_Input]:[F-NextVDO_Input]],MATCH(OP_CMAB!$L13&amp;" - Block 1",Input_Usage[Ref],0),MATCH(OP_CMAB!$D$21,Inputs!$I$133:$M$133,0))),0)+
IFERROR((INDEX(OP_TotalRates_SME_1[[Ausnet]:[United Energy]],MATCH("Balance",OP_TotalRates_SME_1[Rate name],0),MATCH(OP_CMAB!O$24,OP_TotalRates_SME_1[[#Headers],[Ausnet]:[United Energy]],0))*
INDEX(Input_Usage[[F-CurrentVDO_Input]:[F-NextVDO_Input]],MATCH(OP_CMAB!$L13&amp;" - Balance",Input_Usage[Ref],0),MATCH(OP_CMAB!$D$21,Inputs!$I$133:$M$133,0))),0)+
IFERROR((INDEX(OP_TotalRates_SME_1[[Ausnet]:[United Energy]],MATCH("Single rate",OP_TotalRates_SME_1[Rate name],0),MATCH(OP_CMAB!O$24,OP_TotalRates_SME_1[[#Headers],[Ausnet]:[United Energy]],0))*
INDEX(Input_Usage[[F-CurrentVDO_Input]:[F-NextVDO_Input]],MATCH(OP_CMAB!$L13&amp;" - Annual",Input_Usage[Ref],0),MATCH(OP_CMAB!$D$21,Inputs!$I$133:$M$133,0))),0)),0),0,1),
IF(O13=
ROUNDUP(
(INDEX(OP_TotalRates_SME_1[[Ausnet]:[United Energy]],MATCH("TOU - supply",OP_TotalRates_SME_1[Rate name],0),MATCH(OP_CMAB!O$24,OP_TotalRates_SME_1[[#Headers],[Ausnet]:[United Energy]],0))*DiY)+
(INDEX(OP_TotalRates_SME_1[[Ausnet]:[United Energy]],MATCH("Peak",OP_TotalRates_SME_1[Rate name],0),MATCH(OP_CMAB!O$24,OP_TotalRates_SME_1[[#Headers],[Ausnet]:[United Energy]],0))*
INDEX(Input_Usage[[F-CurrentVDO_Input]:[F-NextVDO_Input]],MATCH($L13&amp;" - Peak",Input_Usage[Ref],0),MATCH($D$21,Inputs!$I$133:$M$133,0)))+
IFERROR((INDEX(OP_TotalRates_SME_1[[Ausnet]:[United Energy]],MATCH("TOU - Shoulder",OP_TotalRates_SME_1[Rate name],0),MATCH(OP_CMAB!O$24,OP_TotalRates_SME_1[[#Headers],[Ausnet]:[United Energy]],0))*
INDEX(Input_Usage[[F-CurrentVDO_Input]:[F-NextVDO_Input]],MATCH($L13&amp;" - Shoulder",Input_Usage[Ref],0),MATCH($D$21,Inputs!$I$133:$M$133,0))),0)+
(INDEX(OP_TotalRates_SME_1[[Ausnet]:[United Energy]],MATCH("Off peak",OP_TotalRates_SME_1[Rate name],0),MATCH(OP_CMAB!O$24,OP_TotalRates_SME_1[[#Headers],[Ausnet]:[United Energy]],0))*
INDEX(Input_Usage[[F-CurrentVDO_Input]:[F-NextVDO_Input]],MATCH($L13&amp;" - Off peak",Input_Usage[Ref],0),MATCH($D$21,Inputs!$I$133:$M$133,0))),0),0,1))</f>
        <v>0</v>
      </c>
      <c r="P17" s="94">
        <f>IF($D$21="VDO 2021 - Final",
IF(P13=
ROUNDUP(
(INDEX(OP_TotalRates_SME_1[[Ausnet]:[United Energy]],MATCH("Anytime - supply",OP_TotalRates_SME_1[Rate name],0),MATCH(OP_CMAB!P$24,OP_TotalRates_SME_1[[#Headers],[Ausnet]:[United Energy]],0))*DiY)+
(IFERROR((INDEX(OP_TotalRates_SME_1[[Ausnet]:[United Energy]],MATCH("Block 1",OP_TotalRates_SME_1[Rate name],0),MATCH(OP_CMAB!P$24,OP_TotalRates_SME_1[[#Headers],[Ausnet]:[United Energy]],0))*
INDEX(Input_Usage[[F-CurrentVDO_Input]:[F-NextVDO_Input]],MATCH(OP_CMAB!$L13&amp;" - Block 1",Input_Usage[Ref],0),MATCH(OP_CMAB!$D$21,Inputs!$I$133:$M$133,0))),0)+
IFERROR((INDEX(OP_TotalRates_SME_1[[Ausnet]:[United Energy]],MATCH("Balance",OP_TotalRates_SME_1[Rate name],0),MATCH(OP_CMAB!P$24,OP_TotalRates_SME_1[[#Headers],[Ausnet]:[United Energy]],0))*
INDEX(Input_Usage[[F-CurrentVDO_Input]:[F-NextVDO_Input]],MATCH(OP_CMAB!$L13&amp;" - Balance",Input_Usage[Ref],0),MATCH(OP_CMAB!$D$21,Inputs!$I$133:$M$133,0))),0)+
IFERROR((INDEX(OP_TotalRates_SME_1[[Ausnet]:[United Energy]],MATCH("Single rate",OP_TotalRates_SME_1[Rate name],0),MATCH(OP_CMAB!P$24,OP_TotalRates_SME_1[[#Headers],[Ausnet]:[United Energy]],0))*
INDEX(Input_Usage[[F-CurrentVDO_Input]:[F-NextVDO_Input]],MATCH(OP_CMAB!$L13&amp;" - Annual",Input_Usage[Ref],0),MATCH(OP_CMAB!$D$21,Inputs!$I$133:$M$133,0))),0)),0),0,1),
IF(P13=
ROUNDUP(
(INDEX(OP_TotalRates_SME_1[[Ausnet]:[United Energy]],MATCH("TOU - supply",OP_TotalRates_SME_1[Rate name],0),MATCH(OP_CMAB!P$24,OP_TotalRates_SME_1[[#Headers],[Ausnet]:[United Energy]],0))*DiY)+
(INDEX(OP_TotalRates_SME_1[[Ausnet]:[United Energy]],MATCH("Peak",OP_TotalRates_SME_1[Rate name],0),MATCH(OP_CMAB!P$24,OP_TotalRates_SME_1[[#Headers],[Ausnet]:[United Energy]],0))*
INDEX(Input_Usage[[F-CurrentVDO_Input]:[F-NextVDO_Input]],MATCH($L13&amp;" - Peak",Input_Usage[Ref],0),MATCH($D$21,Inputs!$I$133:$M$133,0)))+
IFERROR((INDEX(OP_TotalRates_SME_1[[Ausnet]:[United Energy]],MATCH("TOU - Shoulder",OP_TotalRates_SME_1[Rate name],0),MATCH(OP_CMAB!P$24,OP_TotalRates_SME_1[[#Headers],[Ausnet]:[United Energy]],0))*
INDEX(Input_Usage[[F-CurrentVDO_Input]:[F-NextVDO_Input]],MATCH($L13&amp;" - Shoulder",Input_Usage[Ref],0),MATCH($D$21,Inputs!$I$133:$M$133,0))),0)+
(INDEX(OP_TotalRates_SME_1[[Ausnet]:[United Energy]],MATCH("Off peak",OP_TotalRates_SME_1[Rate name],0),MATCH(OP_CMAB!P$24,OP_TotalRates_SME_1[[#Headers],[Ausnet]:[United Energy]],0))*
INDEX(Input_Usage[[F-CurrentVDO_Input]:[F-NextVDO_Input]],MATCH($L13&amp;" - Off peak",Input_Usage[Ref],0),MATCH($D$21,Inputs!$I$133:$M$133,0))),0),0,1))</f>
        <v>0</v>
      </c>
      <c r="Q17" s="94">
        <f>IF($D$21="VDO 2021 - Final",
IF(Q13=
ROUNDUP(
(INDEX(OP_TotalRates_SME_1[[Ausnet]:[United Energy]],MATCH("Anytime - supply",OP_TotalRates_SME_1[Rate name],0),MATCH(OP_CMAB!Q$24,OP_TotalRates_SME_1[[#Headers],[Ausnet]:[United Energy]],0))*DiY)+
(IFERROR((INDEX(OP_TotalRates_SME_1[[Ausnet]:[United Energy]],MATCH("Block 1",OP_TotalRates_SME_1[Rate name],0),MATCH(OP_CMAB!Q$24,OP_TotalRates_SME_1[[#Headers],[Ausnet]:[United Energy]],0))*
INDEX(Input_Usage[[F-CurrentVDO_Input]:[F-NextVDO_Input]],MATCH(OP_CMAB!$L13&amp;" - Block 1",Input_Usage[Ref],0),MATCH(OP_CMAB!$D$21,Inputs!$I$133:$M$133,0))),0)+
IFERROR((INDEX(OP_TotalRates_SME_1[[Ausnet]:[United Energy]],MATCH("Balance",OP_TotalRates_SME_1[Rate name],0),MATCH(OP_CMAB!Q$24,OP_TotalRates_SME_1[[#Headers],[Ausnet]:[United Energy]],0))*
INDEX(Input_Usage[[F-CurrentVDO_Input]:[F-NextVDO_Input]],MATCH(OP_CMAB!$L13&amp;" - Balance",Input_Usage[Ref],0),MATCH(OP_CMAB!$D$21,Inputs!$I$133:$M$133,0))),0)+
IFERROR((INDEX(OP_TotalRates_SME_1[[Ausnet]:[United Energy]],MATCH("Single rate",OP_TotalRates_SME_1[Rate name],0),MATCH(OP_CMAB!Q$24,OP_TotalRates_SME_1[[#Headers],[Ausnet]:[United Energy]],0))*
INDEX(Input_Usage[[F-CurrentVDO_Input]:[F-NextVDO_Input]],MATCH(OP_CMAB!$L13&amp;" - Annual",Input_Usage[Ref],0),MATCH(OP_CMAB!$D$21,Inputs!$I$133:$M$133,0))),0)),0),0,1),
IF(Q13=
ROUNDUP(
(INDEX(OP_TotalRates_SME_1[[Ausnet]:[United Energy]],MATCH("TOU - supply",OP_TotalRates_SME_1[Rate name],0),MATCH(OP_CMAB!Q$24,OP_TotalRates_SME_1[[#Headers],[Ausnet]:[United Energy]],0))*DiY)+
(INDEX(OP_TotalRates_SME_1[[Ausnet]:[United Energy]],MATCH("Peak",OP_TotalRates_SME_1[Rate name],0),MATCH(OP_CMAB!Q$24,OP_TotalRates_SME_1[[#Headers],[Ausnet]:[United Energy]],0))*
INDEX(Input_Usage[[F-CurrentVDO_Input]:[F-NextVDO_Input]],MATCH($L13&amp;" - Peak",Input_Usage[Ref],0),MATCH($D$21,Inputs!$I$133:$M$133,0)))+
IFERROR((INDEX(OP_TotalRates_SME_1[[Ausnet]:[United Energy]],MATCH("TOU - Shoulder",OP_TotalRates_SME_1[Rate name],0),MATCH(OP_CMAB!Q$24,OP_TotalRates_SME_1[[#Headers],[Ausnet]:[United Energy]],0))*
INDEX(Input_Usage[[F-CurrentVDO_Input]:[F-NextVDO_Input]],MATCH($L13&amp;" - Shoulder",Input_Usage[Ref],0),MATCH($D$21,Inputs!$I$133:$M$133,0))),0)+
(INDEX(OP_TotalRates_SME_1[[Ausnet]:[United Energy]],MATCH("Off peak",OP_TotalRates_SME_1[Rate name],0),MATCH(OP_CMAB!Q$24,OP_TotalRates_SME_1[[#Headers],[Ausnet]:[United Energy]],0))*
INDEX(Input_Usage[[F-CurrentVDO_Input]:[F-NextVDO_Input]],MATCH($L13&amp;" - Off peak",Input_Usage[Ref],0),MATCH($D$21,Inputs!$I$133:$M$133,0))),0),0,1))</f>
        <v>0</v>
      </c>
    </row>
    <row r="18" spans="1:18" x14ac:dyDescent="0.25">
      <c r="E18" s="10"/>
      <c r="F18" s="10"/>
      <c r="G18" s="10"/>
      <c r="H18" s="10"/>
      <c r="I18" s="10"/>
    </row>
    <row r="19" spans="1:18" ht="16.5" thickBot="1" x14ac:dyDescent="0.3">
      <c r="A19" s="1" t="s">
        <v>30</v>
      </c>
      <c r="B19" s="9">
        <f ca="1">MAX(B$3:B18)+0.1</f>
        <v>16.200000000000003</v>
      </c>
      <c r="C19" s="29" t="str">
        <f>"CMAB amounts - "&amp;Calc_Rates!$D$251</f>
        <v>CMAB amounts - VDO 2022 - Final</v>
      </c>
      <c r="D19" s="29"/>
      <c r="E19" s="29"/>
      <c r="F19" s="29"/>
      <c r="G19" s="29"/>
      <c r="H19" s="29"/>
      <c r="I19" s="29"/>
      <c r="J19" s="29"/>
      <c r="K19" s="29"/>
      <c r="L19" s="29"/>
      <c r="M19" s="29"/>
      <c r="N19" s="29"/>
      <c r="O19" s="29"/>
      <c r="P19" s="29"/>
      <c r="Q19" s="29"/>
      <c r="R19" s="29"/>
    </row>
    <row r="21" spans="1:18" ht="15.75" x14ac:dyDescent="0.25">
      <c r="C21" s="55" t="s">
        <v>109</v>
      </c>
      <c r="D21" s="42" t="str">
        <f>Calc_Rates!$D$251</f>
        <v>VDO 2022 - Final</v>
      </c>
    </row>
    <row r="23" spans="1:18" ht="15.75" x14ac:dyDescent="0.25">
      <c r="C23" s="30" t="s">
        <v>100</v>
      </c>
      <c r="K23" s="30" t="s">
        <v>101</v>
      </c>
    </row>
    <row r="24" spans="1:18" ht="15.75" x14ac:dyDescent="0.25">
      <c r="C24" s="44" t="s">
        <v>99</v>
      </c>
      <c r="D24" s="44" t="s">
        <v>98</v>
      </c>
      <c r="E24" s="61" t="s">
        <v>277</v>
      </c>
      <c r="F24" s="61" t="s">
        <v>278</v>
      </c>
      <c r="G24" s="61" t="s">
        <v>279</v>
      </c>
      <c r="H24" s="61" t="s">
        <v>280</v>
      </c>
      <c r="I24" s="61" t="s">
        <v>281</v>
      </c>
      <c r="K24" s="44" t="s">
        <v>99</v>
      </c>
      <c r="L24" s="44" t="s">
        <v>98</v>
      </c>
      <c r="M24" s="61" t="s">
        <v>277</v>
      </c>
      <c r="N24" s="61" t="s">
        <v>278</v>
      </c>
      <c r="O24" s="61" t="s">
        <v>279</v>
      </c>
      <c r="P24" s="61" t="s">
        <v>280</v>
      </c>
      <c r="Q24" s="61" t="s">
        <v>281</v>
      </c>
    </row>
    <row r="25" spans="1:18" hidden="1" x14ac:dyDescent="0.25">
      <c r="C25" s="24" t="s">
        <v>100</v>
      </c>
      <c r="D25" s="24" t="s">
        <v>229</v>
      </c>
      <c r="E25" s="122">
        <f>IFERROR(
IF($D$21="VDO 2021 - Final",
ROUNDUP(
(INDEX(OP_TotalRates_RES_2[[Ausnet]:[United Energy]],MATCH("Anytime - supply",OP_TotalRates_RES_2[[Rate name]:[Rate name]],0),MATCH(OP_CMAB!E$24,OP_TotalRates_RES_2[[#Headers],[Ausnet]:[United Energy]],0))*DiY)+
(IFERROR((INDEX(OP_TotalRates_RES_2[[Ausnet]:[United Energy]],MATCH("Block 1",OP_TotalRates_RES_2[[Rate name]:[Rate name]],0),MATCH(OP_CMAB!E$24,OP_TotalRates_RES_2[[#Headers],[Ausnet]:[United Energy]],0))*
INDEX(Input_Usage[[F-CurrentVDO_Input]:[F-NextVDO_Input]],MATCH(OP_CMAB!$D25&amp;" - Block 1",Input_Usage[[Ref]:[Ref]],0),MATCH(OP_CMAB!$D$21,Inputs!$I$133:$M$133,0))),0)+
IFERROR((INDEX(OP_TotalRates_RES_2[[Ausnet]:[United Energy]],MATCH("Balance",OP_TotalRates_RES_2[[Rate name]:[Rate name]],0),MATCH(OP_CMAB!E$24,OP_TotalRates_RES_2[[#Headers],[Ausnet]:[United Energy]],0))*
INDEX(Input_Usage[[F-CurrentVDO_Input]:[F-NextVDO_Input]],MATCH(OP_CMAB!$D25&amp;" - Balance",Input_Usage[[Ref]:[Ref]],0),MATCH(OP_CMAB!$D$21,Inputs!$I$133:$M$133,0))),0)+
IFERROR((INDEX(OP_TotalRates_RES_2[[Ausnet]:[United Energy]],MATCH("Single rate",OP_TotalRates_RES_2[[Rate name]:[Rate name]],0),MATCH(OP_CMAB!E$24,OP_TotalRates_RES_2[[#Headers],[Ausnet]:[United Energy]],0))*
INDEX(Input_Usage[[F-CurrentVDO_Input]:[F-NextVDO_Input]],MATCH(OP_CMAB!$D25&amp;" - Annual",Input_Usage[[Ref]:[Ref]],0),MATCH(OP_CMAB!$D$21,Inputs!$I$133:$M$133,0))),0)),0),
ROUNDUP(
(INDEX(OP_TotalRates_RES_2[[Ausnet]:[United Energy]],MATCH("TOU - supply",OP_TotalRates_RES_2[[Rate name]:[Rate name]],0),MATCH(OP_CMAB!E$24,OP_TotalRates_RES_2[[#Headers],[Ausnet]:[United Energy]],0))*DiY)+
(INDEX(OP_TotalRates_RES_2[[Ausnet]:[United Energy]],MATCH("Peak",OP_TotalRates_RES_2[[Rate name]:[Rate name]],0),MATCH(OP_CMAB!E$24,OP_TotalRates_RES_2[[#Headers],[Ausnet]:[United Energy]],0))*
INDEX(Input_Usage[[F-CurrentVDO_Input]:[F-NextVDO_Input]],MATCH($D25&amp;" - Peak",Input_Usage[[Ref]:[Ref]],0),MATCH($D$21,Inputs!$I$133:$M$133,0)))+
IFERROR((INDEX(OP_TotalRates_RES_2[[Ausnet]:[United Energy]],MATCH("TOU - Shoulder",OP_TotalRates_RES_2[[Rate name]:[Rate name]],0),MATCH(OP_CMAB!E$24,OP_TotalRates_RES_2[[#Headers],[Ausnet]:[United Energy]],0))*
INDEX(Input_Usage[[F-CurrentVDO_Input]:[F-NextVDO_Input]],MATCH($D25&amp;" - Shoulder",Input_Usage[[Ref]:[Ref]],0),MATCH($D$21,Inputs!$I$133:$M$133,0))),0)+
(INDEX(OP_TotalRates_RES_2[[Ausnet]:[United Energy]],MATCH("Off peak",OP_TotalRates_RES_2[[Rate name]:[Rate name]],0),MATCH(OP_CMAB!E$24,OP_TotalRates_RES_2[[#Headers],[Ausnet]:[United Energy]],0))*
INDEX(Input_Usage[[F-CurrentVDO_Input]:[F-NextVDO_Input]],MATCH($D25&amp;" - Off peak",Input_Usage[[Ref]:[Ref]],0),MATCH($D$21,Inputs!$I$133:$M$133,0))),0)),"-")</f>
        <v>915</v>
      </c>
      <c r="F25" s="122">
        <f>IFERROR(
IF($D$21="VDO 2021 - Final",
ROUNDUP(
(INDEX(OP_TotalRates_RES_2[[Ausnet]:[United Energy]],MATCH("Anytime - supply",OP_TotalRates_RES_2[[Rate name]:[Rate name]],0),MATCH(OP_CMAB!F$24,OP_TotalRates_RES_2[[#Headers],[Ausnet]:[United Energy]],0))*DiY)+
(IFERROR((INDEX(OP_TotalRates_RES_2[[Ausnet]:[United Energy]],MATCH("Block 1",OP_TotalRates_RES_2[[Rate name]:[Rate name]],0),MATCH(OP_CMAB!F$24,OP_TotalRates_RES_2[[#Headers],[Ausnet]:[United Energy]],0))*
INDEX(Input_Usage[[F-CurrentVDO_Input]:[F-NextVDO_Input]],MATCH(OP_CMAB!$D25&amp;" - Block 1",Input_Usage[[Ref]:[Ref]],0),MATCH(OP_CMAB!$D$21,Inputs!$I$133:$M$133,0))),0)+
IFERROR((INDEX(OP_TotalRates_RES_2[[Ausnet]:[United Energy]],MATCH("Balance",OP_TotalRates_RES_2[[Rate name]:[Rate name]],0),MATCH(OP_CMAB!F$24,OP_TotalRates_RES_2[[#Headers],[Ausnet]:[United Energy]],0))*
INDEX(Input_Usage[[F-CurrentVDO_Input]:[F-NextVDO_Input]],MATCH(OP_CMAB!$D25&amp;" - Balance",Input_Usage[[Ref]:[Ref]],0),MATCH(OP_CMAB!$D$21,Inputs!$I$133:$M$133,0))),0)+
IFERROR((INDEX(OP_TotalRates_RES_2[[Ausnet]:[United Energy]],MATCH("Single rate",OP_TotalRates_RES_2[[Rate name]:[Rate name]],0),MATCH(OP_CMAB!F$24,OP_TotalRates_RES_2[[#Headers],[Ausnet]:[United Energy]],0))*
INDEX(Input_Usage[[F-CurrentVDO_Input]:[F-NextVDO_Input]],MATCH(OP_CMAB!$D25&amp;" - Annual",Input_Usage[[Ref]:[Ref]],0),MATCH(OP_CMAB!$D$21,Inputs!$I$133:$M$133,0))),0)),0),
ROUNDUP(
(INDEX(OP_TotalRates_RES_2[[Ausnet]:[United Energy]],MATCH("TOU - supply",OP_TotalRates_RES_2[[Rate name]:[Rate name]],0),MATCH(OP_CMAB!F$24,OP_TotalRates_RES_2[[#Headers],[Ausnet]:[United Energy]],0))*DiY)+
(INDEX(OP_TotalRates_RES_2[[Ausnet]:[United Energy]],MATCH("Peak",OP_TotalRates_RES_2[[Rate name]:[Rate name]],0),MATCH(OP_CMAB!F$24,OP_TotalRates_RES_2[[#Headers],[Ausnet]:[United Energy]],0))*
INDEX(Input_Usage[[F-CurrentVDO_Input]:[F-NextVDO_Input]],MATCH($D25&amp;" - Peak",Input_Usage[[Ref]:[Ref]],0),MATCH($D$21,Inputs!$I$133:$M$133,0)))+
IFERROR((INDEX(OP_TotalRates_RES_2[[Ausnet]:[United Energy]],MATCH("TOU - Shoulder",OP_TotalRates_RES_2[[Rate name]:[Rate name]],0),MATCH(OP_CMAB!F$24,OP_TotalRates_RES_2[[#Headers],[Ausnet]:[United Energy]],0))*
INDEX(Input_Usage[[F-CurrentVDO_Input]:[F-NextVDO_Input]],MATCH($D25&amp;" - Shoulder",Input_Usage[[Ref]:[Ref]],0),MATCH($D$21,Inputs!$I$133:$M$133,0))),0)+
(INDEX(OP_TotalRates_RES_2[[Ausnet]:[United Energy]],MATCH("Off peak",OP_TotalRates_RES_2[[Rate name]:[Rate name]],0),MATCH(OP_CMAB!F$24,OP_TotalRates_RES_2[[#Headers],[Ausnet]:[United Energy]],0))*
INDEX(Input_Usage[[F-CurrentVDO_Input]:[F-NextVDO_Input]],MATCH($D25&amp;" - Off peak",Input_Usage[[Ref]:[Ref]],0),MATCH($D$21,Inputs!$I$133:$M$133,0))),0)),"-")</f>
        <v>868</v>
      </c>
      <c r="G25" s="122">
        <f>IFERROR(
IF($D$21="VDO 2021 - Final",
ROUNDUP(
(INDEX(OP_TotalRates_RES_2[[Ausnet]:[United Energy]],MATCH("Anytime - supply",OP_TotalRates_RES_2[[Rate name]:[Rate name]],0),MATCH(OP_CMAB!G$24,OP_TotalRates_RES_2[[#Headers],[Ausnet]:[United Energy]],0))*DiY)+
(IFERROR((INDEX(OP_TotalRates_RES_2[[Ausnet]:[United Energy]],MATCH("Block 1",OP_TotalRates_RES_2[[Rate name]:[Rate name]],0),MATCH(OP_CMAB!G$24,OP_TotalRates_RES_2[[#Headers],[Ausnet]:[United Energy]],0))*
INDEX(Input_Usage[[F-CurrentVDO_Input]:[F-NextVDO_Input]],MATCH(OP_CMAB!$D25&amp;" - Block 1",Input_Usage[[Ref]:[Ref]],0),MATCH(OP_CMAB!$D$21,Inputs!$I$133:$M$133,0))),0)+
IFERROR((INDEX(OP_TotalRates_RES_2[[Ausnet]:[United Energy]],MATCH("Balance",OP_TotalRates_RES_2[[Rate name]:[Rate name]],0),MATCH(OP_CMAB!G$24,OP_TotalRates_RES_2[[#Headers],[Ausnet]:[United Energy]],0))*
INDEX(Input_Usage[[F-CurrentVDO_Input]:[F-NextVDO_Input]],MATCH(OP_CMAB!$D25&amp;" - Balance",Input_Usage[[Ref]:[Ref]],0),MATCH(OP_CMAB!$D$21,Inputs!$I$133:$M$133,0))),0)+
IFERROR((INDEX(OP_TotalRates_RES_2[[Ausnet]:[United Energy]],MATCH("Single rate",OP_TotalRates_RES_2[[Rate name]:[Rate name]],0),MATCH(OP_CMAB!G$24,OP_TotalRates_RES_2[[#Headers],[Ausnet]:[United Energy]],0))*
INDEX(Input_Usage[[F-CurrentVDO_Input]:[F-NextVDO_Input]],MATCH(OP_CMAB!$D25&amp;" - Annual",Input_Usage[[Ref]:[Ref]],0),MATCH(OP_CMAB!$D$21,Inputs!$I$133:$M$133,0))),0)),0),
ROUNDUP(
(INDEX(OP_TotalRates_RES_2[[Ausnet]:[United Energy]],MATCH("TOU - supply",OP_TotalRates_RES_2[[Rate name]:[Rate name]],0),MATCH(OP_CMAB!G$24,OP_TotalRates_RES_2[[#Headers],[Ausnet]:[United Energy]],0))*DiY)+
(INDEX(OP_TotalRates_RES_2[[Ausnet]:[United Energy]],MATCH("Peak",OP_TotalRates_RES_2[[Rate name]:[Rate name]],0),MATCH(OP_CMAB!G$24,OP_TotalRates_RES_2[[#Headers],[Ausnet]:[United Energy]],0))*
INDEX(Input_Usage[[F-CurrentVDO_Input]:[F-NextVDO_Input]],MATCH($D25&amp;" - Peak",Input_Usage[[Ref]:[Ref]],0),MATCH($D$21,Inputs!$I$133:$M$133,0)))+
IFERROR((INDEX(OP_TotalRates_RES_2[[Ausnet]:[United Energy]],MATCH("TOU - Shoulder",OP_TotalRates_RES_2[[Rate name]:[Rate name]],0),MATCH(OP_CMAB!G$24,OP_TotalRates_RES_2[[#Headers],[Ausnet]:[United Energy]],0))*
INDEX(Input_Usage[[F-CurrentVDO_Input]:[F-NextVDO_Input]],MATCH($D25&amp;" - Shoulder",Input_Usage[[Ref]:[Ref]],0),MATCH($D$21,Inputs!$I$133:$M$133,0))),0)+
(INDEX(OP_TotalRates_RES_2[[Ausnet]:[United Energy]],MATCH("Off peak",OP_TotalRates_RES_2[[Rate name]:[Rate name]],0),MATCH(OP_CMAB!G$24,OP_TotalRates_RES_2[[#Headers],[Ausnet]:[United Energy]],0))*
INDEX(Input_Usage[[F-CurrentVDO_Input]:[F-NextVDO_Input]],MATCH($D25&amp;" - Off peak",Input_Usage[[Ref]:[Ref]],0),MATCH($D$21,Inputs!$I$133:$M$133,0))),0)),"-")</f>
        <v>808</v>
      </c>
      <c r="H25" s="122">
        <f>IFERROR(
IF($D$21="VDO 2021 - Final",
ROUNDUP(
(INDEX(OP_TotalRates_RES_2[[Ausnet]:[United Energy]],MATCH("Anytime - supply",OP_TotalRates_RES_2[[Rate name]:[Rate name]],0),MATCH(OP_CMAB!H$24,OP_TotalRates_RES_2[[#Headers],[Ausnet]:[United Energy]],0))*DiY)+
(IFERROR((INDEX(OP_TotalRates_RES_2[[Ausnet]:[United Energy]],MATCH("Block 1",OP_TotalRates_RES_2[[Rate name]:[Rate name]],0),MATCH(OP_CMAB!H$24,OP_TotalRates_RES_2[[#Headers],[Ausnet]:[United Energy]],0))*
INDEX(Input_Usage[[F-CurrentVDO_Input]:[F-NextVDO_Input]],MATCH(OP_CMAB!$D25&amp;" - Block 1",Input_Usage[[Ref]:[Ref]],0),MATCH(OP_CMAB!$D$21,Inputs!$I$133:$M$133,0))),0)+
IFERROR((INDEX(OP_TotalRates_RES_2[[Ausnet]:[United Energy]],MATCH("Balance",OP_TotalRates_RES_2[[Rate name]:[Rate name]],0),MATCH(OP_CMAB!H$24,OP_TotalRates_RES_2[[#Headers],[Ausnet]:[United Energy]],0))*
INDEX(Input_Usage[[F-CurrentVDO_Input]:[F-NextVDO_Input]],MATCH(OP_CMAB!$D25&amp;" - Balance",Input_Usage[[Ref]:[Ref]],0),MATCH(OP_CMAB!$D$21,Inputs!$I$133:$M$133,0))),0)+
IFERROR((INDEX(OP_TotalRates_RES_2[[Ausnet]:[United Energy]],MATCH("Single rate",OP_TotalRates_RES_2[[Rate name]:[Rate name]],0),MATCH(OP_CMAB!H$24,OP_TotalRates_RES_2[[#Headers],[Ausnet]:[United Energy]],0))*
INDEX(Input_Usage[[F-CurrentVDO_Input]:[F-NextVDO_Input]],MATCH(OP_CMAB!$D25&amp;" - Annual",Input_Usage[[Ref]:[Ref]],0),MATCH(OP_CMAB!$D$21,Inputs!$I$133:$M$133,0))),0)),0),
ROUNDUP(
(INDEX(OP_TotalRates_RES_2[[Ausnet]:[United Energy]],MATCH("TOU - supply",OP_TotalRates_RES_2[[Rate name]:[Rate name]],0),MATCH(OP_CMAB!H$24,OP_TotalRates_RES_2[[#Headers],[Ausnet]:[United Energy]],0))*DiY)+
(INDEX(OP_TotalRates_RES_2[[Ausnet]:[United Energy]],MATCH("Peak",OP_TotalRates_RES_2[[Rate name]:[Rate name]],0),MATCH(OP_CMAB!H$24,OP_TotalRates_RES_2[[#Headers],[Ausnet]:[United Energy]],0))*
INDEX(Input_Usage[[F-CurrentVDO_Input]:[F-NextVDO_Input]],MATCH($D25&amp;" - Peak",Input_Usage[[Ref]:[Ref]],0),MATCH($D$21,Inputs!$I$133:$M$133,0)))+
IFERROR((INDEX(OP_TotalRates_RES_2[[Ausnet]:[United Energy]],MATCH("TOU - Shoulder",OP_TotalRates_RES_2[[Rate name]:[Rate name]],0),MATCH(OP_CMAB!H$24,OP_TotalRates_RES_2[[#Headers],[Ausnet]:[United Energy]],0))*
INDEX(Input_Usage[[F-CurrentVDO_Input]:[F-NextVDO_Input]],MATCH($D25&amp;" - Shoulder",Input_Usage[[Ref]:[Ref]],0),MATCH($D$21,Inputs!$I$133:$M$133,0))),0)+
(INDEX(OP_TotalRates_RES_2[[Ausnet]:[United Energy]],MATCH("Off peak",OP_TotalRates_RES_2[[Rate name]:[Rate name]],0),MATCH(OP_CMAB!H$24,OP_TotalRates_RES_2[[#Headers],[Ausnet]:[United Energy]],0))*
INDEX(Input_Usage[[F-CurrentVDO_Input]:[F-NextVDO_Input]],MATCH($D25&amp;" - Off peak",Input_Usage[[Ref]:[Ref]],0),MATCH($D$21,Inputs!$I$133:$M$133,0))),0)),"-")</f>
        <v>927</v>
      </c>
      <c r="I25" s="122">
        <f>IFERROR(
IF($D$21="VDO 2021 - Final",
ROUNDUP(
(INDEX(OP_TotalRates_RES_2[[Ausnet]:[United Energy]],MATCH("Anytime - supply",OP_TotalRates_RES_2[[Rate name]:[Rate name]],0),MATCH(OP_CMAB!I$24,OP_TotalRates_RES_2[[#Headers],[Ausnet]:[United Energy]],0))*DiY)+
(IFERROR((INDEX(OP_TotalRates_RES_2[[Ausnet]:[United Energy]],MATCH("Block 1",OP_TotalRates_RES_2[[Rate name]:[Rate name]],0),MATCH(OP_CMAB!I$24,OP_TotalRates_RES_2[[#Headers],[Ausnet]:[United Energy]],0))*
INDEX(Input_Usage[[F-CurrentVDO_Input]:[F-NextVDO_Input]],MATCH(OP_CMAB!$D25&amp;" - Block 1",Input_Usage[[Ref]:[Ref]],0),MATCH(OP_CMAB!$D$21,Inputs!$I$133:$M$133,0))),0)+
IFERROR((INDEX(OP_TotalRates_RES_2[[Ausnet]:[United Energy]],MATCH("Balance",OP_TotalRates_RES_2[[Rate name]:[Rate name]],0),MATCH(OP_CMAB!I$24,OP_TotalRates_RES_2[[#Headers],[Ausnet]:[United Energy]],0))*
INDEX(Input_Usage[[F-CurrentVDO_Input]:[F-NextVDO_Input]],MATCH(OP_CMAB!$D25&amp;" - Balance",Input_Usage[[Ref]:[Ref]],0),MATCH(OP_CMAB!$D$21,Inputs!$I$133:$M$133,0))),0)+
IFERROR((INDEX(OP_TotalRates_RES_2[[Ausnet]:[United Energy]],MATCH("Single rate",OP_TotalRates_RES_2[[Rate name]:[Rate name]],0),MATCH(OP_CMAB!I$24,OP_TotalRates_RES_2[[#Headers],[Ausnet]:[United Energy]],0))*
INDEX(Input_Usage[[F-CurrentVDO_Input]:[F-NextVDO_Input]],MATCH(OP_CMAB!$D25&amp;" - Annual",Input_Usage[[Ref]:[Ref]],0),MATCH(OP_CMAB!$D$21,Inputs!$I$133:$M$133,0))),0)),0),
ROUNDUP(
(INDEX(OP_TotalRates_RES_2[[Ausnet]:[United Energy]],MATCH("TOU - supply",OP_TotalRates_RES_2[[Rate name]:[Rate name]],0),MATCH(OP_CMAB!I$24,OP_TotalRates_RES_2[[#Headers],[Ausnet]:[United Energy]],0))*DiY)+
(INDEX(OP_TotalRates_RES_2[[Ausnet]:[United Energy]],MATCH("Peak",OP_TotalRates_RES_2[[Rate name]:[Rate name]],0),MATCH(OP_CMAB!I$24,OP_TotalRates_RES_2[[#Headers],[Ausnet]:[United Energy]],0))*
INDEX(Input_Usage[[F-CurrentVDO_Input]:[F-NextVDO_Input]],MATCH($D25&amp;" - Peak",Input_Usage[[Ref]:[Ref]],0),MATCH($D$21,Inputs!$I$133:$M$133,0)))+
IFERROR((INDEX(OP_TotalRates_RES_2[[Ausnet]:[United Energy]],MATCH("TOU - Shoulder",OP_TotalRates_RES_2[[Rate name]:[Rate name]],0),MATCH(OP_CMAB!I$24,OP_TotalRates_RES_2[[#Headers],[Ausnet]:[United Energy]],0))*
INDEX(Input_Usage[[F-CurrentVDO_Input]:[F-NextVDO_Input]],MATCH($D25&amp;" - Shoulder",Input_Usage[[Ref]:[Ref]],0),MATCH($D$21,Inputs!$I$133:$M$133,0))),0)+
(INDEX(OP_TotalRates_RES_2[[Ausnet]:[United Energy]],MATCH("Off peak",OP_TotalRates_RES_2[[Rate name]:[Rate name]],0),MATCH(OP_CMAB!I$24,OP_TotalRates_RES_2[[#Headers],[Ausnet]:[United Energy]],0))*
INDEX(Input_Usage[[F-CurrentVDO_Input]:[F-NextVDO_Input]],MATCH($D25&amp;" - Off peak",Input_Usage[[Ref]:[Ref]],0),MATCH($D$21,Inputs!$I$133:$M$133,0))),0)),"-")</f>
        <v>831</v>
      </c>
      <c r="K25" s="24" t="s">
        <v>101</v>
      </c>
      <c r="L25" s="24" t="s">
        <v>234</v>
      </c>
      <c r="M25" s="122">
        <f>IFERROR(
IF($D$21="VDO 2021 - Final",
ROUNDUP(
(INDEX(OP_TotalRates_SME_2[[Ausnet]:[United Energy]],MATCH("Anytime - supply",OP_TotalRates_SME_2[[Rate name]:[Rate name]],0),MATCH(OP_CMAB!M$24,OP_TotalRates_SME_2[[#Headers],[Ausnet]:[United Energy]],0))*DiY)+
(IFERROR((INDEX(OP_TotalRates_SME_2[[Ausnet]:[United Energy]],MATCH("Block 1",OP_TotalRates_SME_2[[Rate name]:[Rate name]],0),MATCH(OP_CMAB!M$24,OP_TotalRates_SME_2[[#Headers],[Ausnet]:[United Energy]],0))*
INDEX(Input_Usage[[F-CurrentVDO_Input]:[F-NextVDO_Input]],MATCH(OP_CMAB!$L25&amp;" - Block 1",Input_Usage[[Ref]:[Ref]],0),MATCH(OP_CMAB!$D$21,Inputs!$I$133:$M$133,0))),0)+
IFERROR((INDEX(OP_TotalRates_SME_2[[Ausnet]:[United Energy]],MATCH("Balance",OP_TotalRates_SME_2[[Rate name]:[Rate name]],0),MATCH(OP_CMAB!M$24,OP_TotalRates_SME_2[[#Headers],[Ausnet]:[United Energy]],0))*
INDEX(Input_Usage[[F-CurrentVDO_Input]:[F-NextVDO_Input]],MATCH(OP_CMAB!$L25&amp;" - Balance",Input_Usage[[Ref]:[Ref]],0),MATCH(OP_CMAB!$D$21,Inputs!$I$133:$M$133,0))),0)+
IFERROR((INDEX(OP_TotalRates_SME_2[[Ausnet]:[United Energy]],MATCH("Single rate",OP_TotalRates_SME_2[[Rate name]:[Rate name]],0),MATCH(OP_CMAB!M$24,OP_TotalRates_SME_2[[#Headers],[Ausnet]:[United Energy]],0))*
INDEX(Input_Usage[[F-CurrentVDO_Input]:[F-NextVDO_Input]],MATCH(OP_CMAB!$L25&amp;" - Annual",Input_Usage[[Ref]:[Ref]],0),MATCH(OP_CMAB!$D$21,Inputs!$I$133:$M$133,0))),0)),0),
ROUNDUP(
(INDEX(OP_TotalRates_SME_2[[Ausnet]:[United Energy]],MATCH("TOU - supply",OP_TotalRates_SME_2[[Rate name]:[Rate name]],0),MATCH(OP_CMAB!M$24,OP_TotalRates_SME_2[[#Headers],[Ausnet]:[United Energy]],0))*DiY)+
(INDEX(OP_TotalRates_SME_2[[Ausnet]:[United Energy]],MATCH("Peak",OP_TotalRates_SME_2[[Rate name]:[Rate name]],0),MATCH(OP_CMAB!M$24,OP_TotalRates_SME_2[[#Headers],[Ausnet]:[United Energy]],0))*
INDEX(Input_Usage[[F-CurrentVDO_Input]:[F-NextVDO_Input]],MATCH($L25&amp;" - Peak",Input_Usage[[Ref]:[Ref]],0),MATCH($D$21,Inputs!$I$133:$M$133,0)))+
IFERROR((INDEX(OP_TotalRates_SME_2[[Ausnet]:[United Energy]],MATCH("TOU - Shoulder",OP_TotalRates_SME_2[[Rate name]:[Rate name]],0),MATCH(OP_CMAB!M$24,OP_TotalRates_SME_2[[#Headers],[Ausnet]:[United Energy]],0))*
INDEX(Input_Usage[[F-CurrentVDO_Input]:[F-NextVDO_Input]],MATCH($L25&amp;" - Shoulder",Input_Usage[[Ref]:[Ref]],0),MATCH($D$21,Inputs!$I$133:$M$133,0))),0)+
(INDEX(OP_TotalRates_SME_2[[Ausnet]:[United Energy]],MATCH("Off peak",OP_TotalRates_SME_2[[Rate name]:[Rate name]],0),MATCH(OP_CMAB!M$24,OP_TotalRates_SME_2[[#Headers],[Ausnet]:[United Energy]],0))*
INDEX(Input_Usage[[F-CurrentVDO_Input]:[F-NextVDO_Input]],MATCH($L25&amp;" - Off peak",Input_Usage[[Ref]:[Ref]],0),MATCH($D$21,Inputs!$I$133:$M$133,0))),0)),"-")</f>
        <v>3266</v>
      </c>
      <c r="N25" s="122">
        <f>IFERROR(
IF($D$21="VDO 2021 - Final",
ROUNDUP(
(INDEX(OP_TotalRates_SME_2[[Ausnet]:[United Energy]],MATCH("Anytime - supply",OP_TotalRates_SME_2[[Rate name]:[Rate name]],0),MATCH(OP_CMAB!N$24,OP_TotalRates_SME_2[[#Headers],[Ausnet]:[United Energy]],0))*DiY)+
(IFERROR((INDEX(OP_TotalRates_SME_2[[Ausnet]:[United Energy]],MATCH("Block 1",OP_TotalRates_SME_2[[Rate name]:[Rate name]],0),MATCH(OP_CMAB!N$24,OP_TotalRates_SME_2[[#Headers],[Ausnet]:[United Energy]],0))*
INDEX(Input_Usage[[F-CurrentVDO_Input]:[F-NextVDO_Input]],MATCH(OP_CMAB!$L25&amp;" - Block 1",Input_Usage[[Ref]:[Ref]],0),MATCH(OP_CMAB!$D$21,Inputs!$I$133:$M$133,0))),0)+
IFERROR((INDEX(OP_TotalRates_SME_2[[Ausnet]:[United Energy]],MATCH("Balance",OP_TotalRates_SME_2[[Rate name]:[Rate name]],0),MATCH(OP_CMAB!N$24,OP_TotalRates_SME_2[[#Headers],[Ausnet]:[United Energy]],0))*
INDEX(Input_Usage[[F-CurrentVDO_Input]:[F-NextVDO_Input]],MATCH(OP_CMAB!$L25&amp;" - Balance",Input_Usage[[Ref]:[Ref]],0),MATCH(OP_CMAB!$D$21,Inputs!$I$133:$M$133,0))),0)+
IFERROR((INDEX(OP_TotalRates_SME_2[[Ausnet]:[United Energy]],MATCH("Single rate",OP_TotalRates_SME_2[[Rate name]:[Rate name]],0),MATCH(OP_CMAB!N$24,OP_TotalRates_SME_2[[#Headers],[Ausnet]:[United Energy]],0))*
INDEX(Input_Usage[[F-CurrentVDO_Input]:[F-NextVDO_Input]],MATCH(OP_CMAB!$L25&amp;" - Annual",Input_Usage[[Ref]:[Ref]],0),MATCH(OP_CMAB!$D$21,Inputs!$I$133:$M$133,0))),0)),0),
ROUNDUP(
(INDEX(OP_TotalRates_SME_2[[Ausnet]:[United Energy]],MATCH("TOU - supply",OP_TotalRates_SME_2[[Rate name]:[Rate name]],0),MATCH(OP_CMAB!N$24,OP_TotalRates_SME_2[[#Headers],[Ausnet]:[United Energy]],0))*DiY)+
(INDEX(OP_TotalRates_SME_2[[Ausnet]:[United Energy]],MATCH("Peak",OP_TotalRates_SME_2[[Rate name]:[Rate name]],0),MATCH(OP_CMAB!N$24,OP_TotalRates_SME_2[[#Headers],[Ausnet]:[United Energy]],0))*
INDEX(Input_Usage[[F-CurrentVDO_Input]:[F-NextVDO_Input]],MATCH($L25&amp;" - Peak",Input_Usage[[Ref]:[Ref]],0),MATCH($D$21,Inputs!$I$133:$M$133,0)))+
IFERROR((INDEX(OP_TotalRates_SME_2[[Ausnet]:[United Energy]],MATCH("TOU - Shoulder",OP_TotalRates_SME_2[[Rate name]:[Rate name]],0),MATCH(OP_CMAB!N$24,OP_TotalRates_SME_2[[#Headers],[Ausnet]:[United Energy]],0))*
INDEX(Input_Usage[[F-CurrentVDO_Input]:[F-NextVDO_Input]],MATCH($L25&amp;" - Shoulder",Input_Usage[[Ref]:[Ref]],0),MATCH($D$21,Inputs!$I$133:$M$133,0))),0)+
(INDEX(OP_TotalRates_SME_2[[Ausnet]:[United Energy]],MATCH("Off peak",OP_TotalRates_SME_2[[Rate name]:[Rate name]],0),MATCH(OP_CMAB!N$24,OP_TotalRates_SME_2[[#Headers],[Ausnet]:[United Energy]],0))*
INDEX(Input_Usage[[F-CurrentVDO_Input]:[F-NextVDO_Input]],MATCH($L25&amp;" - Off peak",Input_Usage[[Ref]:[Ref]],0),MATCH($D$21,Inputs!$I$133:$M$133,0))),0)),"-")</f>
        <v>3015</v>
      </c>
      <c r="O25" s="122">
        <f>IFERROR(
IF($D$21="VDO 2021 - Final",
ROUNDUP(
(INDEX(OP_TotalRates_SME_2[[Ausnet]:[United Energy]],MATCH("Anytime - supply",OP_TotalRates_SME_2[[Rate name]:[Rate name]],0),MATCH(OP_CMAB!O$24,OP_TotalRates_SME_2[[#Headers],[Ausnet]:[United Energy]],0))*DiY)+
(IFERROR((INDEX(OP_TotalRates_SME_2[[Ausnet]:[United Energy]],MATCH("Block 1",OP_TotalRates_SME_2[[Rate name]:[Rate name]],0),MATCH(OP_CMAB!O$24,OP_TotalRates_SME_2[[#Headers],[Ausnet]:[United Energy]],0))*
INDEX(Input_Usage[[F-CurrentVDO_Input]:[F-NextVDO_Input]],MATCH(OP_CMAB!$L25&amp;" - Block 1",Input_Usage[[Ref]:[Ref]],0),MATCH(OP_CMAB!$D$21,Inputs!$I$133:$M$133,0))),0)+
IFERROR((INDEX(OP_TotalRates_SME_2[[Ausnet]:[United Energy]],MATCH("Balance",OP_TotalRates_SME_2[[Rate name]:[Rate name]],0),MATCH(OP_CMAB!O$24,OP_TotalRates_SME_2[[#Headers],[Ausnet]:[United Energy]],0))*
INDEX(Input_Usage[[F-CurrentVDO_Input]:[F-NextVDO_Input]],MATCH(OP_CMAB!$L25&amp;" - Balance",Input_Usage[[Ref]:[Ref]],0),MATCH(OP_CMAB!$D$21,Inputs!$I$133:$M$133,0))),0)+
IFERROR((INDEX(OP_TotalRates_SME_2[[Ausnet]:[United Energy]],MATCH("Single rate",OP_TotalRates_SME_2[[Rate name]:[Rate name]],0),MATCH(OP_CMAB!O$24,OP_TotalRates_SME_2[[#Headers],[Ausnet]:[United Energy]],0))*
INDEX(Input_Usage[[F-CurrentVDO_Input]:[F-NextVDO_Input]],MATCH(OP_CMAB!$L25&amp;" - Annual",Input_Usage[[Ref]:[Ref]],0),MATCH(OP_CMAB!$D$21,Inputs!$I$133:$M$133,0))),0)),0),
ROUNDUP(
(INDEX(OP_TotalRates_SME_2[[Ausnet]:[United Energy]],MATCH("TOU - supply",OP_TotalRates_SME_2[[Rate name]:[Rate name]],0),MATCH(OP_CMAB!O$24,OP_TotalRates_SME_2[[#Headers],[Ausnet]:[United Energy]],0))*DiY)+
(INDEX(OP_TotalRates_SME_2[[Ausnet]:[United Energy]],MATCH("Peak",OP_TotalRates_SME_2[[Rate name]:[Rate name]],0),MATCH(OP_CMAB!O$24,OP_TotalRates_SME_2[[#Headers],[Ausnet]:[United Energy]],0))*
INDEX(Input_Usage[[F-CurrentVDO_Input]:[F-NextVDO_Input]],MATCH($L25&amp;" - Peak",Input_Usage[[Ref]:[Ref]],0),MATCH($D$21,Inputs!$I$133:$M$133,0)))+
IFERROR((INDEX(OP_TotalRates_SME_2[[Ausnet]:[United Energy]],MATCH("TOU - Shoulder",OP_TotalRates_SME_2[[Rate name]:[Rate name]],0),MATCH(OP_CMAB!O$24,OP_TotalRates_SME_2[[#Headers],[Ausnet]:[United Energy]],0))*
INDEX(Input_Usage[[F-CurrentVDO_Input]:[F-NextVDO_Input]],MATCH($L25&amp;" - Shoulder",Input_Usage[[Ref]:[Ref]],0),MATCH($D$21,Inputs!$I$133:$M$133,0))),0)+
(INDEX(OP_TotalRates_SME_2[[Ausnet]:[United Energy]],MATCH("Off peak",OP_TotalRates_SME_2[[Rate name]:[Rate name]],0),MATCH(OP_CMAB!O$24,OP_TotalRates_SME_2[[#Headers],[Ausnet]:[United Energy]],0))*
INDEX(Input_Usage[[F-CurrentVDO_Input]:[F-NextVDO_Input]],MATCH($L25&amp;" - Off peak",Input_Usage[[Ref]:[Ref]],0),MATCH($D$21,Inputs!$I$133:$M$133,0))),0)),"-")</f>
        <v>3212</v>
      </c>
      <c r="P25" s="122">
        <f>IFERROR(
IF($D$21="VDO 2021 - Final",
ROUNDUP(
(INDEX(OP_TotalRates_SME_2[[Ausnet]:[United Energy]],MATCH("Anytime - supply",OP_TotalRates_SME_2[[Rate name]:[Rate name]],0),MATCH(OP_CMAB!P$24,OP_TotalRates_SME_2[[#Headers],[Ausnet]:[United Energy]],0))*DiY)+
(IFERROR((INDEX(OP_TotalRates_SME_2[[Ausnet]:[United Energy]],MATCH("Block 1",OP_TotalRates_SME_2[[Rate name]:[Rate name]],0),MATCH(OP_CMAB!P$24,OP_TotalRates_SME_2[[#Headers],[Ausnet]:[United Energy]],0))*
INDEX(Input_Usage[[F-CurrentVDO_Input]:[F-NextVDO_Input]],MATCH(OP_CMAB!$L25&amp;" - Block 1",Input_Usage[[Ref]:[Ref]],0),MATCH(OP_CMAB!$D$21,Inputs!$I$133:$M$133,0))),0)+
IFERROR((INDEX(OP_TotalRates_SME_2[[Ausnet]:[United Energy]],MATCH("Balance",OP_TotalRates_SME_2[[Rate name]:[Rate name]],0),MATCH(OP_CMAB!P$24,OP_TotalRates_SME_2[[#Headers],[Ausnet]:[United Energy]],0))*
INDEX(Input_Usage[[F-CurrentVDO_Input]:[F-NextVDO_Input]],MATCH(OP_CMAB!$L25&amp;" - Balance",Input_Usage[[Ref]:[Ref]],0),MATCH(OP_CMAB!$D$21,Inputs!$I$133:$M$133,0))),0)+
IFERROR((INDEX(OP_TotalRates_SME_2[[Ausnet]:[United Energy]],MATCH("Single rate",OP_TotalRates_SME_2[[Rate name]:[Rate name]],0),MATCH(OP_CMAB!P$24,OP_TotalRates_SME_2[[#Headers],[Ausnet]:[United Energy]],0))*
INDEX(Input_Usage[[F-CurrentVDO_Input]:[F-NextVDO_Input]],MATCH(OP_CMAB!$L25&amp;" - Annual",Input_Usage[[Ref]:[Ref]],0),MATCH(OP_CMAB!$D$21,Inputs!$I$133:$M$133,0))),0)),0),
ROUNDUP(
(INDEX(OP_TotalRates_SME_2[[Ausnet]:[United Energy]],MATCH("TOU - supply",OP_TotalRates_SME_2[[Rate name]:[Rate name]],0),MATCH(OP_CMAB!P$24,OP_TotalRates_SME_2[[#Headers],[Ausnet]:[United Energy]],0))*DiY)+
(INDEX(OP_TotalRates_SME_2[[Ausnet]:[United Energy]],MATCH("Peak",OP_TotalRates_SME_2[[Rate name]:[Rate name]],0),MATCH(OP_CMAB!P$24,OP_TotalRates_SME_2[[#Headers],[Ausnet]:[United Energy]],0))*
INDEX(Input_Usage[[F-CurrentVDO_Input]:[F-NextVDO_Input]],MATCH($L25&amp;" - Peak",Input_Usage[[Ref]:[Ref]],0),MATCH($D$21,Inputs!$I$133:$M$133,0)))+
IFERROR((INDEX(OP_TotalRates_SME_2[[Ausnet]:[United Energy]],MATCH("TOU - Shoulder",OP_TotalRates_SME_2[[Rate name]:[Rate name]],0),MATCH(OP_CMAB!P$24,OP_TotalRates_SME_2[[#Headers],[Ausnet]:[United Energy]],0))*
INDEX(Input_Usage[[F-CurrentVDO_Input]:[F-NextVDO_Input]],MATCH($L25&amp;" - Shoulder",Input_Usage[[Ref]:[Ref]],0),MATCH($D$21,Inputs!$I$133:$M$133,0))),0)+
(INDEX(OP_TotalRates_SME_2[[Ausnet]:[United Energy]],MATCH("Off peak",OP_TotalRates_SME_2[[Rate name]:[Rate name]],0),MATCH(OP_CMAB!P$24,OP_TotalRates_SME_2[[#Headers],[Ausnet]:[United Energy]],0))*
INDEX(Input_Usage[[F-CurrentVDO_Input]:[F-NextVDO_Input]],MATCH($L25&amp;" - Off peak",Input_Usage[[Ref]:[Ref]],0),MATCH($D$21,Inputs!$I$133:$M$133,0))),0)),"-")</f>
        <v>3175</v>
      </c>
      <c r="Q25" s="122">
        <f>IFERROR(
IF($D$21="VDO 2021 - Final",
ROUNDUP(
(INDEX(OP_TotalRates_SME_2[[Ausnet]:[United Energy]],MATCH("Anytime - supply",OP_TotalRates_SME_2[[Rate name]:[Rate name]],0),MATCH(OP_CMAB!Q$24,OP_TotalRates_SME_2[[#Headers],[Ausnet]:[United Energy]],0))*DiY)+
(IFERROR((INDEX(OP_TotalRates_SME_2[[Ausnet]:[United Energy]],MATCH("Block 1",OP_TotalRates_SME_2[[Rate name]:[Rate name]],0),MATCH(OP_CMAB!Q$24,OP_TotalRates_SME_2[[#Headers],[Ausnet]:[United Energy]],0))*
INDEX(Input_Usage[[F-CurrentVDO_Input]:[F-NextVDO_Input]],MATCH(OP_CMAB!$L25&amp;" - Block 1",Input_Usage[[Ref]:[Ref]],0),MATCH(OP_CMAB!$D$21,Inputs!$I$133:$M$133,0))),0)+
IFERROR((INDEX(OP_TotalRates_SME_2[[Ausnet]:[United Energy]],MATCH("Balance",OP_TotalRates_SME_2[[Rate name]:[Rate name]],0),MATCH(OP_CMAB!Q$24,OP_TotalRates_SME_2[[#Headers],[Ausnet]:[United Energy]],0))*
INDEX(Input_Usage[[F-CurrentVDO_Input]:[F-NextVDO_Input]],MATCH(OP_CMAB!$L25&amp;" - Balance",Input_Usage[[Ref]:[Ref]],0),MATCH(OP_CMAB!$D$21,Inputs!$I$133:$M$133,0))),0)+
IFERROR((INDEX(OP_TotalRates_SME_2[[Ausnet]:[United Energy]],MATCH("Single rate",OP_TotalRates_SME_2[[Rate name]:[Rate name]],0),MATCH(OP_CMAB!Q$24,OP_TotalRates_SME_2[[#Headers],[Ausnet]:[United Energy]],0))*
INDEX(Input_Usage[[F-CurrentVDO_Input]:[F-NextVDO_Input]],MATCH(OP_CMAB!$L25&amp;" - Annual",Input_Usage[[Ref]:[Ref]],0),MATCH(OP_CMAB!$D$21,Inputs!$I$133:$M$133,0))),0)),0),
ROUNDUP(
(INDEX(OP_TotalRates_SME_2[[Ausnet]:[United Energy]],MATCH("TOU - supply",OP_TotalRates_SME_2[[Rate name]:[Rate name]],0),MATCH(OP_CMAB!Q$24,OP_TotalRates_SME_2[[#Headers],[Ausnet]:[United Energy]],0))*DiY)+
(INDEX(OP_TotalRates_SME_2[[Ausnet]:[United Energy]],MATCH("Peak",OP_TotalRates_SME_2[[Rate name]:[Rate name]],0),MATCH(OP_CMAB!Q$24,OP_TotalRates_SME_2[[#Headers],[Ausnet]:[United Energy]],0))*
INDEX(Input_Usage[[F-CurrentVDO_Input]:[F-NextVDO_Input]],MATCH($L25&amp;" - Peak",Input_Usage[[Ref]:[Ref]],0),MATCH($D$21,Inputs!$I$133:$M$133,0)))+
IFERROR((INDEX(OP_TotalRates_SME_2[[Ausnet]:[United Energy]],MATCH("TOU - Shoulder",OP_TotalRates_SME_2[[Rate name]:[Rate name]],0),MATCH(OP_CMAB!Q$24,OP_TotalRates_SME_2[[#Headers],[Ausnet]:[United Energy]],0))*
INDEX(Input_Usage[[F-CurrentVDO_Input]:[F-NextVDO_Input]],MATCH($L25&amp;" - Shoulder",Input_Usage[[Ref]:[Ref]],0),MATCH($D$21,Inputs!$I$133:$M$133,0))),0)+
(INDEX(OP_TotalRates_SME_2[[Ausnet]:[United Energy]],MATCH("Off peak",OP_TotalRates_SME_2[[Rate name]:[Rate name]],0),MATCH(OP_CMAB!Q$24,OP_TotalRates_SME_2[[#Headers],[Ausnet]:[United Energy]],0))*
INDEX(Input_Usage[[F-CurrentVDO_Input]:[F-NextVDO_Input]],MATCH($L25&amp;" - Off peak",Input_Usage[[Ref]:[Ref]],0),MATCH($D$21,Inputs!$I$133:$M$133,0))),0)),"-")</f>
        <v>3032</v>
      </c>
    </row>
    <row r="26" spans="1:18" x14ac:dyDescent="0.25">
      <c r="C26" s="24" t="s">
        <v>100</v>
      </c>
      <c r="D26" s="24" t="s">
        <v>232</v>
      </c>
      <c r="E26" s="122">
        <f>IFERROR(
IF($D$21="VDO 2021 - Final",
ROUNDUP(
(INDEX(OP_TotalRates_RES_2[[Ausnet]:[United Energy]],MATCH("Anytime - supply",OP_TotalRates_RES_2[[Rate name]:[Rate name]],0),MATCH(OP_CMAB!E$24,OP_TotalRates_RES_2[[#Headers],[Ausnet]:[United Energy]],0))*DiY)+
(IFERROR((INDEX(OP_TotalRates_RES_2[[Ausnet]:[United Energy]],MATCH("Block 1",OP_TotalRates_RES_2[[Rate name]:[Rate name]],0),MATCH(OP_CMAB!E$24,OP_TotalRates_RES_2[[#Headers],[Ausnet]:[United Energy]],0))*
INDEX(Input_Usage[[F-CurrentVDO_Input]:[F-NextVDO_Input]],MATCH(OP_CMAB!$D26&amp;" - Block 1",Input_Usage[[Ref]:[Ref]],0),MATCH(OP_CMAB!$D$21,Inputs!$I$133:$M$133,0))),0)+
IFERROR((INDEX(OP_TotalRates_RES_2[[Ausnet]:[United Energy]],MATCH("Balance",OP_TotalRates_RES_2[[Rate name]:[Rate name]],0),MATCH(OP_CMAB!E$24,OP_TotalRates_RES_2[[#Headers],[Ausnet]:[United Energy]],0))*
INDEX(Input_Usage[[F-CurrentVDO_Input]:[F-NextVDO_Input]],MATCH(OP_CMAB!$D26&amp;" - Balance",Input_Usage[[Ref]:[Ref]],0),MATCH(OP_CMAB!$D$21,Inputs!$I$133:$M$133,0))),0)+
IFERROR((INDEX(OP_TotalRates_RES_2[[Ausnet]:[United Energy]],MATCH("Single rate",OP_TotalRates_RES_2[[Rate name]:[Rate name]],0),MATCH(OP_CMAB!E$24,OP_TotalRates_RES_2[[#Headers],[Ausnet]:[United Energy]],0))*
INDEX(Input_Usage[[F-CurrentVDO_Input]:[F-NextVDO_Input]],MATCH(OP_CMAB!$D26&amp;" - Annual",Input_Usage[[Ref]:[Ref]],0),MATCH(OP_CMAB!$D$21,Inputs!$I$133:$M$133,0))),0)),0),
ROUNDUP(
(INDEX(OP_TotalRates_RES_2[[Ausnet]:[United Energy]],MATCH("TOU - supply",OP_TotalRates_RES_2[[Rate name]:[Rate name]],0),MATCH(OP_CMAB!E$24,OP_TotalRates_RES_2[[#Headers],[Ausnet]:[United Energy]],0))*DiY)+
(INDEX(OP_TotalRates_RES_2[[Ausnet]:[United Energy]],MATCH("Peak",OP_TotalRates_RES_2[[Rate name]:[Rate name]],0),MATCH(OP_CMAB!E$24,OP_TotalRates_RES_2[[#Headers],[Ausnet]:[United Energy]],0))*
INDEX(Input_Usage[[F-CurrentVDO_Input]:[F-NextVDO_Input]],MATCH($D26&amp;" - Peak",Input_Usage[[Ref]:[Ref]],0),MATCH($D$21,Inputs!$I$133:$M$133,0)))+
IFERROR((INDEX(OP_TotalRates_RES_2[[Ausnet]:[United Energy]],MATCH("TOU - Shoulder",OP_TotalRates_RES_2[[Rate name]:[Rate name]],0),MATCH(OP_CMAB!E$24,OP_TotalRates_RES_2[[#Headers],[Ausnet]:[United Energy]],0))*
INDEX(Input_Usage[[F-CurrentVDO_Input]:[F-NextVDO_Input]],MATCH($D26&amp;" - Shoulder",Input_Usage[[Ref]:[Ref]],0),MATCH($D$21,Inputs!$I$133:$M$133,0))),0)+
(INDEX(OP_TotalRates_RES_2[[Ausnet]:[United Energy]],MATCH("Off peak",OP_TotalRates_RES_2[[Rate name]:[Rate name]],0),MATCH(OP_CMAB!E$24,OP_TotalRates_RES_2[[#Headers],[Ausnet]:[United Energy]],0))*
INDEX(Input_Usage[[F-CurrentVDO_Input]:[F-NextVDO_Input]],MATCH($D26&amp;" - Off peak",Input_Usage[[Ref]:[Ref]],0),MATCH($D$21,Inputs!$I$133:$M$133,0))),0)),"-")</f>
        <v>1406</v>
      </c>
      <c r="F26" s="122">
        <f>IFERROR(
IF($D$21="VDO 2021 - Final",
ROUNDUP(
(INDEX(OP_TotalRates_RES_2[[Ausnet]:[United Energy]],MATCH("Anytime - supply",OP_TotalRates_RES_2[[Rate name]:[Rate name]],0),MATCH(OP_CMAB!F$24,OP_TotalRates_RES_2[[#Headers],[Ausnet]:[United Energy]],0))*DiY)+
(IFERROR((INDEX(OP_TotalRates_RES_2[[Ausnet]:[United Energy]],MATCH("Block 1",OP_TotalRates_RES_2[[Rate name]:[Rate name]],0),MATCH(OP_CMAB!F$24,OP_TotalRates_RES_2[[#Headers],[Ausnet]:[United Energy]],0))*
INDEX(Input_Usage[[F-CurrentVDO_Input]:[F-NextVDO_Input]],MATCH(OP_CMAB!$D26&amp;" - Block 1",Input_Usage[[Ref]:[Ref]],0),MATCH(OP_CMAB!$D$21,Inputs!$I$133:$M$133,0))),0)+
IFERROR((INDEX(OP_TotalRates_RES_2[[Ausnet]:[United Energy]],MATCH("Balance",OP_TotalRates_RES_2[[Rate name]:[Rate name]],0),MATCH(OP_CMAB!F$24,OP_TotalRates_RES_2[[#Headers],[Ausnet]:[United Energy]],0))*
INDEX(Input_Usage[[F-CurrentVDO_Input]:[F-NextVDO_Input]],MATCH(OP_CMAB!$D26&amp;" - Balance",Input_Usage[[Ref]:[Ref]],0),MATCH(OP_CMAB!$D$21,Inputs!$I$133:$M$133,0))),0)+
IFERROR((INDEX(OP_TotalRates_RES_2[[Ausnet]:[United Energy]],MATCH("Single rate",OP_TotalRates_RES_2[[Rate name]:[Rate name]],0),MATCH(OP_CMAB!F$24,OP_TotalRates_RES_2[[#Headers],[Ausnet]:[United Energy]],0))*
INDEX(Input_Usage[[F-CurrentVDO_Input]:[F-NextVDO_Input]],MATCH(OP_CMAB!$D26&amp;" - Annual",Input_Usage[[Ref]:[Ref]],0),MATCH(OP_CMAB!$D$21,Inputs!$I$133:$M$133,0))),0)),0),
ROUNDUP(
(INDEX(OP_TotalRates_RES_2[[Ausnet]:[United Energy]],MATCH("TOU - supply",OP_TotalRates_RES_2[[Rate name]:[Rate name]],0),MATCH(OP_CMAB!F$24,OP_TotalRates_RES_2[[#Headers],[Ausnet]:[United Energy]],0))*DiY)+
(INDEX(OP_TotalRates_RES_2[[Ausnet]:[United Energy]],MATCH("Peak",OP_TotalRates_RES_2[[Rate name]:[Rate name]],0),MATCH(OP_CMAB!F$24,OP_TotalRates_RES_2[[#Headers],[Ausnet]:[United Energy]],0))*
INDEX(Input_Usage[[F-CurrentVDO_Input]:[F-NextVDO_Input]],MATCH($D26&amp;" - Peak",Input_Usage[[Ref]:[Ref]],0),MATCH($D$21,Inputs!$I$133:$M$133,0)))+
IFERROR((INDEX(OP_TotalRates_RES_2[[Ausnet]:[United Energy]],MATCH("TOU - Shoulder",OP_TotalRates_RES_2[[Rate name]:[Rate name]],0),MATCH(OP_CMAB!F$24,OP_TotalRates_RES_2[[#Headers],[Ausnet]:[United Energy]],0))*
INDEX(Input_Usage[[F-CurrentVDO_Input]:[F-NextVDO_Input]],MATCH($D26&amp;" - Shoulder",Input_Usage[[Ref]:[Ref]],0),MATCH($D$21,Inputs!$I$133:$M$133,0))),0)+
(INDEX(OP_TotalRates_RES_2[[Ausnet]:[United Energy]],MATCH("Off peak",OP_TotalRates_RES_2[[Rate name]:[Rate name]],0),MATCH(OP_CMAB!F$24,OP_TotalRates_RES_2[[#Headers],[Ausnet]:[United Energy]],0))*
INDEX(Input_Usage[[F-CurrentVDO_Input]:[F-NextVDO_Input]],MATCH($D26&amp;" - Off peak",Input_Usage[[Ref]:[Ref]],0),MATCH($D$21,Inputs!$I$133:$M$133,0))),0)),"-")</f>
        <v>1299</v>
      </c>
      <c r="G26" s="122">
        <f>IFERROR(
IF($D$21="VDO 2021 - Final",
ROUNDUP(
(INDEX(OP_TotalRates_RES_2[[Ausnet]:[United Energy]],MATCH("Anytime - supply",OP_TotalRates_RES_2[[Rate name]:[Rate name]],0),MATCH(OP_CMAB!G$24,OP_TotalRates_RES_2[[#Headers],[Ausnet]:[United Energy]],0))*DiY)+
(IFERROR((INDEX(OP_TotalRates_RES_2[[Ausnet]:[United Energy]],MATCH("Block 1",OP_TotalRates_RES_2[[Rate name]:[Rate name]],0),MATCH(OP_CMAB!G$24,OP_TotalRates_RES_2[[#Headers],[Ausnet]:[United Energy]],0))*
INDEX(Input_Usage[[F-CurrentVDO_Input]:[F-NextVDO_Input]],MATCH(OP_CMAB!$D26&amp;" - Block 1",Input_Usage[[Ref]:[Ref]],0),MATCH(OP_CMAB!$D$21,Inputs!$I$133:$M$133,0))),0)+
IFERROR((INDEX(OP_TotalRates_RES_2[[Ausnet]:[United Energy]],MATCH("Balance",OP_TotalRates_RES_2[[Rate name]:[Rate name]],0),MATCH(OP_CMAB!G$24,OP_TotalRates_RES_2[[#Headers],[Ausnet]:[United Energy]],0))*
INDEX(Input_Usage[[F-CurrentVDO_Input]:[F-NextVDO_Input]],MATCH(OP_CMAB!$D26&amp;" - Balance",Input_Usage[[Ref]:[Ref]],0),MATCH(OP_CMAB!$D$21,Inputs!$I$133:$M$133,0))),0)+
IFERROR((INDEX(OP_TotalRates_RES_2[[Ausnet]:[United Energy]],MATCH("Single rate",OP_TotalRates_RES_2[[Rate name]:[Rate name]],0),MATCH(OP_CMAB!G$24,OP_TotalRates_RES_2[[#Headers],[Ausnet]:[United Energy]],0))*
INDEX(Input_Usage[[F-CurrentVDO_Input]:[F-NextVDO_Input]],MATCH(OP_CMAB!$D26&amp;" - Annual",Input_Usage[[Ref]:[Ref]],0),MATCH(OP_CMAB!$D$21,Inputs!$I$133:$M$133,0))),0)),0),
ROUNDUP(
(INDEX(OP_TotalRates_RES_2[[Ausnet]:[United Energy]],MATCH("TOU - supply",OP_TotalRates_RES_2[[Rate name]:[Rate name]],0),MATCH(OP_CMAB!G$24,OP_TotalRates_RES_2[[#Headers],[Ausnet]:[United Energy]],0))*DiY)+
(INDEX(OP_TotalRates_RES_2[[Ausnet]:[United Energy]],MATCH("Peak",OP_TotalRates_RES_2[[Rate name]:[Rate name]],0),MATCH(OP_CMAB!G$24,OP_TotalRates_RES_2[[#Headers],[Ausnet]:[United Energy]],0))*
INDEX(Input_Usage[[F-CurrentVDO_Input]:[F-NextVDO_Input]],MATCH($D26&amp;" - Peak",Input_Usage[[Ref]:[Ref]],0),MATCH($D$21,Inputs!$I$133:$M$133,0)))+
IFERROR((INDEX(OP_TotalRates_RES_2[[Ausnet]:[United Energy]],MATCH("TOU - Shoulder",OP_TotalRates_RES_2[[Rate name]:[Rate name]],0),MATCH(OP_CMAB!G$24,OP_TotalRates_RES_2[[#Headers],[Ausnet]:[United Energy]],0))*
INDEX(Input_Usage[[F-CurrentVDO_Input]:[F-NextVDO_Input]],MATCH($D26&amp;" - Shoulder",Input_Usage[[Ref]:[Ref]],0),MATCH($D$21,Inputs!$I$133:$M$133,0))),0)+
(INDEX(OP_TotalRates_RES_2[[Ausnet]:[United Energy]],MATCH("Off peak",OP_TotalRates_RES_2[[Rate name]:[Rate name]],0),MATCH(OP_CMAB!G$24,OP_TotalRates_RES_2[[#Headers],[Ausnet]:[United Energy]],0))*
INDEX(Input_Usage[[F-CurrentVDO_Input]:[F-NextVDO_Input]],MATCH($D26&amp;" - Off peak",Input_Usage[[Ref]:[Ref]],0),MATCH($D$21,Inputs!$I$133:$M$133,0))),0)),"-")</f>
        <v>1232</v>
      </c>
      <c r="H26" s="122">
        <f>IFERROR(
IF($D$21="VDO 2021 - Final",
ROUNDUP(
(INDEX(OP_TotalRates_RES_2[[Ausnet]:[United Energy]],MATCH("Anytime - supply",OP_TotalRates_RES_2[[Rate name]:[Rate name]],0),MATCH(OP_CMAB!H$24,OP_TotalRates_RES_2[[#Headers],[Ausnet]:[United Energy]],0))*DiY)+
(IFERROR((INDEX(OP_TotalRates_RES_2[[Ausnet]:[United Energy]],MATCH("Block 1",OP_TotalRates_RES_2[[Rate name]:[Rate name]],0),MATCH(OP_CMAB!H$24,OP_TotalRates_RES_2[[#Headers],[Ausnet]:[United Energy]],0))*
INDEX(Input_Usage[[F-CurrentVDO_Input]:[F-NextVDO_Input]],MATCH(OP_CMAB!$D26&amp;" - Block 1",Input_Usage[[Ref]:[Ref]],0),MATCH(OP_CMAB!$D$21,Inputs!$I$133:$M$133,0))),0)+
IFERROR((INDEX(OP_TotalRates_RES_2[[Ausnet]:[United Energy]],MATCH("Balance",OP_TotalRates_RES_2[[Rate name]:[Rate name]],0),MATCH(OP_CMAB!H$24,OP_TotalRates_RES_2[[#Headers],[Ausnet]:[United Energy]],0))*
INDEX(Input_Usage[[F-CurrentVDO_Input]:[F-NextVDO_Input]],MATCH(OP_CMAB!$D26&amp;" - Balance",Input_Usage[[Ref]:[Ref]],0),MATCH(OP_CMAB!$D$21,Inputs!$I$133:$M$133,0))),0)+
IFERROR((INDEX(OP_TotalRates_RES_2[[Ausnet]:[United Energy]],MATCH("Single rate",OP_TotalRates_RES_2[[Rate name]:[Rate name]],0),MATCH(OP_CMAB!H$24,OP_TotalRates_RES_2[[#Headers],[Ausnet]:[United Energy]],0))*
INDEX(Input_Usage[[F-CurrentVDO_Input]:[F-NextVDO_Input]],MATCH(OP_CMAB!$D26&amp;" - Annual",Input_Usage[[Ref]:[Ref]],0),MATCH(OP_CMAB!$D$21,Inputs!$I$133:$M$133,0))),0)),0),
ROUNDUP(
(INDEX(OP_TotalRates_RES_2[[Ausnet]:[United Energy]],MATCH("TOU - supply",OP_TotalRates_RES_2[[Rate name]:[Rate name]],0),MATCH(OP_CMAB!H$24,OP_TotalRates_RES_2[[#Headers],[Ausnet]:[United Energy]],0))*DiY)+
(INDEX(OP_TotalRates_RES_2[[Ausnet]:[United Energy]],MATCH("Peak",OP_TotalRates_RES_2[[Rate name]:[Rate name]],0),MATCH(OP_CMAB!H$24,OP_TotalRates_RES_2[[#Headers],[Ausnet]:[United Energy]],0))*
INDEX(Input_Usage[[F-CurrentVDO_Input]:[F-NextVDO_Input]],MATCH($D26&amp;" - Peak",Input_Usage[[Ref]:[Ref]],0),MATCH($D$21,Inputs!$I$133:$M$133,0)))+
IFERROR((INDEX(OP_TotalRates_RES_2[[Ausnet]:[United Energy]],MATCH("TOU - Shoulder",OP_TotalRates_RES_2[[Rate name]:[Rate name]],0),MATCH(OP_CMAB!H$24,OP_TotalRates_RES_2[[#Headers],[Ausnet]:[United Energy]],0))*
INDEX(Input_Usage[[F-CurrentVDO_Input]:[F-NextVDO_Input]],MATCH($D26&amp;" - Shoulder",Input_Usage[[Ref]:[Ref]],0),MATCH($D$21,Inputs!$I$133:$M$133,0))),0)+
(INDEX(OP_TotalRates_RES_2[[Ausnet]:[United Energy]],MATCH("Off peak",OP_TotalRates_RES_2[[Rate name]:[Rate name]],0),MATCH(OP_CMAB!H$24,OP_TotalRates_RES_2[[#Headers],[Ausnet]:[United Energy]],0))*
INDEX(Input_Usage[[F-CurrentVDO_Input]:[F-NextVDO_Input]],MATCH($D26&amp;" - Off peak",Input_Usage[[Ref]:[Ref]],0),MATCH($D$21,Inputs!$I$133:$M$133,0))),0)),"-")</f>
        <v>1368</v>
      </c>
      <c r="I26" s="122">
        <f>IFERROR(
IF($D$21="VDO 2021 - Final",
ROUNDUP(
(INDEX(OP_TotalRates_RES_2[[Ausnet]:[United Energy]],MATCH("Anytime - supply",OP_TotalRates_RES_2[[Rate name]:[Rate name]],0),MATCH(OP_CMAB!I$24,OP_TotalRates_RES_2[[#Headers],[Ausnet]:[United Energy]],0))*DiY)+
(IFERROR((INDEX(OP_TotalRates_RES_2[[Ausnet]:[United Energy]],MATCH("Block 1",OP_TotalRates_RES_2[[Rate name]:[Rate name]],0),MATCH(OP_CMAB!I$24,OP_TotalRates_RES_2[[#Headers],[Ausnet]:[United Energy]],0))*
INDEX(Input_Usage[[F-CurrentVDO_Input]:[F-NextVDO_Input]],MATCH(OP_CMAB!$D26&amp;" - Block 1",Input_Usage[[Ref]:[Ref]],0),MATCH(OP_CMAB!$D$21,Inputs!$I$133:$M$133,0))),0)+
IFERROR((INDEX(OP_TotalRates_RES_2[[Ausnet]:[United Energy]],MATCH("Balance",OP_TotalRates_RES_2[[Rate name]:[Rate name]],0),MATCH(OP_CMAB!I$24,OP_TotalRates_RES_2[[#Headers],[Ausnet]:[United Energy]],0))*
INDEX(Input_Usage[[F-CurrentVDO_Input]:[F-NextVDO_Input]],MATCH(OP_CMAB!$D26&amp;" - Balance",Input_Usage[[Ref]:[Ref]],0),MATCH(OP_CMAB!$D$21,Inputs!$I$133:$M$133,0))),0)+
IFERROR((INDEX(OP_TotalRates_RES_2[[Ausnet]:[United Energy]],MATCH("Single rate",OP_TotalRates_RES_2[[Rate name]:[Rate name]],0),MATCH(OP_CMAB!I$24,OP_TotalRates_RES_2[[#Headers],[Ausnet]:[United Energy]],0))*
INDEX(Input_Usage[[F-CurrentVDO_Input]:[F-NextVDO_Input]],MATCH(OP_CMAB!$D26&amp;" - Annual",Input_Usage[[Ref]:[Ref]],0),MATCH(OP_CMAB!$D$21,Inputs!$I$133:$M$133,0))),0)),0),
ROUNDUP(
(INDEX(OP_TotalRates_RES_2[[Ausnet]:[United Energy]],MATCH("TOU - supply",OP_TotalRates_RES_2[[Rate name]:[Rate name]],0),MATCH(OP_CMAB!I$24,OP_TotalRates_RES_2[[#Headers],[Ausnet]:[United Energy]],0))*DiY)+
(INDEX(OP_TotalRates_RES_2[[Ausnet]:[United Energy]],MATCH("Peak",OP_TotalRates_RES_2[[Rate name]:[Rate name]],0),MATCH(OP_CMAB!I$24,OP_TotalRates_RES_2[[#Headers],[Ausnet]:[United Energy]],0))*
INDEX(Input_Usage[[F-CurrentVDO_Input]:[F-NextVDO_Input]],MATCH($D26&amp;" - Peak",Input_Usage[[Ref]:[Ref]],0),MATCH($D$21,Inputs!$I$133:$M$133,0)))+
IFERROR((INDEX(OP_TotalRates_RES_2[[Ausnet]:[United Energy]],MATCH("TOU - Shoulder",OP_TotalRates_RES_2[[Rate name]:[Rate name]],0),MATCH(OP_CMAB!I$24,OP_TotalRates_RES_2[[#Headers],[Ausnet]:[United Energy]],0))*
INDEX(Input_Usage[[F-CurrentVDO_Input]:[F-NextVDO_Input]],MATCH($D26&amp;" - Shoulder",Input_Usage[[Ref]:[Ref]],0),MATCH($D$21,Inputs!$I$133:$M$133,0))),0)+
(INDEX(OP_TotalRates_RES_2[[Ausnet]:[United Energy]],MATCH("Off peak",OP_TotalRates_RES_2[[Rate name]:[Rate name]],0),MATCH(OP_CMAB!I$24,OP_TotalRates_RES_2[[#Headers],[Ausnet]:[United Energy]],0))*
INDEX(Input_Usage[[F-CurrentVDO_Input]:[F-NextVDO_Input]],MATCH($D26&amp;" - Off peak",Input_Usage[[Ref]:[Ref]],0),MATCH($D$21,Inputs!$I$133:$M$133,0))),0)),"-")</f>
        <v>1276</v>
      </c>
      <c r="K26" s="24" t="s">
        <v>101</v>
      </c>
      <c r="L26" s="24" t="s">
        <v>235</v>
      </c>
      <c r="M26" s="122">
        <f>IFERROR(
IF($D$21="VDO 2021 - Final",
ROUNDUP(
(INDEX(OP_TotalRates_SME_2[[Ausnet]:[United Energy]],MATCH("Anytime - supply",OP_TotalRates_SME_2[[Rate name]:[Rate name]],0),MATCH(OP_CMAB!M$24,OP_TotalRates_SME_2[[#Headers],[Ausnet]:[United Energy]],0))*DiY)+
(IFERROR((INDEX(OP_TotalRates_SME_2[[Ausnet]:[United Energy]],MATCH("Block 1",OP_TotalRates_SME_2[[Rate name]:[Rate name]],0),MATCH(OP_CMAB!M$24,OP_TotalRates_SME_2[[#Headers],[Ausnet]:[United Energy]],0))*
INDEX(Input_Usage[[F-CurrentVDO_Input]:[F-NextVDO_Input]],MATCH(OP_CMAB!$L26&amp;" - Block 1",Input_Usage[[Ref]:[Ref]],0),MATCH(OP_CMAB!$D$21,Inputs!$I$133:$M$133,0))),0)+
IFERROR((INDEX(OP_TotalRates_SME_2[[Ausnet]:[United Energy]],MATCH("Balance",OP_TotalRates_SME_2[[Rate name]:[Rate name]],0),MATCH(OP_CMAB!M$24,OP_TotalRates_SME_2[[#Headers],[Ausnet]:[United Energy]],0))*
INDEX(Input_Usage[[F-CurrentVDO_Input]:[F-NextVDO_Input]],MATCH(OP_CMAB!$L26&amp;" - Balance",Input_Usage[[Ref]:[Ref]],0),MATCH(OP_CMAB!$D$21,Inputs!$I$133:$M$133,0))),0)+
IFERROR((INDEX(OP_TotalRates_SME_2[[Ausnet]:[United Energy]],MATCH("Single rate",OP_TotalRates_SME_2[[Rate name]:[Rate name]],0),MATCH(OP_CMAB!M$24,OP_TotalRates_SME_2[[#Headers],[Ausnet]:[United Energy]],0))*
INDEX(Input_Usage[[F-CurrentVDO_Input]:[F-NextVDO_Input]],MATCH(OP_CMAB!$L26&amp;" - Annual",Input_Usage[[Ref]:[Ref]],0),MATCH(OP_CMAB!$D$21,Inputs!$I$133:$M$133,0))),0)),0),
ROUNDUP(
(INDEX(OP_TotalRates_SME_2[[Ausnet]:[United Energy]],MATCH("TOU - supply",OP_TotalRates_SME_2[[Rate name]:[Rate name]],0),MATCH(OP_CMAB!M$24,OP_TotalRates_SME_2[[#Headers],[Ausnet]:[United Energy]],0))*DiY)+
(INDEX(OP_TotalRates_SME_2[[Ausnet]:[United Energy]],MATCH("Peak",OP_TotalRates_SME_2[[Rate name]:[Rate name]],0),MATCH(OP_CMAB!M$24,OP_TotalRates_SME_2[[#Headers],[Ausnet]:[United Energy]],0))*
INDEX(Input_Usage[[F-CurrentVDO_Input]:[F-NextVDO_Input]],MATCH($L26&amp;" - Peak",Input_Usage[[Ref]:[Ref]],0),MATCH($D$21,Inputs!$I$133:$M$133,0)))+
IFERROR((INDEX(OP_TotalRates_SME_2[[Ausnet]:[United Energy]],MATCH("TOU - Shoulder",OP_TotalRates_SME_2[[Rate name]:[Rate name]],0),MATCH(OP_CMAB!M$24,OP_TotalRates_SME_2[[#Headers],[Ausnet]:[United Energy]],0))*
INDEX(Input_Usage[[F-CurrentVDO_Input]:[F-NextVDO_Input]],MATCH($L26&amp;" - Shoulder",Input_Usage[[Ref]:[Ref]],0),MATCH($D$21,Inputs!$I$133:$M$133,0))),0)+
(INDEX(OP_TotalRates_SME_2[[Ausnet]:[United Energy]],MATCH("Off peak",OP_TotalRates_SME_2[[Rate name]:[Rate name]],0),MATCH(OP_CMAB!M$24,OP_TotalRates_SME_2[[#Headers],[Ausnet]:[United Energy]],0))*
INDEX(Input_Usage[[F-CurrentVDO_Input]:[F-NextVDO_Input]],MATCH($L26&amp;" - Off peak",Input_Usage[[Ref]:[Ref]],0),MATCH($D$21,Inputs!$I$133:$M$133,0))),0)),"-")</f>
        <v>5232</v>
      </c>
      <c r="N26" s="122">
        <f>IFERROR(
IF($D$21="VDO 2021 - Final",
ROUNDUP(
(INDEX(OP_TotalRates_SME_2[[Ausnet]:[United Energy]],MATCH("Anytime - supply",OP_TotalRates_SME_2[[Rate name]:[Rate name]],0),MATCH(OP_CMAB!N$24,OP_TotalRates_SME_2[[#Headers],[Ausnet]:[United Energy]],0))*DiY)+
(IFERROR((INDEX(OP_TotalRates_SME_2[[Ausnet]:[United Energy]],MATCH("Block 1",OP_TotalRates_SME_2[[Rate name]:[Rate name]],0),MATCH(OP_CMAB!N$24,OP_TotalRates_SME_2[[#Headers],[Ausnet]:[United Energy]],0))*
INDEX(Input_Usage[[F-CurrentVDO_Input]:[F-NextVDO_Input]],MATCH(OP_CMAB!$L26&amp;" - Block 1",Input_Usage[[Ref]:[Ref]],0),MATCH(OP_CMAB!$D$21,Inputs!$I$133:$M$133,0))),0)+
IFERROR((INDEX(OP_TotalRates_SME_2[[Ausnet]:[United Energy]],MATCH("Balance",OP_TotalRates_SME_2[[Rate name]:[Rate name]],0),MATCH(OP_CMAB!N$24,OP_TotalRates_SME_2[[#Headers],[Ausnet]:[United Energy]],0))*
INDEX(Input_Usage[[F-CurrentVDO_Input]:[F-NextVDO_Input]],MATCH(OP_CMAB!$L26&amp;" - Balance",Input_Usage[[Ref]:[Ref]],0),MATCH(OP_CMAB!$D$21,Inputs!$I$133:$M$133,0))),0)+
IFERROR((INDEX(OP_TotalRates_SME_2[[Ausnet]:[United Energy]],MATCH("Single rate",OP_TotalRates_SME_2[[Rate name]:[Rate name]],0),MATCH(OP_CMAB!N$24,OP_TotalRates_SME_2[[#Headers],[Ausnet]:[United Energy]],0))*
INDEX(Input_Usage[[F-CurrentVDO_Input]:[F-NextVDO_Input]],MATCH(OP_CMAB!$L26&amp;" - Annual",Input_Usage[[Ref]:[Ref]],0),MATCH(OP_CMAB!$D$21,Inputs!$I$133:$M$133,0))),0)),0),
ROUNDUP(
(INDEX(OP_TotalRates_SME_2[[Ausnet]:[United Energy]],MATCH("TOU - supply",OP_TotalRates_SME_2[[Rate name]:[Rate name]],0),MATCH(OP_CMAB!N$24,OP_TotalRates_SME_2[[#Headers],[Ausnet]:[United Energy]],0))*DiY)+
(INDEX(OP_TotalRates_SME_2[[Ausnet]:[United Energy]],MATCH("Peak",OP_TotalRates_SME_2[[Rate name]:[Rate name]],0),MATCH(OP_CMAB!N$24,OP_TotalRates_SME_2[[#Headers],[Ausnet]:[United Energy]],0))*
INDEX(Input_Usage[[F-CurrentVDO_Input]:[F-NextVDO_Input]],MATCH($L26&amp;" - Peak",Input_Usage[[Ref]:[Ref]],0),MATCH($D$21,Inputs!$I$133:$M$133,0)))+
IFERROR((INDEX(OP_TotalRates_SME_2[[Ausnet]:[United Energy]],MATCH("TOU - Shoulder",OP_TotalRates_SME_2[[Rate name]:[Rate name]],0),MATCH(OP_CMAB!N$24,OP_TotalRates_SME_2[[#Headers],[Ausnet]:[United Energy]],0))*
INDEX(Input_Usage[[F-CurrentVDO_Input]:[F-NextVDO_Input]],MATCH($L26&amp;" - Shoulder",Input_Usage[[Ref]:[Ref]],0),MATCH($D$21,Inputs!$I$133:$M$133,0))),0)+
(INDEX(OP_TotalRates_SME_2[[Ausnet]:[United Energy]],MATCH("Off peak",OP_TotalRates_SME_2[[Rate name]:[Rate name]],0),MATCH(OP_CMAB!N$24,OP_TotalRates_SME_2[[#Headers],[Ausnet]:[United Energy]],0))*
INDEX(Input_Usage[[F-CurrentVDO_Input]:[F-NextVDO_Input]],MATCH($L26&amp;" - Off peak",Input_Usage[[Ref]:[Ref]],0),MATCH($D$21,Inputs!$I$133:$M$133,0))),0)),"-")</f>
        <v>4694</v>
      </c>
      <c r="O26" s="122">
        <f>IFERROR(
IF($D$21="VDO 2021 - Final",
ROUNDUP(
(INDEX(OP_TotalRates_SME_2[[Ausnet]:[United Energy]],MATCH("Anytime - supply",OP_TotalRates_SME_2[[Rate name]:[Rate name]],0),MATCH(OP_CMAB!O$24,OP_TotalRates_SME_2[[#Headers],[Ausnet]:[United Energy]],0))*DiY)+
(IFERROR((INDEX(OP_TotalRates_SME_2[[Ausnet]:[United Energy]],MATCH("Block 1",OP_TotalRates_SME_2[[Rate name]:[Rate name]],0),MATCH(OP_CMAB!O$24,OP_TotalRates_SME_2[[#Headers],[Ausnet]:[United Energy]],0))*
INDEX(Input_Usage[[F-CurrentVDO_Input]:[F-NextVDO_Input]],MATCH(OP_CMAB!$L26&amp;" - Block 1",Input_Usage[[Ref]:[Ref]],0),MATCH(OP_CMAB!$D$21,Inputs!$I$133:$M$133,0))),0)+
IFERROR((INDEX(OP_TotalRates_SME_2[[Ausnet]:[United Energy]],MATCH("Balance",OP_TotalRates_SME_2[[Rate name]:[Rate name]],0),MATCH(OP_CMAB!O$24,OP_TotalRates_SME_2[[#Headers],[Ausnet]:[United Energy]],0))*
INDEX(Input_Usage[[F-CurrentVDO_Input]:[F-NextVDO_Input]],MATCH(OP_CMAB!$L26&amp;" - Balance",Input_Usage[[Ref]:[Ref]],0),MATCH(OP_CMAB!$D$21,Inputs!$I$133:$M$133,0))),0)+
IFERROR((INDEX(OP_TotalRates_SME_2[[Ausnet]:[United Energy]],MATCH("Single rate",OP_TotalRates_SME_2[[Rate name]:[Rate name]],0),MATCH(OP_CMAB!O$24,OP_TotalRates_SME_2[[#Headers],[Ausnet]:[United Energy]],0))*
INDEX(Input_Usage[[F-CurrentVDO_Input]:[F-NextVDO_Input]],MATCH(OP_CMAB!$L26&amp;" - Annual",Input_Usage[[Ref]:[Ref]],0),MATCH(OP_CMAB!$D$21,Inputs!$I$133:$M$133,0))),0)),0),
ROUNDUP(
(INDEX(OP_TotalRates_SME_2[[Ausnet]:[United Energy]],MATCH("TOU - supply",OP_TotalRates_SME_2[[Rate name]:[Rate name]],0),MATCH(OP_CMAB!O$24,OP_TotalRates_SME_2[[#Headers],[Ausnet]:[United Energy]],0))*DiY)+
(INDEX(OP_TotalRates_SME_2[[Ausnet]:[United Energy]],MATCH("Peak",OP_TotalRates_SME_2[[Rate name]:[Rate name]],0),MATCH(OP_CMAB!O$24,OP_TotalRates_SME_2[[#Headers],[Ausnet]:[United Energy]],0))*
INDEX(Input_Usage[[F-CurrentVDO_Input]:[F-NextVDO_Input]],MATCH($L26&amp;" - Peak",Input_Usage[[Ref]:[Ref]],0),MATCH($D$21,Inputs!$I$133:$M$133,0)))+
IFERROR((INDEX(OP_TotalRates_SME_2[[Ausnet]:[United Energy]],MATCH("TOU - Shoulder",OP_TotalRates_SME_2[[Rate name]:[Rate name]],0),MATCH(OP_CMAB!O$24,OP_TotalRates_SME_2[[#Headers],[Ausnet]:[United Energy]],0))*
INDEX(Input_Usage[[F-CurrentVDO_Input]:[F-NextVDO_Input]],MATCH($L26&amp;" - Shoulder",Input_Usage[[Ref]:[Ref]],0),MATCH($D$21,Inputs!$I$133:$M$133,0))),0)+
(INDEX(OP_TotalRates_SME_2[[Ausnet]:[United Energy]],MATCH("Off peak",OP_TotalRates_SME_2[[Rate name]:[Rate name]],0),MATCH(OP_CMAB!O$24,OP_TotalRates_SME_2[[#Headers],[Ausnet]:[United Energy]],0))*
INDEX(Input_Usage[[F-CurrentVDO_Input]:[F-NextVDO_Input]],MATCH($L26&amp;" - Off peak",Input_Usage[[Ref]:[Ref]],0),MATCH($D$21,Inputs!$I$133:$M$133,0))),0)),"-")</f>
        <v>4955</v>
      </c>
      <c r="P26" s="122">
        <f>IFERROR(
IF($D$21="VDO 2021 - Final",
ROUNDUP(
(INDEX(OP_TotalRates_SME_2[[Ausnet]:[United Energy]],MATCH("Anytime - supply",OP_TotalRates_SME_2[[Rate name]:[Rate name]],0),MATCH(OP_CMAB!P$24,OP_TotalRates_SME_2[[#Headers],[Ausnet]:[United Energy]],0))*DiY)+
(IFERROR((INDEX(OP_TotalRates_SME_2[[Ausnet]:[United Energy]],MATCH("Block 1",OP_TotalRates_SME_2[[Rate name]:[Rate name]],0),MATCH(OP_CMAB!P$24,OP_TotalRates_SME_2[[#Headers],[Ausnet]:[United Energy]],0))*
INDEX(Input_Usage[[F-CurrentVDO_Input]:[F-NextVDO_Input]],MATCH(OP_CMAB!$L26&amp;" - Block 1",Input_Usage[[Ref]:[Ref]],0),MATCH(OP_CMAB!$D$21,Inputs!$I$133:$M$133,0))),0)+
IFERROR((INDEX(OP_TotalRates_SME_2[[Ausnet]:[United Energy]],MATCH("Balance",OP_TotalRates_SME_2[[Rate name]:[Rate name]],0),MATCH(OP_CMAB!P$24,OP_TotalRates_SME_2[[#Headers],[Ausnet]:[United Energy]],0))*
INDEX(Input_Usage[[F-CurrentVDO_Input]:[F-NextVDO_Input]],MATCH(OP_CMAB!$L26&amp;" - Balance",Input_Usage[[Ref]:[Ref]],0),MATCH(OP_CMAB!$D$21,Inputs!$I$133:$M$133,0))),0)+
IFERROR((INDEX(OP_TotalRates_SME_2[[Ausnet]:[United Energy]],MATCH("Single rate",OP_TotalRates_SME_2[[Rate name]:[Rate name]],0),MATCH(OP_CMAB!P$24,OP_TotalRates_SME_2[[#Headers],[Ausnet]:[United Energy]],0))*
INDEX(Input_Usage[[F-CurrentVDO_Input]:[F-NextVDO_Input]],MATCH(OP_CMAB!$L26&amp;" - Annual",Input_Usage[[Ref]:[Ref]],0),MATCH(OP_CMAB!$D$21,Inputs!$I$133:$M$133,0))),0)),0),
ROUNDUP(
(INDEX(OP_TotalRates_SME_2[[Ausnet]:[United Energy]],MATCH("TOU - supply",OP_TotalRates_SME_2[[Rate name]:[Rate name]],0),MATCH(OP_CMAB!P$24,OP_TotalRates_SME_2[[#Headers],[Ausnet]:[United Energy]],0))*DiY)+
(INDEX(OP_TotalRates_SME_2[[Ausnet]:[United Energy]],MATCH("Peak",OP_TotalRates_SME_2[[Rate name]:[Rate name]],0),MATCH(OP_CMAB!P$24,OP_TotalRates_SME_2[[#Headers],[Ausnet]:[United Energy]],0))*
INDEX(Input_Usage[[F-CurrentVDO_Input]:[F-NextVDO_Input]],MATCH($L26&amp;" - Peak",Input_Usage[[Ref]:[Ref]],0),MATCH($D$21,Inputs!$I$133:$M$133,0)))+
IFERROR((INDEX(OP_TotalRates_SME_2[[Ausnet]:[United Energy]],MATCH("TOU - Shoulder",OP_TotalRates_SME_2[[Rate name]:[Rate name]],0),MATCH(OP_CMAB!P$24,OP_TotalRates_SME_2[[#Headers],[Ausnet]:[United Energy]],0))*
INDEX(Input_Usage[[F-CurrentVDO_Input]:[F-NextVDO_Input]],MATCH($L26&amp;" - Shoulder",Input_Usage[[Ref]:[Ref]],0),MATCH($D$21,Inputs!$I$133:$M$133,0))),0)+
(INDEX(OP_TotalRates_SME_2[[Ausnet]:[United Energy]],MATCH("Off peak",OP_TotalRates_SME_2[[Rate name]:[Rate name]],0),MATCH(OP_CMAB!P$24,OP_TotalRates_SME_2[[#Headers],[Ausnet]:[United Energy]],0))*
INDEX(Input_Usage[[F-CurrentVDO_Input]:[F-NextVDO_Input]],MATCH($L26&amp;" - Off peak",Input_Usage[[Ref]:[Ref]],0),MATCH($D$21,Inputs!$I$133:$M$133,0))),0)),"-")</f>
        <v>4945</v>
      </c>
      <c r="Q26" s="122">
        <f>IFERROR(
IF($D$21="VDO 2021 - Final",
ROUNDUP(
(INDEX(OP_TotalRates_SME_2[[Ausnet]:[United Energy]],MATCH("Anytime - supply",OP_TotalRates_SME_2[[Rate name]:[Rate name]],0),MATCH(OP_CMAB!Q$24,OP_TotalRates_SME_2[[#Headers],[Ausnet]:[United Energy]],0))*DiY)+
(IFERROR((INDEX(OP_TotalRates_SME_2[[Ausnet]:[United Energy]],MATCH("Block 1",OP_TotalRates_SME_2[[Rate name]:[Rate name]],0),MATCH(OP_CMAB!Q$24,OP_TotalRates_SME_2[[#Headers],[Ausnet]:[United Energy]],0))*
INDEX(Input_Usage[[F-CurrentVDO_Input]:[F-NextVDO_Input]],MATCH(OP_CMAB!$L26&amp;" - Block 1",Input_Usage[[Ref]:[Ref]],0),MATCH(OP_CMAB!$D$21,Inputs!$I$133:$M$133,0))),0)+
IFERROR((INDEX(OP_TotalRates_SME_2[[Ausnet]:[United Energy]],MATCH("Balance",OP_TotalRates_SME_2[[Rate name]:[Rate name]],0),MATCH(OP_CMAB!Q$24,OP_TotalRates_SME_2[[#Headers],[Ausnet]:[United Energy]],0))*
INDEX(Input_Usage[[F-CurrentVDO_Input]:[F-NextVDO_Input]],MATCH(OP_CMAB!$L26&amp;" - Balance",Input_Usage[[Ref]:[Ref]],0),MATCH(OP_CMAB!$D$21,Inputs!$I$133:$M$133,0))),0)+
IFERROR((INDEX(OP_TotalRates_SME_2[[Ausnet]:[United Energy]],MATCH("Single rate",OP_TotalRates_SME_2[[Rate name]:[Rate name]],0),MATCH(OP_CMAB!Q$24,OP_TotalRates_SME_2[[#Headers],[Ausnet]:[United Energy]],0))*
INDEX(Input_Usage[[F-CurrentVDO_Input]:[F-NextVDO_Input]],MATCH(OP_CMAB!$L26&amp;" - Annual",Input_Usage[[Ref]:[Ref]],0),MATCH(OP_CMAB!$D$21,Inputs!$I$133:$M$133,0))),0)),0),
ROUNDUP(
(INDEX(OP_TotalRates_SME_2[[Ausnet]:[United Energy]],MATCH("TOU - supply",OP_TotalRates_SME_2[[Rate name]:[Rate name]],0),MATCH(OP_CMAB!Q$24,OP_TotalRates_SME_2[[#Headers],[Ausnet]:[United Energy]],0))*DiY)+
(INDEX(OP_TotalRates_SME_2[[Ausnet]:[United Energy]],MATCH("Peak",OP_TotalRates_SME_2[[Rate name]:[Rate name]],0),MATCH(OP_CMAB!Q$24,OP_TotalRates_SME_2[[#Headers],[Ausnet]:[United Energy]],0))*
INDEX(Input_Usage[[F-CurrentVDO_Input]:[F-NextVDO_Input]],MATCH($L26&amp;" - Peak",Input_Usage[[Ref]:[Ref]],0),MATCH($D$21,Inputs!$I$133:$M$133,0)))+
IFERROR((INDEX(OP_TotalRates_SME_2[[Ausnet]:[United Energy]],MATCH("TOU - Shoulder",OP_TotalRates_SME_2[[Rate name]:[Rate name]],0),MATCH(OP_CMAB!Q$24,OP_TotalRates_SME_2[[#Headers],[Ausnet]:[United Energy]],0))*
INDEX(Input_Usage[[F-CurrentVDO_Input]:[F-NextVDO_Input]],MATCH($L26&amp;" - Shoulder",Input_Usage[[Ref]:[Ref]],0),MATCH($D$21,Inputs!$I$133:$M$133,0))),0)+
(INDEX(OP_TotalRates_SME_2[[Ausnet]:[United Energy]],MATCH("Off peak",OP_TotalRates_SME_2[[Rate name]:[Rate name]],0),MATCH(OP_CMAB!Q$24,OP_TotalRates_SME_2[[#Headers],[Ausnet]:[United Energy]],0))*
INDEX(Input_Usage[[F-CurrentVDO_Input]:[F-NextVDO_Input]],MATCH($L26&amp;" - Off peak",Input_Usage[[Ref]:[Ref]],0),MATCH($D$21,Inputs!$I$133:$M$133,0))),0)),"-")</f>
        <v>4780</v>
      </c>
    </row>
    <row r="27" spans="1:18" hidden="1" x14ac:dyDescent="0.25">
      <c r="C27" s="45" t="s">
        <v>100</v>
      </c>
      <c r="D27" s="45" t="s">
        <v>233</v>
      </c>
      <c r="E27" s="122">
        <f>IFERROR(
IF($D$21="VDO 2021 - Final",
ROUNDUP(
(INDEX(OP_TotalRates_RES_2[[Ausnet]:[United Energy]],MATCH("Anytime - supply",OP_TotalRates_RES_2[[Rate name]:[Rate name]],0),MATCH(OP_CMAB!E$24,OP_TotalRates_RES_2[[#Headers],[Ausnet]:[United Energy]],0))*DiY)+
(IFERROR((INDEX(OP_TotalRates_RES_2[[Ausnet]:[United Energy]],MATCH("Block 1",OP_TotalRates_RES_2[[Rate name]:[Rate name]],0),MATCH(OP_CMAB!E$24,OP_TotalRates_RES_2[[#Headers],[Ausnet]:[United Energy]],0))*
INDEX(Input_Usage[[F-CurrentVDO_Input]:[F-NextVDO_Input]],MATCH(OP_CMAB!$D27&amp;" - Block 1",Input_Usage[[Ref]:[Ref]],0),MATCH(OP_CMAB!$D$21,Inputs!$I$133:$M$133,0))),0)+
IFERROR((INDEX(OP_TotalRates_RES_2[[Ausnet]:[United Energy]],MATCH("Balance",OP_TotalRates_RES_2[[Rate name]:[Rate name]],0),MATCH(OP_CMAB!E$24,OP_TotalRates_RES_2[[#Headers],[Ausnet]:[United Energy]],0))*
INDEX(Input_Usage[[F-CurrentVDO_Input]:[F-NextVDO_Input]],MATCH(OP_CMAB!$D27&amp;" - Balance",Input_Usage[[Ref]:[Ref]],0),MATCH(OP_CMAB!$D$21,Inputs!$I$133:$M$133,0))),0)+
IFERROR((INDEX(OP_TotalRates_RES_2[[Ausnet]:[United Energy]],MATCH("Single rate",OP_TotalRates_RES_2[[Rate name]:[Rate name]],0),MATCH(OP_CMAB!E$24,OP_TotalRates_RES_2[[#Headers],[Ausnet]:[United Energy]],0))*
INDEX(Input_Usage[[F-CurrentVDO_Input]:[F-NextVDO_Input]],MATCH(OP_CMAB!$D27&amp;" - Annual",Input_Usage[[Ref]:[Ref]],0),MATCH(OP_CMAB!$D$21,Inputs!$I$133:$M$133,0))),0)),0),
ROUNDUP(
(INDEX(OP_TotalRates_RES_2[[Ausnet]:[United Energy]],MATCH("TOU - supply",OP_TotalRates_RES_2[[Rate name]:[Rate name]],0),MATCH(OP_CMAB!E$24,OP_TotalRates_RES_2[[#Headers],[Ausnet]:[United Energy]],0))*DiY)+
(INDEX(OP_TotalRates_RES_2[[Ausnet]:[United Energy]],MATCH("Peak",OP_TotalRates_RES_2[[Rate name]:[Rate name]],0),MATCH(OP_CMAB!E$24,OP_TotalRates_RES_2[[#Headers],[Ausnet]:[United Energy]],0))*
INDEX(Input_Usage[[F-CurrentVDO_Input]:[F-NextVDO_Input]],MATCH($D27&amp;" - Peak",Input_Usage[[Ref]:[Ref]],0),MATCH($D$21,Inputs!$I$133:$M$133,0)))+
IFERROR((INDEX(OP_TotalRates_RES_2[[Ausnet]:[United Energy]],MATCH("TOU - Shoulder",OP_TotalRates_RES_2[[Rate name]:[Rate name]],0),MATCH(OP_CMAB!E$24,OP_TotalRates_RES_2[[#Headers],[Ausnet]:[United Energy]],0))*
INDEX(Input_Usage[[F-CurrentVDO_Input]:[F-NextVDO_Input]],MATCH($D27&amp;" - Shoulder",Input_Usage[[Ref]:[Ref]],0),MATCH($D$21,Inputs!$I$133:$M$133,0))),0)+
(INDEX(OP_TotalRates_RES_2[[Ausnet]:[United Energy]],MATCH("Off peak",OP_TotalRates_RES_2[[Rate name]:[Rate name]],0),MATCH(OP_CMAB!E$24,OP_TotalRates_RES_2[[#Headers],[Ausnet]:[United Energy]],0))*
INDEX(Input_Usage[[F-CurrentVDO_Input]:[F-NextVDO_Input]],MATCH($D27&amp;" - Off peak",Input_Usage[[Ref]:[Ref]],0),MATCH($D$21,Inputs!$I$133:$M$133,0))),0)),"-")</f>
        <v>2388</v>
      </c>
      <c r="F27" s="122">
        <f>IFERROR(
IF($D$21="VDO 2021 - Final",
ROUNDUP(
(INDEX(OP_TotalRates_RES_2[[Ausnet]:[United Energy]],MATCH("Anytime - supply",OP_TotalRates_RES_2[[Rate name]:[Rate name]],0),MATCH(OP_CMAB!F$24,OP_TotalRates_RES_2[[#Headers],[Ausnet]:[United Energy]],0))*DiY)+
(IFERROR((INDEX(OP_TotalRates_RES_2[[Ausnet]:[United Energy]],MATCH("Block 1",OP_TotalRates_RES_2[[Rate name]:[Rate name]],0),MATCH(OP_CMAB!F$24,OP_TotalRates_RES_2[[#Headers],[Ausnet]:[United Energy]],0))*
INDEX(Input_Usage[[F-CurrentVDO_Input]:[F-NextVDO_Input]],MATCH(OP_CMAB!$D27&amp;" - Block 1",Input_Usage[[Ref]:[Ref]],0),MATCH(OP_CMAB!$D$21,Inputs!$I$133:$M$133,0))),0)+
IFERROR((INDEX(OP_TotalRates_RES_2[[Ausnet]:[United Energy]],MATCH("Balance",OP_TotalRates_RES_2[[Rate name]:[Rate name]],0),MATCH(OP_CMAB!F$24,OP_TotalRates_RES_2[[#Headers],[Ausnet]:[United Energy]],0))*
INDEX(Input_Usage[[F-CurrentVDO_Input]:[F-NextVDO_Input]],MATCH(OP_CMAB!$D27&amp;" - Balance",Input_Usage[[Ref]:[Ref]],0),MATCH(OP_CMAB!$D$21,Inputs!$I$133:$M$133,0))),0)+
IFERROR((INDEX(OP_TotalRates_RES_2[[Ausnet]:[United Energy]],MATCH("Single rate",OP_TotalRates_RES_2[[Rate name]:[Rate name]],0),MATCH(OP_CMAB!F$24,OP_TotalRates_RES_2[[#Headers],[Ausnet]:[United Energy]],0))*
INDEX(Input_Usage[[F-CurrentVDO_Input]:[F-NextVDO_Input]],MATCH(OP_CMAB!$D27&amp;" - Annual",Input_Usage[[Ref]:[Ref]],0),MATCH(OP_CMAB!$D$21,Inputs!$I$133:$M$133,0))),0)),0),
ROUNDUP(
(INDEX(OP_TotalRates_RES_2[[Ausnet]:[United Energy]],MATCH("TOU - supply",OP_TotalRates_RES_2[[Rate name]:[Rate name]],0),MATCH(OP_CMAB!F$24,OP_TotalRates_RES_2[[#Headers],[Ausnet]:[United Energy]],0))*DiY)+
(INDEX(OP_TotalRates_RES_2[[Ausnet]:[United Energy]],MATCH("Peak",OP_TotalRates_RES_2[[Rate name]:[Rate name]],0),MATCH(OP_CMAB!F$24,OP_TotalRates_RES_2[[#Headers],[Ausnet]:[United Energy]],0))*
INDEX(Input_Usage[[F-CurrentVDO_Input]:[F-NextVDO_Input]],MATCH($D27&amp;" - Peak",Input_Usage[[Ref]:[Ref]],0),MATCH($D$21,Inputs!$I$133:$M$133,0)))+
IFERROR((INDEX(OP_TotalRates_RES_2[[Ausnet]:[United Energy]],MATCH("TOU - Shoulder",OP_TotalRates_RES_2[[Rate name]:[Rate name]],0),MATCH(OP_CMAB!F$24,OP_TotalRates_RES_2[[#Headers],[Ausnet]:[United Energy]],0))*
INDEX(Input_Usage[[F-CurrentVDO_Input]:[F-NextVDO_Input]],MATCH($D27&amp;" - Shoulder",Input_Usage[[Ref]:[Ref]],0),MATCH($D$21,Inputs!$I$133:$M$133,0))),0)+
(INDEX(OP_TotalRates_RES_2[[Ausnet]:[United Energy]],MATCH("Off peak",OP_TotalRates_RES_2[[Rate name]:[Rate name]],0),MATCH(OP_CMAB!F$24,OP_TotalRates_RES_2[[#Headers],[Ausnet]:[United Energy]],0))*
INDEX(Input_Usage[[F-CurrentVDO_Input]:[F-NextVDO_Input]],MATCH($D27&amp;" - Off peak",Input_Usage[[Ref]:[Ref]],0),MATCH($D$21,Inputs!$I$133:$M$133,0))),0)),"-")</f>
        <v>2162</v>
      </c>
      <c r="G27" s="122">
        <f>IFERROR(
IF($D$21="VDO 2021 - Final",
ROUNDUP(
(INDEX(OP_TotalRates_RES_2[[Ausnet]:[United Energy]],MATCH("Anytime - supply",OP_TotalRates_RES_2[[Rate name]:[Rate name]],0),MATCH(OP_CMAB!G$24,OP_TotalRates_RES_2[[#Headers],[Ausnet]:[United Energy]],0))*DiY)+
(IFERROR((INDEX(OP_TotalRates_RES_2[[Ausnet]:[United Energy]],MATCH("Block 1",OP_TotalRates_RES_2[[Rate name]:[Rate name]],0),MATCH(OP_CMAB!G$24,OP_TotalRates_RES_2[[#Headers],[Ausnet]:[United Energy]],0))*
INDEX(Input_Usage[[F-CurrentVDO_Input]:[F-NextVDO_Input]],MATCH(OP_CMAB!$D27&amp;" - Block 1",Input_Usage[[Ref]:[Ref]],0),MATCH(OP_CMAB!$D$21,Inputs!$I$133:$M$133,0))),0)+
IFERROR((INDEX(OP_TotalRates_RES_2[[Ausnet]:[United Energy]],MATCH("Balance",OP_TotalRates_RES_2[[Rate name]:[Rate name]],0),MATCH(OP_CMAB!G$24,OP_TotalRates_RES_2[[#Headers],[Ausnet]:[United Energy]],0))*
INDEX(Input_Usage[[F-CurrentVDO_Input]:[F-NextVDO_Input]],MATCH(OP_CMAB!$D27&amp;" - Balance",Input_Usage[[Ref]:[Ref]],0),MATCH(OP_CMAB!$D$21,Inputs!$I$133:$M$133,0))),0)+
IFERROR((INDEX(OP_TotalRates_RES_2[[Ausnet]:[United Energy]],MATCH("Single rate",OP_TotalRates_RES_2[[Rate name]:[Rate name]],0),MATCH(OP_CMAB!G$24,OP_TotalRates_RES_2[[#Headers],[Ausnet]:[United Energy]],0))*
INDEX(Input_Usage[[F-CurrentVDO_Input]:[F-NextVDO_Input]],MATCH(OP_CMAB!$D27&amp;" - Annual",Input_Usage[[Ref]:[Ref]],0),MATCH(OP_CMAB!$D$21,Inputs!$I$133:$M$133,0))),0)),0),
ROUNDUP(
(INDEX(OP_TotalRates_RES_2[[Ausnet]:[United Energy]],MATCH("TOU - supply",OP_TotalRates_RES_2[[Rate name]:[Rate name]],0),MATCH(OP_CMAB!G$24,OP_TotalRates_RES_2[[#Headers],[Ausnet]:[United Energy]],0))*DiY)+
(INDEX(OP_TotalRates_RES_2[[Ausnet]:[United Energy]],MATCH("Peak",OP_TotalRates_RES_2[[Rate name]:[Rate name]],0),MATCH(OP_CMAB!G$24,OP_TotalRates_RES_2[[#Headers],[Ausnet]:[United Energy]],0))*
INDEX(Input_Usage[[F-CurrentVDO_Input]:[F-NextVDO_Input]],MATCH($D27&amp;" - Peak",Input_Usage[[Ref]:[Ref]],0),MATCH($D$21,Inputs!$I$133:$M$133,0)))+
IFERROR((INDEX(OP_TotalRates_RES_2[[Ausnet]:[United Energy]],MATCH("TOU - Shoulder",OP_TotalRates_RES_2[[Rate name]:[Rate name]],0),MATCH(OP_CMAB!G$24,OP_TotalRates_RES_2[[#Headers],[Ausnet]:[United Energy]],0))*
INDEX(Input_Usage[[F-CurrentVDO_Input]:[F-NextVDO_Input]],MATCH($D27&amp;" - Shoulder",Input_Usage[[Ref]:[Ref]],0),MATCH($D$21,Inputs!$I$133:$M$133,0))),0)+
(INDEX(OP_TotalRates_RES_2[[Ausnet]:[United Energy]],MATCH("Off peak",OP_TotalRates_RES_2[[Rate name]:[Rate name]],0),MATCH(OP_CMAB!G$24,OP_TotalRates_RES_2[[#Headers],[Ausnet]:[United Energy]],0))*
INDEX(Input_Usage[[F-CurrentVDO_Input]:[F-NextVDO_Input]],MATCH($D27&amp;" - Off peak",Input_Usage[[Ref]:[Ref]],0),MATCH($D$21,Inputs!$I$133:$M$133,0))),0)),"-")</f>
        <v>2080</v>
      </c>
      <c r="H27" s="122">
        <f>IFERROR(
IF($D$21="VDO 2021 - Final",
ROUNDUP(
(INDEX(OP_TotalRates_RES_2[[Ausnet]:[United Energy]],MATCH("Anytime - supply",OP_TotalRates_RES_2[[Rate name]:[Rate name]],0),MATCH(OP_CMAB!H$24,OP_TotalRates_RES_2[[#Headers],[Ausnet]:[United Energy]],0))*DiY)+
(IFERROR((INDEX(OP_TotalRates_RES_2[[Ausnet]:[United Energy]],MATCH("Block 1",OP_TotalRates_RES_2[[Rate name]:[Rate name]],0),MATCH(OP_CMAB!H$24,OP_TotalRates_RES_2[[#Headers],[Ausnet]:[United Energy]],0))*
INDEX(Input_Usage[[F-CurrentVDO_Input]:[F-NextVDO_Input]],MATCH(OP_CMAB!$D27&amp;" - Block 1",Input_Usage[[Ref]:[Ref]],0),MATCH(OP_CMAB!$D$21,Inputs!$I$133:$M$133,0))),0)+
IFERROR((INDEX(OP_TotalRates_RES_2[[Ausnet]:[United Energy]],MATCH("Balance",OP_TotalRates_RES_2[[Rate name]:[Rate name]],0),MATCH(OP_CMAB!H$24,OP_TotalRates_RES_2[[#Headers],[Ausnet]:[United Energy]],0))*
INDEX(Input_Usage[[F-CurrentVDO_Input]:[F-NextVDO_Input]],MATCH(OP_CMAB!$D27&amp;" - Balance",Input_Usage[[Ref]:[Ref]],0),MATCH(OP_CMAB!$D$21,Inputs!$I$133:$M$133,0))),0)+
IFERROR((INDEX(OP_TotalRates_RES_2[[Ausnet]:[United Energy]],MATCH("Single rate",OP_TotalRates_RES_2[[Rate name]:[Rate name]],0),MATCH(OP_CMAB!H$24,OP_TotalRates_RES_2[[#Headers],[Ausnet]:[United Energy]],0))*
INDEX(Input_Usage[[F-CurrentVDO_Input]:[F-NextVDO_Input]],MATCH(OP_CMAB!$D27&amp;" - Annual",Input_Usage[[Ref]:[Ref]],0),MATCH(OP_CMAB!$D$21,Inputs!$I$133:$M$133,0))),0)),0),
ROUNDUP(
(INDEX(OP_TotalRates_RES_2[[Ausnet]:[United Energy]],MATCH("TOU - supply",OP_TotalRates_RES_2[[Rate name]:[Rate name]],0),MATCH(OP_CMAB!H$24,OP_TotalRates_RES_2[[#Headers],[Ausnet]:[United Energy]],0))*DiY)+
(INDEX(OP_TotalRates_RES_2[[Ausnet]:[United Energy]],MATCH("Peak",OP_TotalRates_RES_2[[Rate name]:[Rate name]],0),MATCH(OP_CMAB!H$24,OP_TotalRates_RES_2[[#Headers],[Ausnet]:[United Energy]],0))*
INDEX(Input_Usage[[F-CurrentVDO_Input]:[F-NextVDO_Input]],MATCH($D27&amp;" - Peak",Input_Usage[[Ref]:[Ref]],0),MATCH($D$21,Inputs!$I$133:$M$133,0)))+
IFERROR((INDEX(OP_TotalRates_RES_2[[Ausnet]:[United Energy]],MATCH("TOU - Shoulder",OP_TotalRates_RES_2[[Rate name]:[Rate name]],0),MATCH(OP_CMAB!H$24,OP_TotalRates_RES_2[[#Headers],[Ausnet]:[United Energy]],0))*
INDEX(Input_Usage[[F-CurrentVDO_Input]:[F-NextVDO_Input]],MATCH($D27&amp;" - Shoulder",Input_Usage[[Ref]:[Ref]],0),MATCH($D$21,Inputs!$I$133:$M$133,0))),0)+
(INDEX(OP_TotalRates_RES_2[[Ausnet]:[United Energy]],MATCH("Off peak",OP_TotalRates_RES_2[[Rate name]:[Rate name]],0),MATCH(OP_CMAB!H$24,OP_TotalRates_RES_2[[#Headers],[Ausnet]:[United Energy]],0))*
INDEX(Input_Usage[[F-CurrentVDO_Input]:[F-NextVDO_Input]],MATCH($D27&amp;" - Off peak",Input_Usage[[Ref]:[Ref]],0),MATCH($D$21,Inputs!$I$133:$M$133,0))),0)),"-")</f>
        <v>2249</v>
      </c>
      <c r="I27" s="122">
        <f>IFERROR(
IF($D$21="VDO 2021 - Final",
ROUNDUP(
(INDEX(OP_TotalRates_RES_2[[Ausnet]:[United Energy]],MATCH("Anytime - supply",OP_TotalRates_RES_2[[Rate name]:[Rate name]],0),MATCH(OP_CMAB!I$24,OP_TotalRates_RES_2[[#Headers],[Ausnet]:[United Energy]],0))*DiY)+
(IFERROR((INDEX(OP_TotalRates_RES_2[[Ausnet]:[United Energy]],MATCH("Block 1",OP_TotalRates_RES_2[[Rate name]:[Rate name]],0),MATCH(OP_CMAB!I$24,OP_TotalRates_RES_2[[#Headers],[Ausnet]:[United Energy]],0))*
INDEX(Input_Usage[[F-CurrentVDO_Input]:[F-NextVDO_Input]],MATCH(OP_CMAB!$D27&amp;" - Block 1",Input_Usage[[Ref]:[Ref]],0),MATCH(OP_CMAB!$D$21,Inputs!$I$133:$M$133,0))),0)+
IFERROR((INDEX(OP_TotalRates_RES_2[[Ausnet]:[United Energy]],MATCH("Balance",OP_TotalRates_RES_2[[Rate name]:[Rate name]],0),MATCH(OP_CMAB!I$24,OP_TotalRates_RES_2[[#Headers],[Ausnet]:[United Energy]],0))*
INDEX(Input_Usage[[F-CurrentVDO_Input]:[F-NextVDO_Input]],MATCH(OP_CMAB!$D27&amp;" - Balance",Input_Usage[[Ref]:[Ref]],0),MATCH(OP_CMAB!$D$21,Inputs!$I$133:$M$133,0))),0)+
IFERROR((INDEX(OP_TotalRates_RES_2[[Ausnet]:[United Energy]],MATCH("Single rate",OP_TotalRates_RES_2[[Rate name]:[Rate name]],0),MATCH(OP_CMAB!I$24,OP_TotalRates_RES_2[[#Headers],[Ausnet]:[United Energy]],0))*
INDEX(Input_Usage[[F-CurrentVDO_Input]:[F-NextVDO_Input]],MATCH(OP_CMAB!$D27&amp;" - Annual",Input_Usage[[Ref]:[Ref]],0),MATCH(OP_CMAB!$D$21,Inputs!$I$133:$M$133,0))),0)),0),
ROUNDUP(
(INDEX(OP_TotalRates_RES_2[[Ausnet]:[United Energy]],MATCH("TOU - supply",OP_TotalRates_RES_2[[Rate name]:[Rate name]],0),MATCH(OP_CMAB!I$24,OP_TotalRates_RES_2[[#Headers],[Ausnet]:[United Energy]],0))*DiY)+
(INDEX(OP_TotalRates_RES_2[[Ausnet]:[United Energy]],MATCH("Peak",OP_TotalRates_RES_2[[Rate name]:[Rate name]],0),MATCH(OP_CMAB!I$24,OP_TotalRates_RES_2[[#Headers],[Ausnet]:[United Energy]],0))*
INDEX(Input_Usage[[F-CurrentVDO_Input]:[F-NextVDO_Input]],MATCH($D27&amp;" - Peak",Input_Usage[[Ref]:[Ref]],0),MATCH($D$21,Inputs!$I$133:$M$133,0)))+
IFERROR((INDEX(OP_TotalRates_RES_2[[Ausnet]:[United Energy]],MATCH("TOU - Shoulder",OP_TotalRates_RES_2[[Rate name]:[Rate name]],0),MATCH(OP_CMAB!I$24,OP_TotalRates_RES_2[[#Headers],[Ausnet]:[United Energy]],0))*
INDEX(Input_Usage[[F-CurrentVDO_Input]:[F-NextVDO_Input]],MATCH($D27&amp;" - Shoulder",Input_Usage[[Ref]:[Ref]],0),MATCH($D$21,Inputs!$I$133:$M$133,0))),0)+
(INDEX(OP_TotalRates_RES_2[[Ausnet]:[United Energy]],MATCH("Off peak",OP_TotalRates_RES_2[[Rate name]:[Rate name]],0),MATCH(OP_CMAB!I$24,OP_TotalRates_RES_2[[#Headers],[Ausnet]:[United Energy]],0))*
INDEX(Input_Usage[[F-CurrentVDO_Input]:[F-NextVDO_Input]],MATCH($D27&amp;" - Off peak",Input_Usage[[Ref]:[Ref]],0),MATCH($D$21,Inputs!$I$133:$M$133,0))),0)),"-")</f>
        <v>2167</v>
      </c>
      <c r="K27" s="45" t="s">
        <v>101</v>
      </c>
      <c r="L27" s="45" t="s">
        <v>236</v>
      </c>
      <c r="M27" s="122">
        <f>IFERROR(
IF($D$21="VDO 2021 - Final",
ROUNDUP(
(INDEX(OP_TotalRates_SME_2[[Ausnet]:[United Energy]],MATCH("Anytime - supply",OP_TotalRates_SME_2[[Rate name]:[Rate name]],0),MATCH(OP_CMAB!M$24,OP_TotalRates_SME_2[[#Headers],[Ausnet]:[United Energy]],0))*DiY)+
(IFERROR((INDEX(OP_TotalRates_SME_2[[Ausnet]:[United Energy]],MATCH("Block 1",OP_TotalRates_SME_2[[Rate name]:[Rate name]],0),MATCH(OP_CMAB!M$24,OP_TotalRates_SME_2[[#Headers],[Ausnet]:[United Energy]],0))*
INDEX(Input_Usage[[F-CurrentVDO_Input]:[F-NextVDO_Input]],MATCH(OP_CMAB!$L27&amp;" - Block 1",Input_Usage[[Ref]:[Ref]],0),MATCH(OP_CMAB!$D$21,Inputs!$I$133:$M$133,0))),0)+
IFERROR((INDEX(OP_TotalRates_SME_2[[Ausnet]:[United Energy]],MATCH("Balance",OP_TotalRates_SME_2[[Rate name]:[Rate name]],0),MATCH(OP_CMAB!M$24,OP_TotalRates_SME_2[[#Headers],[Ausnet]:[United Energy]],0))*
INDEX(Input_Usage[[F-CurrentVDO_Input]:[F-NextVDO_Input]],MATCH(OP_CMAB!$L27&amp;" - Balance",Input_Usage[[Ref]:[Ref]],0),MATCH(OP_CMAB!$D$21,Inputs!$I$133:$M$133,0))),0)+
IFERROR((INDEX(OP_TotalRates_SME_2[[Ausnet]:[United Energy]],MATCH("Single rate",OP_TotalRates_SME_2[[Rate name]:[Rate name]],0),MATCH(OP_CMAB!M$24,OP_TotalRates_SME_2[[#Headers],[Ausnet]:[United Energy]],0))*
INDEX(Input_Usage[[F-CurrentVDO_Input]:[F-NextVDO_Input]],MATCH(OP_CMAB!$L27&amp;" - Annual",Input_Usage[[Ref]:[Ref]],0),MATCH(OP_CMAB!$D$21,Inputs!$I$133:$M$133,0))),0)),0),
ROUNDUP(
(INDEX(OP_TotalRates_SME_2[[Ausnet]:[United Energy]],MATCH("TOU - supply",OP_TotalRates_SME_2[[Rate name]:[Rate name]],0),MATCH(OP_CMAB!M$24,OP_TotalRates_SME_2[[#Headers],[Ausnet]:[United Energy]],0))*DiY)+
(INDEX(OP_TotalRates_SME_2[[Ausnet]:[United Energy]],MATCH("Peak",OP_TotalRates_SME_2[[Rate name]:[Rate name]],0),MATCH(OP_CMAB!M$24,OP_TotalRates_SME_2[[#Headers],[Ausnet]:[United Energy]],0))*
INDEX(Input_Usage[[F-CurrentVDO_Input]:[F-NextVDO_Input]],MATCH($L27&amp;" - Peak",Input_Usage[[Ref]:[Ref]],0),MATCH($D$21,Inputs!$I$133:$M$133,0)))+
IFERROR((INDEX(OP_TotalRates_SME_2[[Ausnet]:[United Energy]],MATCH("TOU - Shoulder",OP_TotalRates_SME_2[[Rate name]:[Rate name]],0),MATCH(OP_CMAB!M$24,OP_TotalRates_SME_2[[#Headers],[Ausnet]:[United Energy]],0))*
INDEX(Input_Usage[[F-CurrentVDO_Input]:[F-NextVDO_Input]],MATCH($L27&amp;" - Shoulder",Input_Usage[[Ref]:[Ref]],0),MATCH($D$21,Inputs!$I$133:$M$133,0))),0)+
(INDEX(OP_TotalRates_SME_2[[Ausnet]:[United Energy]],MATCH("Off peak",OP_TotalRates_SME_2[[Rate name]:[Rate name]],0),MATCH(OP_CMAB!M$24,OP_TotalRates_SME_2[[#Headers],[Ausnet]:[United Energy]],0))*
INDEX(Input_Usage[[F-CurrentVDO_Input]:[F-NextVDO_Input]],MATCH($L27&amp;" - Off peak",Input_Usage[[Ref]:[Ref]],0),MATCH($D$21,Inputs!$I$133:$M$133,0))),0)),"-")</f>
        <v>10148</v>
      </c>
      <c r="N27" s="122">
        <f>IFERROR(
IF($D$21="VDO 2021 - Final",
ROUNDUP(
(INDEX(OP_TotalRates_SME_2[[Ausnet]:[United Energy]],MATCH("Anytime - supply",OP_TotalRates_SME_2[[Rate name]:[Rate name]],0),MATCH(OP_CMAB!N$24,OP_TotalRates_SME_2[[#Headers],[Ausnet]:[United Energy]],0))*DiY)+
(IFERROR((INDEX(OP_TotalRates_SME_2[[Ausnet]:[United Energy]],MATCH("Block 1",OP_TotalRates_SME_2[[Rate name]:[Rate name]],0),MATCH(OP_CMAB!N$24,OP_TotalRates_SME_2[[#Headers],[Ausnet]:[United Energy]],0))*
INDEX(Input_Usage[[F-CurrentVDO_Input]:[F-NextVDO_Input]],MATCH(OP_CMAB!$L27&amp;" - Block 1",Input_Usage[[Ref]:[Ref]],0),MATCH(OP_CMAB!$D$21,Inputs!$I$133:$M$133,0))),0)+
IFERROR((INDEX(OP_TotalRates_SME_2[[Ausnet]:[United Energy]],MATCH("Balance",OP_TotalRates_SME_2[[Rate name]:[Rate name]],0),MATCH(OP_CMAB!N$24,OP_TotalRates_SME_2[[#Headers],[Ausnet]:[United Energy]],0))*
INDEX(Input_Usage[[F-CurrentVDO_Input]:[F-NextVDO_Input]],MATCH(OP_CMAB!$L27&amp;" - Balance",Input_Usage[[Ref]:[Ref]],0),MATCH(OP_CMAB!$D$21,Inputs!$I$133:$M$133,0))),0)+
IFERROR((INDEX(OP_TotalRates_SME_2[[Ausnet]:[United Energy]],MATCH("Single rate",OP_TotalRates_SME_2[[Rate name]:[Rate name]],0),MATCH(OP_CMAB!N$24,OP_TotalRates_SME_2[[#Headers],[Ausnet]:[United Energy]],0))*
INDEX(Input_Usage[[F-CurrentVDO_Input]:[F-NextVDO_Input]],MATCH(OP_CMAB!$L27&amp;" - Annual",Input_Usage[[Ref]:[Ref]],0),MATCH(OP_CMAB!$D$21,Inputs!$I$133:$M$133,0))),0)),0),
ROUNDUP(
(INDEX(OP_TotalRates_SME_2[[Ausnet]:[United Energy]],MATCH("TOU - supply",OP_TotalRates_SME_2[[Rate name]:[Rate name]],0),MATCH(OP_CMAB!N$24,OP_TotalRates_SME_2[[#Headers],[Ausnet]:[United Energy]],0))*DiY)+
(INDEX(OP_TotalRates_SME_2[[Ausnet]:[United Energy]],MATCH("Peak",OP_TotalRates_SME_2[[Rate name]:[Rate name]],0),MATCH(OP_CMAB!N$24,OP_TotalRates_SME_2[[#Headers],[Ausnet]:[United Energy]],0))*
INDEX(Input_Usage[[F-CurrentVDO_Input]:[F-NextVDO_Input]],MATCH($L27&amp;" - Peak",Input_Usage[[Ref]:[Ref]],0),MATCH($D$21,Inputs!$I$133:$M$133,0)))+
IFERROR((INDEX(OP_TotalRates_SME_2[[Ausnet]:[United Energy]],MATCH("TOU - Shoulder",OP_TotalRates_SME_2[[Rate name]:[Rate name]],0),MATCH(OP_CMAB!N$24,OP_TotalRates_SME_2[[#Headers],[Ausnet]:[United Energy]],0))*
INDEX(Input_Usage[[F-CurrentVDO_Input]:[F-NextVDO_Input]],MATCH($L27&amp;" - Shoulder",Input_Usage[[Ref]:[Ref]],0),MATCH($D$21,Inputs!$I$133:$M$133,0))),0)+
(INDEX(OP_TotalRates_SME_2[[Ausnet]:[United Energy]],MATCH("Off peak",OP_TotalRates_SME_2[[Rate name]:[Rate name]],0),MATCH(OP_CMAB!N$24,OP_TotalRates_SME_2[[#Headers],[Ausnet]:[United Energy]],0))*
INDEX(Input_Usage[[F-CurrentVDO_Input]:[F-NextVDO_Input]],MATCH($L27&amp;" - Off peak",Input_Usage[[Ref]:[Ref]],0),MATCH($D$21,Inputs!$I$133:$M$133,0))),0)),"-")</f>
        <v>8892</v>
      </c>
      <c r="O27" s="122">
        <f>IFERROR(
IF($D$21="VDO 2021 - Final",
ROUNDUP(
(INDEX(OP_TotalRates_SME_2[[Ausnet]:[United Energy]],MATCH("Anytime - supply",OP_TotalRates_SME_2[[Rate name]:[Rate name]],0),MATCH(OP_CMAB!O$24,OP_TotalRates_SME_2[[#Headers],[Ausnet]:[United Energy]],0))*DiY)+
(IFERROR((INDEX(OP_TotalRates_SME_2[[Ausnet]:[United Energy]],MATCH("Block 1",OP_TotalRates_SME_2[[Rate name]:[Rate name]],0),MATCH(OP_CMAB!O$24,OP_TotalRates_SME_2[[#Headers],[Ausnet]:[United Energy]],0))*
INDEX(Input_Usage[[F-CurrentVDO_Input]:[F-NextVDO_Input]],MATCH(OP_CMAB!$L27&amp;" - Block 1",Input_Usage[[Ref]:[Ref]],0),MATCH(OP_CMAB!$D$21,Inputs!$I$133:$M$133,0))),0)+
IFERROR((INDEX(OP_TotalRates_SME_2[[Ausnet]:[United Energy]],MATCH("Balance",OP_TotalRates_SME_2[[Rate name]:[Rate name]],0),MATCH(OP_CMAB!O$24,OP_TotalRates_SME_2[[#Headers],[Ausnet]:[United Energy]],0))*
INDEX(Input_Usage[[F-CurrentVDO_Input]:[F-NextVDO_Input]],MATCH(OP_CMAB!$L27&amp;" - Balance",Input_Usage[[Ref]:[Ref]],0),MATCH(OP_CMAB!$D$21,Inputs!$I$133:$M$133,0))),0)+
IFERROR((INDEX(OP_TotalRates_SME_2[[Ausnet]:[United Energy]],MATCH("Single rate",OP_TotalRates_SME_2[[Rate name]:[Rate name]],0),MATCH(OP_CMAB!O$24,OP_TotalRates_SME_2[[#Headers],[Ausnet]:[United Energy]],0))*
INDEX(Input_Usage[[F-CurrentVDO_Input]:[F-NextVDO_Input]],MATCH(OP_CMAB!$L27&amp;" - Annual",Input_Usage[[Ref]:[Ref]],0),MATCH(OP_CMAB!$D$21,Inputs!$I$133:$M$133,0))),0)),0),
ROUNDUP(
(INDEX(OP_TotalRates_SME_2[[Ausnet]:[United Energy]],MATCH("TOU - supply",OP_TotalRates_SME_2[[Rate name]:[Rate name]],0),MATCH(OP_CMAB!O$24,OP_TotalRates_SME_2[[#Headers],[Ausnet]:[United Energy]],0))*DiY)+
(INDEX(OP_TotalRates_SME_2[[Ausnet]:[United Energy]],MATCH("Peak",OP_TotalRates_SME_2[[Rate name]:[Rate name]],0),MATCH(OP_CMAB!O$24,OP_TotalRates_SME_2[[#Headers],[Ausnet]:[United Energy]],0))*
INDEX(Input_Usage[[F-CurrentVDO_Input]:[F-NextVDO_Input]],MATCH($L27&amp;" - Peak",Input_Usage[[Ref]:[Ref]],0),MATCH($D$21,Inputs!$I$133:$M$133,0)))+
IFERROR((INDEX(OP_TotalRates_SME_2[[Ausnet]:[United Energy]],MATCH("TOU - Shoulder",OP_TotalRates_SME_2[[Rate name]:[Rate name]],0),MATCH(OP_CMAB!O$24,OP_TotalRates_SME_2[[#Headers],[Ausnet]:[United Energy]],0))*
INDEX(Input_Usage[[F-CurrentVDO_Input]:[F-NextVDO_Input]],MATCH($L27&amp;" - Shoulder",Input_Usage[[Ref]:[Ref]],0),MATCH($D$21,Inputs!$I$133:$M$133,0))),0)+
(INDEX(OP_TotalRates_SME_2[[Ausnet]:[United Energy]],MATCH("Off peak",OP_TotalRates_SME_2[[Rate name]:[Rate name]],0),MATCH(OP_CMAB!O$24,OP_TotalRates_SME_2[[#Headers],[Ausnet]:[United Energy]],0))*
INDEX(Input_Usage[[F-CurrentVDO_Input]:[F-NextVDO_Input]],MATCH($L27&amp;" - Off peak",Input_Usage[[Ref]:[Ref]],0),MATCH($D$21,Inputs!$I$133:$M$133,0))),0)),"-")</f>
        <v>9310</v>
      </c>
      <c r="P27" s="122">
        <f>IFERROR(
IF($D$21="VDO 2021 - Final",
ROUNDUP(
(INDEX(OP_TotalRates_SME_2[[Ausnet]:[United Energy]],MATCH("Anytime - supply",OP_TotalRates_SME_2[[Rate name]:[Rate name]],0),MATCH(OP_CMAB!P$24,OP_TotalRates_SME_2[[#Headers],[Ausnet]:[United Energy]],0))*DiY)+
(IFERROR((INDEX(OP_TotalRates_SME_2[[Ausnet]:[United Energy]],MATCH("Block 1",OP_TotalRates_SME_2[[Rate name]:[Rate name]],0),MATCH(OP_CMAB!P$24,OP_TotalRates_SME_2[[#Headers],[Ausnet]:[United Energy]],0))*
INDEX(Input_Usage[[F-CurrentVDO_Input]:[F-NextVDO_Input]],MATCH(OP_CMAB!$L27&amp;" - Block 1",Input_Usage[[Ref]:[Ref]],0),MATCH(OP_CMAB!$D$21,Inputs!$I$133:$M$133,0))),0)+
IFERROR((INDEX(OP_TotalRates_SME_2[[Ausnet]:[United Energy]],MATCH("Balance",OP_TotalRates_SME_2[[Rate name]:[Rate name]],0),MATCH(OP_CMAB!P$24,OP_TotalRates_SME_2[[#Headers],[Ausnet]:[United Energy]],0))*
INDEX(Input_Usage[[F-CurrentVDO_Input]:[F-NextVDO_Input]],MATCH(OP_CMAB!$L27&amp;" - Balance",Input_Usage[[Ref]:[Ref]],0),MATCH(OP_CMAB!$D$21,Inputs!$I$133:$M$133,0))),0)+
IFERROR((INDEX(OP_TotalRates_SME_2[[Ausnet]:[United Energy]],MATCH("Single rate",OP_TotalRates_SME_2[[Rate name]:[Rate name]],0),MATCH(OP_CMAB!P$24,OP_TotalRates_SME_2[[#Headers],[Ausnet]:[United Energy]],0))*
INDEX(Input_Usage[[F-CurrentVDO_Input]:[F-NextVDO_Input]],MATCH(OP_CMAB!$L27&amp;" - Annual",Input_Usage[[Ref]:[Ref]],0),MATCH(OP_CMAB!$D$21,Inputs!$I$133:$M$133,0))),0)),0),
ROUNDUP(
(INDEX(OP_TotalRates_SME_2[[Ausnet]:[United Energy]],MATCH("TOU - supply",OP_TotalRates_SME_2[[Rate name]:[Rate name]],0),MATCH(OP_CMAB!P$24,OP_TotalRates_SME_2[[#Headers],[Ausnet]:[United Energy]],0))*DiY)+
(INDEX(OP_TotalRates_SME_2[[Ausnet]:[United Energy]],MATCH("Peak",OP_TotalRates_SME_2[[Rate name]:[Rate name]],0),MATCH(OP_CMAB!P$24,OP_TotalRates_SME_2[[#Headers],[Ausnet]:[United Energy]],0))*
INDEX(Input_Usage[[F-CurrentVDO_Input]:[F-NextVDO_Input]],MATCH($L27&amp;" - Peak",Input_Usage[[Ref]:[Ref]],0),MATCH($D$21,Inputs!$I$133:$M$133,0)))+
IFERROR((INDEX(OP_TotalRates_SME_2[[Ausnet]:[United Energy]],MATCH("TOU - Shoulder",OP_TotalRates_SME_2[[Rate name]:[Rate name]],0),MATCH(OP_CMAB!P$24,OP_TotalRates_SME_2[[#Headers],[Ausnet]:[United Energy]],0))*
INDEX(Input_Usage[[F-CurrentVDO_Input]:[F-NextVDO_Input]],MATCH($L27&amp;" - Shoulder",Input_Usage[[Ref]:[Ref]],0),MATCH($D$21,Inputs!$I$133:$M$133,0))),0)+
(INDEX(OP_TotalRates_SME_2[[Ausnet]:[United Energy]],MATCH("Off peak",OP_TotalRates_SME_2[[Rate name]:[Rate name]],0),MATCH(OP_CMAB!P$24,OP_TotalRates_SME_2[[#Headers],[Ausnet]:[United Energy]],0))*
INDEX(Input_Usage[[F-CurrentVDO_Input]:[F-NextVDO_Input]],MATCH($L27&amp;" - Off peak",Input_Usage[[Ref]:[Ref]],0),MATCH($D$21,Inputs!$I$133:$M$133,0))),0)),"-")</f>
        <v>9368</v>
      </c>
      <c r="Q27" s="122">
        <f>IFERROR(
IF($D$21="VDO 2021 - Final",
ROUNDUP(
(INDEX(OP_TotalRates_SME_2[[Ausnet]:[United Energy]],MATCH("Anytime - supply",OP_TotalRates_SME_2[[Rate name]:[Rate name]],0),MATCH(OP_CMAB!Q$24,OP_TotalRates_SME_2[[#Headers],[Ausnet]:[United Energy]],0))*DiY)+
(IFERROR((INDEX(OP_TotalRates_SME_2[[Ausnet]:[United Energy]],MATCH("Block 1",OP_TotalRates_SME_2[[Rate name]:[Rate name]],0),MATCH(OP_CMAB!Q$24,OP_TotalRates_SME_2[[#Headers],[Ausnet]:[United Energy]],0))*
INDEX(Input_Usage[[F-CurrentVDO_Input]:[F-NextVDO_Input]],MATCH(OP_CMAB!$L27&amp;" - Block 1",Input_Usage[[Ref]:[Ref]],0),MATCH(OP_CMAB!$D$21,Inputs!$I$133:$M$133,0))),0)+
IFERROR((INDEX(OP_TotalRates_SME_2[[Ausnet]:[United Energy]],MATCH("Balance",OP_TotalRates_SME_2[[Rate name]:[Rate name]],0),MATCH(OP_CMAB!Q$24,OP_TotalRates_SME_2[[#Headers],[Ausnet]:[United Energy]],0))*
INDEX(Input_Usage[[F-CurrentVDO_Input]:[F-NextVDO_Input]],MATCH(OP_CMAB!$L27&amp;" - Balance",Input_Usage[[Ref]:[Ref]],0),MATCH(OP_CMAB!$D$21,Inputs!$I$133:$M$133,0))),0)+
IFERROR((INDEX(OP_TotalRates_SME_2[[Ausnet]:[United Energy]],MATCH("Single rate",OP_TotalRates_SME_2[[Rate name]:[Rate name]],0),MATCH(OP_CMAB!Q$24,OP_TotalRates_SME_2[[#Headers],[Ausnet]:[United Energy]],0))*
INDEX(Input_Usage[[F-CurrentVDO_Input]:[F-NextVDO_Input]],MATCH(OP_CMAB!$L27&amp;" - Annual",Input_Usage[[Ref]:[Ref]],0),MATCH(OP_CMAB!$D$21,Inputs!$I$133:$M$133,0))),0)),0),
ROUNDUP(
(INDEX(OP_TotalRates_SME_2[[Ausnet]:[United Energy]],MATCH("TOU - supply",OP_TotalRates_SME_2[[Rate name]:[Rate name]],0),MATCH(OP_CMAB!Q$24,OP_TotalRates_SME_2[[#Headers],[Ausnet]:[United Energy]],0))*DiY)+
(INDEX(OP_TotalRates_SME_2[[Ausnet]:[United Energy]],MATCH("Peak",OP_TotalRates_SME_2[[Rate name]:[Rate name]],0),MATCH(OP_CMAB!Q$24,OP_TotalRates_SME_2[[#Headers],[Ausnet]:[United Energy]],0))*
INDEX(Input_Usage[[F-CurrentVDO_Input]:[F-NextVDO_Input]],MATCH($L27&amp;" - Peak",Input_Usage[[Ref]:[Ref]],0),MATCH($D$21,Inputs!$I$133:$M$133,0)))+
IFERROR((INDEX(OP_TotalRates_SME_2[[Ausnet]:[United Energy]],MATCH("TOU - Shoulder",OP_TotalRates_SME_2[[Rate name]:[Rate name]],0),MATCH(OP_CMAB!Q$24,OP_TotalRates_SME_2[[#Headers],[Ausnet]:[United Energy]],0))*
INDEX(Input_Usage[[F-CurrentVDO_Input]:[F-NextVDO_Input]],MATCH($L27&amp;" - Shoulder",Input_Usage[[Ref]:[Ref]],0),MATCH($D$21,Inputs!$I$133:$M$133,0))),0)+
(INDEX(OP_TotalRates_SME_2[[Ausnet]:[United Energy]],MATCH("Off peak",OP_TotalRates_SME_2[[Rate name]:[Rate name]],0),MATCH(OP_CMAB!Q$24,OP_TotalRates_SME_2[[#Headers],[Ausnet]:[United Energy]],0))*
INDEX(Input_Usage[[F-CurrentVDO_Input]:[F-NextVDO_Input]],MATCH($L27&amp;" - Off peak",Input_Usage[[Ref]:[Ref]],0),MATCH($D$21,Inputs!$I$133:$M$133,0))),0)),"-")</f>
        <v>9149</v>
      </c>
    </row>
    <row r="29" spans="1:18" ht="15.75" hidden="1" x14ac:dyDescent="0.25">
      <c r="E29" s="94">
        <f>IF($D$21="VDO 2021 - Final",
IF(E25=
ROUNDUP(
(INDEX(OP_TotalRates_RES_2[[Ausnet]:[United Energy]],MATCH("Anytime - supply",OP_TotalRates_RES_2[[Rate name]:[Rate name]],0),MATCH(OP_CMAB!E$24,OP_TotalRates_RES_2[[#Headers],[Ausnet]:[United Energy]],0))*DiY)+
(IFERROR((INDEX(OP_TotalRates_RES_2[[Ausnet]:[United Energy]],MATCH("Block 1",OP_TotalRates_RES_2[[Rate name]:[Rate name]],0),MATCH(OP_CMAB!E$24,OP_TotalRates_RES_2[[#Headers],[Ausnet]:[United Energy]],0))*
INDEX(Input_Usage[[F-CurrentVDO_Input]:[F-NextVDO_Input]],MATCH(OP_CMAB!$D25&amp;" - Block 1",Input_Usage[[Ref]:[Ref]],0),MATCH(OP_CMAB!$D$21,Inputs!$I$133:$M$133,0))),0)+
IFERROR((INDEX(OP_TotalRates_RES_2[[Ausnet]:[United Energy]],MATCH("Balance",OP_TotalRates_RES_2[[Rate name]:[Rate name]],0),MATCH(OP_CMAB!E$24,OP_TotalRates_RES_2[[#Headers],[Ausnet]:[United Energy]],0))*
INDEX(Input_Usage[[F-CurrentVDO_Input]:[F-NextVDO_Input]],MATCH(OP_CMAB!$D25&amp;" - Balance",Input_Usage[[Ref]:[Ref]],0),MATCH(OP_CMAB!$D$21,Inputs!$I$133:$M$133,0))),0)+
IFERROR((INDEX(OP_TotalRates_RES_2[[Ausnet]:[United Energy]],MATCH("Single rate",OP_TotalRates_RES_2[[Rate name]:[Rate name]],0),MATCH(OP_CMAB!E$24,OP_TotalRates_RES_2[[#Headers],[Ausnet]:[United Energy]],0))*
INDEX(Input_Usage[[F-CurrentVDO_Input]:[F-NextVDO_Input]],MATCH(OP_CMAB!$D25&amp;" - Annual",Input_Usage[[Ref]:[Ref]],0),MATCH(OP_CMAB!$D$21,Inputs!$I$133:$M$133,0))),0)),0),0,1),
IF(E25=
ROUNDUP(
(INDEX(OP_TotalRates_RES_2[[Ausnet]:[United Energy]],MATCH("TOU - supply",OP_TotalRates_RES_2[[Rate name]:[Rate name]],0),MATCH(OP_CMAB!E$24,OP_TotalRates_RES_2[[#Headers],[Ausnet]:[United Energy]],0))*DiY)+
(INDEX(OP_TotalRates_RES_2[[Ausnet]:[United Energy]],MATCH("Peak",OP_TotalRates_RES_2[[Rate name]:[Rate name]],0),MATCH(OP_CMAB!E$24,OP_TotalRates_RES_2[[#Headers],[Ausnet]:[United Energy]],0))*
INDEX(Input_Usage[[F-CurrentVDO_Input]:[F-NextVDO_Input]],MATCH($D25&amp;" - Peak",Input_Usage[[Ref]:[Ref]],0),MATCH($D$21,Inputs!$I$133:$M$133,0)))+
IFERROR((INDEX(OP_TotalRates_RES_2[[Ausnet]:[United Energy]],MATCH("TOU - Shoulder",OP_TotalRates_RES_2[[Rate name]:[Rate name]],0),MATCH(OP_CMAB!E$24,OP_TotalRates_RES_2[[#Headers],[Ausnet]:[United Energy]],0))*
INDEX(Input_Usage[[F-CurrentVDO_Input]:[F-NextVDO_Input]],MATCH($D25&amp;" - Shoulder",Input_Usage[[Ref]:[Ref]],0),MATCH($D$21,Inputs!$I$133:$M$133,0))),0)+
(INDEX(OP_TotalRates_RES_2[[Ausnet]:[United Energy]],MATCH("Off peak",OP_TotalRates_RES_2[[Rate name]:[Rate name]],0),MATCH(OP_CMAB!E$24,OP_TotalRates_RES_2[[#Headers],[Ausnet]:[United Energy]],0))*
INDEX(Input_Usage[[F-CurrentVDO_Input]:[F-NextVDO_Input]],MATCH($D25&amp;" - Off peak",Input_Usage[[Ref]:[Ref]],0),MATCH($D$21,Inputs!$I$133:$M$133,0))),0),0,1))</f>
        <v>0</v>
      </c>
      <c r="F29" s="94">
        <f>IF($D$21="VDO 2021 - Final",
IF(F25=
ROUNDUP(
(INDEX(OP_TotalRates_RES_2[[Ausnet]:[United Energy]],MATCH("Anytime - supply",OP_TotalRates_RES_2[[Rate name]:[Rate name]],0),MATCH(OP_CMAB!F$24,OP_TotalRates_RES_2[[#Headers],[Ausnet]:[United Energy]],0))*DiY)+
(IFERROR((INDEX(OP_TotalRates_RES_2[[Ausnet]:[United Energy]],MATCH("Block 1",OP_TotalRates_RES_2[[Rate name]:[Rate name]],0),MATCH(OP_CMAB!F$24,OP_TotalRates_RES_2[[#Headers],[Ausnet]:[United Energy]],0))*
INDEX(Input_Usage[[F-CurrentVDO_Input]:[F-NextVDO_Input]],MATCH(OP_CMAB!$D25&amp;" - Block 1",Input_Usage[[Ref]:[Ref]],0),MATCH(OP_CMAB!$D$21,Inputs!$I$133:$M$133,0))),0)+
IFERROR((INDEX(OP_TotalRates_RES_2[[Ausnet]:[United Energy]],MATCH("Balance",OP_TotalRates_RES_2[[Rate name]:[Rate name]],0),MATCH(OP_CMAB!F$24,OP_TotalRates_RES_2[[#Headers],[Ausnet]:[United Energy]],0))*
INDEX(Input_Usage[[F-CurrentVDO_Input]:[F-NextVDO_Input]],MATCH(OP_CMAB!$D25&amp;" - Balance",Input_Usage[[Ref]:[Ref]],0),MATCH(OP_CMAB!$D$21,Inputs!$I$133:$M$133,0))),0)+
IFERROR((INDEX(OP_TotalRates_RES_2[[Ausnet]:[United Energy]],MATCH("Single rate",OP_TotalRates_RES_2[[Rate name]:[Rate name]],0),MATCH(OP_CMAB!F$24,OP_TotalRates_RES_2[[#Headers],[Ausnet]:[United Energy]],0))*
INDEX(Input_Usage[[F-CurrentVDO_Input]:[F-NextVDO_Input]],MATCH(OP_CMAB!$D25&amp;" - Annual",Input_Usage[[Ref]:[Ref]],0),MATCH(OP_CMAB!$D$21,Inputs!$I$133:$M$133,0))),0)),0),0,1),
IF(F25=
ROUNDUP(
(INDEX(OP_TotalRates_RES_2[[Ausnet]:[United Energy]],MATCH("TOU - supply",OP_TotalRates_RES_2[[Rate name]:[Rate name]],0),MATCH(OP_CMAB!F$24,OP_TotalRates_RES_2[[#Headers],[Ausnet]:[United Energy]],0))*DiY)+
(INDEX(OP_TotalRates_RES_2[[Ausnet]:[United Energy]],MATCH("Peak",OP_TotalRates_RES_2[[Rate name]:[Rate name]],0),MATCH(OP_CMAB!F$24,OP_TotalRates_RES_2[[#Headers],[Ausnet]:[United Energy]],0))*
INDEX(Input_Usage[[F-CurrentVDO_Input]:[F-NextVDO_Input]],MATCH($D25&amp;" - Peak",Input_Usage[[Ref]:[Ref]],0),MATCH($D$21,Inputs!$I$133:$M$133,0)))+
IFERROR((INDEX(OP_TotalRates_RES_2[[Ausnet]:[United Energy]],MATCH("TOU - Shoulder",OP_TotalRates_RES_2[[Rate name]:[Rate name]],0),MATCH(OP_CMAB!F$24,OP_TotalRates_RES_2[[#Headers],[Ausnet]:[United Energy]],0))*
INDEX(Input_Usage[[F-CurrentVDO_Input]:[F-NextVDO_Input]],MATCH($D25&amp;" - Shoulder",Input_Usage[[Ref]:[Ref]],0),MATCH($D$21,Inputs!$I$133:$M$133,0))),0)+
(INDEX(OP_TotalRates_RES_2[[Ausnet]:[United Energy]],MATCH("Off peak",OP_TotalRates_RES_2[[Rate name]:[Rate name]],0),MATCH(OP_CMAB!F$24,OP_TotalRates_RES_2[[#Headers],[Ausnet]:[United Energy]],0))*
INDEX(Input_Usage[[F-CurrentVDO_Input]:[F-NextVDO_Input]],MATCH($D25&amp;" - Off peak",Input_Usage[[Ref]:[Ref]],0),MATCH($D$21,Inputs!$I$133:$M$133,0))),0),0,1))</f>
        <v>0</v>
      </c>
      <c r="G29" s="94">
        <f>IF($D$21="VDO 2021 - Final",
IF(G25=
ROUNDUP(
(INDEX(OP_TotalRates_RES_2[[Ausnet]:[United Energy]],MATCH("Anytime - supply",OP_TotalRates_RES_2[[Rate name]:[Rate name]],0),MATCH(OP_CMAB!G$24,OP_TotalRates_RES_2[[#Headers],[Ausnet]:[United Energy]],0))*DiY)+
(IFERROR((INDEX(OP_TotalRates_RES_2[[Ausnet]:[United Energy]],MATCH("Block 1",OP_TotalRates_RES_2[[Rate name]:[Rate name]],0),MATCH(OP_CMAB!G$24,OP_TotalRates_RES_2[[#Headers],[Ausnet]:[United Energy]],0))*
INDEX(Input_Usage[[F-CurrentVDO_Input]:[F-NextVDO_Input]],MATCH(OP_CMAB!$D25&amp;" - Block 1",Input_Usage[[Ref]:[Ref]],0),MATCH(OP_CMAB!$D$21,Inputs!$I$133:$M$133,0))),0)+
IFERROR((INDEX(OP_TotalRates_RES_2[[Ausnet]:[United Energy]],MATCH("Balance",OP_TotalRates_RES_2[[Rate name]:[Rate name]],0),MATCH(OP_CMAB!G$24,OP_TotalRates_RES_2[[#Headers],[Ausnet]:[United Energy]],0))*
INDEX(Input_Usage[[F-CurrentVDO_Input]:[F-NextVDO_Input]],MATCH(OP_CMAB!$D25&amp;" - Balance",Input_Usage[[Ref]:[Ref]],0),MATCH(OP_CMAB!$D$21,Inputs!$I$133:$M$133,0))),0)+
IFERROR((INDEX(OP_TotalRates_RES_2[[Ausnet]:[United Energy]],MATCH("Single rate",OP_TotalRates_RES_2[[Rate name]:[Rate name]],0),MATCH(OP_CMAB!G$24,OP_TotalRates_RES_2[[#Headers],[Ausnet]:[United Energy]],0))*
INDEX(Input_Usage[[F-CurrentVDO_Input]:[F-NextVDO_Input]],MATCH(OP_CMAB!$D25&amp;" - Annual",Input_Usage[[Ref]:[Ref]],0),MATCH(OP_CMAB!$D$21,Inputs!$I$133:$M$133,0))),0)),0),0,1),
IF(G25=
ROUNDUP(
(INDEX(OP_TotalRates_RES_2[[Ausnet]:[United Energy]],MATCH("TOU - supply",OP_TotalRates_RES_2[[Rate name]:[Rate name]],0),MATCH(OP_CMAB!G$24,OP_TotalRates_RES_2[[#Headers],[Ausnet]:[United Energy]],0))*DiY)+
(INDEX(OP_TotalRates_RES_2[[Ausnet]:[United Energy]],MATCH("Peak",OP_TotalRates_RES_2[[Rate name]:[Rate name]],0),MATCH(OP_CMAB!G$24,OP_TotalRates_RES_2[[#Headers],[Ausnet]:[United Energy]],0))*
INDEX(Input_Usage[[F-CurrentVDO_Input]:[F-NextVDO_Input]],MATCH($D25&amp;" - Peak",Input_Usage[[Ref]:[Ref]],0),MATCH($D$21,Inputs!$I$133:$M$133,0)))+
IFERROR((INDEX(OP_TotalRates_RES_2[[Ausnet]:[United Energy]],MATCH("TOU - Shoulder",OP_TotalRates_RES_2[[Rate name]:[Rate name]],0),MATCH(OP_CMAB!G$24,OP_TotalRates_RES_2[[#Headers],[Ausnet]:[United Energy]],0))*
INDEX(Input_Usage[[F-CurrentVDO_Input]:[F-NextVDO_Input]],MATCH($D25&amp;" - Shoulder",Input_Usage[[Ref]:[Ref]],0),MATCH($D$21,Inputs!$I$133:$M$133,0))),0)+
(INDEX(OP_TotalRates_RES_2[[Ausnet]:[United Energy]],MATCH("Off peak",OP_TotalRates_RES_2[[Rate name]:[Rate name]],0),MATCH(OP_CMAB!G$24,OP_TotalRates_RES_2[[#Headers],[Ausnet]:[United Energy]],0))*
INDEX(Input_Usage[[F-CurrentVDO_Input]:[F-NextVDO_Input]],MATCH($D25&amp;" - Off peak",Input_Usage[[Ref]:[Ref]],0),MATCH($D$21,Inputs!$I$133:$M$133,0))),0),0,1))</f>
        <v>0</v>
      </c>
      <c r="H29" s="94">
        <f>IF($D$21="VDO 2021 - Final",
IF(H25=
ROUNDUP(
(INDEX(OP_TotalRates_RES_2[[Ausnet]:[United Energy]],MATCH("Anytime - supply",OP_TotalRates_RES_2[[Rate name]:[Rate name]],0),MATCH(OP_CMAB!H$24,OP_TotalRates_RES_2[[#Headers],[Ausnet]:[United Energy]],0))*DiY)+
(IFERROR((INDEX(OP_TotalRates_RES_2[[Ausnet]:[United Energy]],MATCH("Block 1",OP_TotalRates_RES_2[[Rate name]:[Rate name]],0),MATCH(OP_CMAB!H$24,OP_TotalRates_RES_2[[#Headers],[Ausnet]:[United Energy]],0))*
INDEX(Input_Usage[[F-CurrentVDO_Input]:[F-NextVDO_Input]],MATCH(OP_CMAB!$D25&amp;" - Block 1",Input_Usage[[Ref]:[Ref]],0),MATCH(OP_CMAB!$D$21,Inputs!$I$133:$M$133,0))),0)+
IFERROR((INDEX(OP_TotalRates_RES_2[[Ausnet]:[United Energy]],MATCH("Balance",OP_TotalRates_RES_2[[Rate name]:[Rate name]],0),MATCH(OP_CMAB!H$24,OP_TotalRates_RES_2[[#Headers],[Ausnet]:[United Energy]],0))*
INDEX(Input_Usage[[F-CurrentVDO_Input]:[F-NextVDO_Input]],MATCH(OP_CMAB!$D25&amp;" - Balance",Input_Usage[[Ref]:[Ref]],0),MATCH(OP_CMAB!$D$21,Inputs!$I$133:$M$133,0))),0)+
IFERROR((INDEX(OP_TotalRates_RES_2[[Ausnet]:[United Energy]],MATCH("Single rate",OP_TotalRates_RES_2[[Rate name]:[Rate name]],0),MATCH(OP_CMAB!H$24,OP_TotalRates_RES_2[[#Headers],[Ausnet]:[United Energy]],0))*
INDEX(Input_Usage[[F-CurrentVDO_Input]:[F-NextVDO_Input]],MATCH(OP_CMAB!$D25&amp;" - Annual",Input_Usage[[Ref]:[Ref]],0),MATCH(OP_CMAB!$D$21,Inputs!$I$133:$M$133,0))),0)),0),0,1),
IF(H25=
ROUNDUP(
(INDEX(OP_TotalRates_RES_2[[Ausnet]:[United Energy]],MATCH("TOU - supply",OP_TotalRates_RES_2[[Rate name]:[Rate name]],0),MATCH(OP_CMAB!H$24,OP_TotalRates_RES_2[[#Headers],[Ausnet]:[United Energy]],0))*DiY)+
(INDEX(OP_TotalRates_RES_2[[Ausnet]:[United Energy]],MATCH("Peak",OP_TotalRates_RES_2[[Rate name]:[Rate name]],0),MATCH(OP_CMAB!H$24,OP_TotalRates_RES_2[[#Headers],[Ausnet]:[United Energy]],0))*
INDEX(Input_Usage[[F-CurrentVDO_Input]:[F-NextVDO_Input]],MATCH($D25&amp;" - Peak",Input_Usage[[Ref]:[Ref]],0),MATCH($D$21,Inputs!$I$133:$M$133,0)))+
IFERROR((INDEX(OP_TotalRates_RES_2[[Ausnet]:[United Energy]],MATCH("TOU - Shoulder",OP_TotalRates_RES_2[[Rate name]:[Rate name]],0),MATCH(OP_CMAB!H$24,OP_TotalRates_RES_2[[#Headers],[Ausnet]:[United Energy]],0))*
INDEX(Input_Usage[[F-CurrentVDO_Input]:[F-NextVDO_Input]],MATCH($D25&amp;" - Shoulder",Input_Usage[[Ref]:[Ref]],0),MATCH($D$21,Inputs!$I$133:$M$133,0))),0)+
(INDEX(OP_TotalRates_RES_2[[Ausnet]:[United Energy]],MATCH("Off peak",OP_TotalRates_RES_2[[Rate name]:[Rate name]],0),MATCH(OP_CMAB!H$24,OP_TotalRates_RES_2[[#Headers],[Ausnet]:[United Energy]],0))*
INDEX(Input_Usage[[F-CurrentVDO_Input]:[F-NextVDO_Input]],MATCH($D25&amp;" - Off peak",Input_Usage[[Ref]:[Ref]],0),MATCH($D$21,Inputs!$I$133:$M$133,0))),0),0,1))</f>
        <v>0</v>
      </c>
      <c r="I29" s="94">
        <f>IF($D$21="VDO 2021 - Final",
IF(I25=
ROUNDUP(
(INDEX(OP_TotalRates_RES_2[[Ausnet]:[United Energy]],MATCH("Anytime - supply",OP_TotalRates_RES_2[[Rate name]:[Rate name]],0),MATCH(OP_CMAB!I$24,OP_TotalRates_RES_2[[#Headers],[Ausnet]:[United Energy]],0))*DiY)+
(IFERROR((INDEX(OP_TotalRates_RES_2[[Ausnet]:[United Energy]],MATCH("Block 1",OP_TotalRates_RES_2[[Rate name]:[Rate name]],0),MATCH(OP_CMAB!I$24,OP_TotalRates_RES_2[[#Headers],[Ausnet]:[United Energy]],0))*
INDEX(Input_Usage[[F-CurrentVDO_Input]:[F-NextVDO_Input]],MATCH(OP_CMAB!$D25&amp;" - Block 1",Input_Usage[[Ref]:[Ref]],0),MATCH(OP_CMAB!$D$21,Inputs!$I$133:$M$133,0))),0)+
IFERROR((INDEX(OP_TotalRates_RES_2[[Ausnet]:[United Energy]],MATCH("Balance",OP_TotalRates_RES_2[[Rate name]:[Rate name]],0),MATCH(OP_CMAB!I$24,OP_TotalRates_RES_2[[#Headers],[Ausnet]:[United Energy]],0))*
INDEX(Input_Usage[[F-CurrentVDO_Input]:[F-NextVDO_Input]],MATCH(OP_CMAB!$D25&amp;" - Balance",Input_Usage[[Ref]:[Ref]],0),MATCH(OP_CMAB!$D$21,Inputs!$I$133:$M$133,0))),0)+
IFERROR((INDEX(OP_TotalRates_RES_2[[Ausnet]:[United Energy]],MATCH("Single rate",OP_TotalRates_RES_2[[Rate name]:[Rate name]],0),MATCH(OP_CMAB!I$24,OP_TotalRates_RES_2[[#Headers],[Ausnet]:[United Energy]],0))*
INDEX(Input_Usage[[F-CurrentVDO_Input]:[F-NextVDO_Input]],MATCH(OP_CMAB!$D25&amp;" - Annual",Input_Usage[[Ref]:[Ref]],0),MATCH(OP_CMAB!$D$21,Inputs!$I$133:$M$133,0))),0)),0),0,1),
IF(I25=
ROUNDUP(
(INDEX(OP_TotalRates_RES_2[[Ausnet]:[United Energy]],MATCH("TOU - supply",OP_TotalRates_RES_2[[Rate name]:[Rate name]],0),MATCH(OP_CMAB!I$24,OP_TotalRates_RES_2[[#Headers],[Ausnet]:[United Energy]],0))*DiY)+
(INDEX(OP_TotalRates_RES_2[[Ausnet]:[United Energy]],MATCH("Peak",OP_TotalRates_RES_2[[Rate name]:[Rate name]],0),MATCH(OP_CMAB!I$24,OP_TotalRates_RES_2[[#Headers],[Ausnet]:[United Energy]],0))*
INDEX(Input_Usage[[F-CurrentVDO_Input]:[F-NextVDO_Input]],MATCH($D25&amp;" - Peak",Input_Usage[[Ref]:[Ref]],0),MATCH($D$21,Inputs!$I$133:$M$133,0)))+
IFERROR((INDEX(OP_TotalRates_RES_2[[Ausnet]:[United Energy]],MATCH("TOU - Shoulder",OP_TotalRates_RES_2[[Rate name]:[Rate name]],0),MATCH(OP_CMAB!I$24,OP_TotalRates_RES_2[[#Headers],[Ausnet]:[United Energy]],0))*
INDEX(Input_Usage[[F-CurrentVDO_Input]:[F-NextVDO_Input]],MATCH($D25&amp;" - Shoulder",Input_Usage[[Ref]:[Ref]],0),MATCH($D$21,Inputs!$I$133:$M$133,0))),0)+
(INDEX(OP_TotalRates_RES_2[[Ausnet]:[United Energy]],MATCH("Off peak",OP_TotalRates_RES_2[[Rate name]:[Rate name]],0),MATCH(OP_CMAB!I$24,OP_TotalRates_RES_2[[#Headers],[Ausnet]:[United Energy]],0))*
INDEX(Input_Usage[[F-CurrentVDO_Input]:[F-NextVDO_Input]],MATCH($D25&amp;" - Off peak",Input_Usage[[Ref]:[Ref]],0),MATCH($D$21,Inputs!$I$133:$M$133,0))),0),0,1))</f>
        <v>0</v>
      </c>
      <c r="M29" s="94">
        <f>IF($D$21="VDO 2021 - Final",
IF(M25=
ROUNDUP(
(INDEX(OP_TotalRates_SME_2[[Ausnet]:[United Energy]],MATCH("Anytime - supply",OP_TotalRates_SME_2[[Rate name]:[Rate name]],0),MATCH(OP_CMAB!M$24,OP_TotalRates_SME_2[[#Headers],[Ausnet]:[United Energy]],0))*DiY)+
(IFERROR((INDEX(OP_TotalRates_SME_2[[Ausnet]:[United Energy]],MATCH("Block 1",OP_TotalRates_SME_2[[Rate name]:[Rate name]],0),MATCH(OP_CMAB!M$24,OP_TotalRates_SME_2[[#Headers],[Ausnet]:[United Energy]],0))*
INDEX(Input_Usage[[F-CurrentVDO_Input]:[F-NextVDO_Input]],MATCH(OP_CMAB!$L25&amp;" - Block 1",Input_Usage[[Ref]:[Ref]],0),MATCH(OP_CMAB!$D$21,Inputs!$I$133:$M$133,0))),0)+
IFERROR((INDEX(OP_TotalRates_SME_2[[Ausnet]:[United Energy]],MATCH("Balance",OP_TotalRates_SME_2[[Rate name]:[Rate name]],0),MATCH(OP_CMAB!M$24,OP_TotalRates_SME_2[[#Headers],[Ausnet]:[United Energy]],0))*
INDEX(Input_Usage[[F-CurrentVDO_Input]:[F-NextVDO_Input]],MATCH(OP_CMAB!$L25&amp;" - Balance",Input_Usage[[Ref]:[Ref]],0),MATCH(OP_CMAB!$D$21,Inputs!$I$133:$M$133,0))),0)+
IFERROR((INDEX(OP_TotalRates_SME_2[[Ausnet]:[United Energy]],MATCH("Single rate",OP_TotalRates_SME_2[[Rate name]:[Rate name]],0),MATCH(OP_CMAB!M$24,OP_TotalRates_SME_2[[#Headers],[Ausnet]:[United Energy]],0))*
INDEX(Input_Usage[[F-CurrentVDO_Input]:[F-NextVDO_Input]],MATCH(OP_CMAB!$L25&amp;" - Annual",Input_Usage[[Ref]:[Ref]],0),MATCH(OP_CMAB!$D$21,Inputs!$I$133:$M$133,0))),0)),0),0,1),
IF(M25=
ROUNDUP(
(INDEX(OP_TotalRates_SME_2[[Ausnet]:[United Energy]],MATCH("TOU - supply",OP_TotalRates_SME_2[[Rate name]:[Rate name]],0),MATCH(OP_CMAB!M$24,OP_TotalRates_SME_2[[#Headers],[Ausnet]:[United Energy]],0))*DiY)+
(INDEX(OP_TotalRates_SME_2[[Ausnet]:[United Energy]],MATCH("Peak",OP_TotalRates_SME_2[[Rate name]:[Rate name]],0),MATCH(OP_CMAB!M$24,OP_TotalRates_SME_2[[#Headers],[Ausnet]:[United Energy]],0))*
INDEX(Input_Usage[[F-CurrentVDO_Input]:[F-NextVDO_Input]],MATCH($L25&amp;" - Peak",Input_Usage[[Ref]:[Ref]],0),MATCH($D$21,Inputs!$I$133:$M$133,0)))+
IFERROR((INDEX(OP_TotalRates_SME_2[[Ausnet]:[United Energy]],MATCH("TOU - Shoulder",OP_TotalRates_SME_2[[Rate name]:[Rate name]],0),MATCH(OP_CMAB!M$24,OP_TotalRates_SME_2[[#Headers],[Ausnet]:[United Energy]],0))*
INDEX(Input_Usage[[F-CurrentVDO_Input]:[F-NextVDO_Input]],MATCH($L25&amp;" - Shoulder",Input_Usage[[Ref]:[Ref]],0),MATCH($D$21,Inputs!$I$133:$M$133,0))),0)+
(INDEX(OP_TotalRates_SME_2[[Ausnet]:[United Energy]],MATCH("Off peak",OP_TotalRates_SME_2[[Rate name]:[Rate name]],0),MATCH(OP_CMAB!M$24,OP_TotalRates_SME_2[[#Headers],[Ausnet]:[United Energy]],0))*
INDEX(Input_Usage[[F-CurrentVDO_Input]:[F-NextVDO_Input]],MATCH($L25&amp;" - Off peak",Input_Usage[[Ref]:[Ref]],0),MATCH($D$21,Inputs!$I$133:$M$133,0))),0),0,1))</f>
        <v>0</v>
      </c>
      <c r="N29" s="94">
        <f>IF($D$21="VDO 2021 - Final",
IF(N25=
ROUNDUP(
(INDEX(OP_TotalRates_SME_2[[Ausnet]:[United Energy]],MATCH("Anytime - supply",OP_TotalRates_SME_2[[Rate name]:[Rate name]],0),MATCH(OP_CMAB!N$24,OP_TotalRates_SME_2[[#Headers],[Ausnet]:[United Energy]],0))*DiY)+
(IFERROR((INDEX(OP_TotalRates_SME_2[[Ausnet]:[United Energy]],MATCH("Block 1",OP_TotalRates_SME_2[[Rate name]:[Rate name]],0),MATCH(OP_CMAB!N$24,OP_TotalRates_SME_2[[#Headers],[Ausnet]:[United Energy]],0))*
INDEX(Input_Usage[[F-CurrentVDO_Input]:[F-NextVDO_Input]],MATCH(OP_CMAB!$L25&amp;" - Block 1",Input_Usage[[Ref]:[Ref]],0),MATCH(OP_CMAB!$D$21,Inputs!$I$133:$M$133,0))),0)+
IFERROR((INDEX(OP_TotalRates_SME_2[[Ausnet]:[United Energy]],MATCH("Balance",OP_TotalRates_SME_2[[Rate name]:[Rate name]],0),MATCH(OP_CMAB!N$24,OP_TotalRates_SME_2[[#Headers],[Ausnet]:[United Energy]],0))*
INDEX(Input_Usage[[F-CurrentVDO_Input]:[F-NextVDO_Input]],MATCH(OP_CMAB!$L25&amp;" - Balance",Input_Usage[[Ref]:[Ref]],0),MATCH(OP_CMAB!$D$21,Inputs!$I$133:$M$133,0))),0)+
IFERROR((INDEX(OP_TotalRates_SME_2[[Ausnet]:[United Energy]],MATCH("Single rate",OP_TotalRates_SME_2[[Rate name]:[Rate name]],0),MATCH(OP_CMAB!N$24,OP_TotalRates_SME_2[[#Headers],[Ausnet]:[United Energy]],0))*
INDEX(Input_Usage[[F-CurrentVDO_Input]:[F-NextVDO_Input]],MATCH(OP_CMAB!$L25&amp;" - Annual",Input_Usage[[Ref]:[Ref]],0),MATCH(OP_CMAB!$D$21,Inputs!$I$133:$M$133,0))),0)),0),0,1),
IF(N25=
ROUNDUP(
(INDEX(OP_TotalRates_SME_2[[Ausnet]:[United Energy]],MATCH("TOU - supply",OP_TotalRates_SME_2[[Rate name]:[Rate name]],0),MATCH(OP_CMAB!N$24,OP_TotalRates_SME_2[[#Headers],[Ausnet]:[United Energy]],0))*DiY)+
(INDEX(OP_TotalRates_SME_2[[Ausnet]:[United Energy]],MATCH("Peak",OP_TotalRates_SME_2[[Rate name]:[Rate name]],0),MATCH(OP_CMAB!N$24,OP_TotalRates_SME_2[[#Headers],[Ausnet]:[United Energy]],0))*
INDEX(Input_Usage[[F-CurrentVDO_Input]:[F-NextVDO_Input]],MATCH($L25&amp;" - Peak",Input_Usage[[Ref]:[Ref]],0),MATCH($D$21,Inputs!$I$133:$M$133,0)))+
IFERROR((INDEX(OP_TotalRates_SME_2[[Ausnet]:[United Energy]],MATCH("TOU - Shoulder",OP_TotalRates_SME_2[[Rate name]:[Rate name]],0),MATCH(OP_CMAB!N$24,OP_TotalRates_SME_2[[#Headers],[Ausnet]:[United Energy]],0))*
INDEX(Input_Usage[[F-CurrentVDO_Input]:[F-NextVDO_Input]],MATCH($L25&amp;" - Shoulder",Input_Usage[[Ref]:[Ref]],0),MATCH($D$21,Inputs!$I$133:$M$133,0))),0)+
(INDEX(OP_TotalRates_SME_2[[Ausnet]:[United Energy]],MATCH("Off peak",OP_TotalRates_SME_2[[Rate name]:[Rate name]],0),MATCH(OP_CMAB!N$24,OP_TotalRates_SME_2[[#Headers],[Ausnet]:[United Energy]],0))*
INDEX(Input_Usage[[F-CurrentVDO_Input]:[F-NextVDO_Input]],MATCH($L25&amp;" - Off peak",Input_Usage[[Ref]:[Ref]],0),MATCH($D$21,Inputs!$I$133:$M$133,0))),0),0,1))</f>
        <v>0</v>
      </c>
      <c r="O29" s="94">
        <f>IF($D$21="VDO 2021 - Final",
IF(O25=
ROUNDUP(
(INDEX(OP_TotalRates_SME_2[[Ausnet]:[United Energy]],MATCH("Anytime - supply",OP_TotalRates_SME_2[[Rate name]:[Rate name]],0),MATCH(OP_CMAB!O$24,OP_TotalRates_SME_2[[#Headers],[Ausnet]:[United Energy]],0))*DiY)+
(IFERROR((INDEX(OP_TotalRates_SME_2[[Ausnet]:[United Energy]],MATCH("Block 1",OP_TotalRates_SME_2[[Rate name]:[Rate name]],0),MATCH(OP_CMAB!O$24,OP_TotalRates_SME_2[[#Headers],[Ausnet]:[United Energy]],0))*
INDEX(Input_Usage[[F-CurrentVDO_Input]:[F-NextVDO_Input]],MATCH(OP_CMAB!$L25&amp;" - Block 1",Input_Usage[[Ref]:[Ref]],0),MATCH(OP_CMAB!$D$21,Inputs!$I$133:$M$133,0))),0)+
IFERROR((INDEX(OP_TotalRates_SME_2[[Ausnet]:[United Energy]],MATCH("Balance",OP_TotalRates_SME_2[[Rate name]:[Rate name]],0),MATCH(OP_CMAB!O$24,OP_TotalRates_SME_2[[#Headers],[Ausnet]:[United Energy]],0))*
INDEX(Input_Usage[[F-CurrentVDO_Input]:[F-NextVDO_Input]],MATCH(OP_CMAB!$L25&amp;" - Balance",Input_Usage[[Ref]:[Ref]],0),MATCH(OP_CMAB!$D$21,Inputs!$I$133:$M$133,0))),0)+
IFERROR((INDEX(OP_TotalRates_SME_2[[Ausnet]:[United Energy]],MATCH("Single rate",OP_TotalRates_SME_2[[Rate name]:[Rate name]],0),MATCH(OP_CMAB!O$24,OP_TotalRates_SME_2[[#Headers],[Ausnet]:[United Energy]],0))*
INDEX(Input_Usage[[F-CurrentVDO_Input]:[F-NextVDO_Input]],MATCH(OP_CMAB!$L25&amp;" - Annual",Input_Usage[[Ref]:[Ref]],0),MATCH(OP_CMAB!$D$21,Inputs!$I$133:$M$133,0))),0)),0),0,1),
IF(O25=
ROUNDUP(
(INDEX(OP_TotalRates_SME_2[[Ausnet]:[United Energy]],MATCH("TOU - supply",OP_TotalRates_SME_2[[Rate name]:[Rate name]],0),MATCH(OP_CMAB!O$24,OP_TotalRates_SME_2[[#Headers],[Ausnet]:[United Energy]],0))*DiY)+
(INDEX(OP_TotalRates_SME_2[[Ausnet]:[United Energy]],MATCH("Peak",OP_TotalRates_SME_2[[Rate name]:[Rate name]],0),MATCH(OP_CMAB!O$24,OP_TotalRates_SME_2[[#Headers],[Ausnet]:[United Energy]],0))*
INDEX(Input_Usage[[F-CurrentVDO_Input]:[F-NextVDO_Input]],MATCH($L25&amp;" - Peak",Input_Usage[[Ref]:[Ref]],0),MATCH($D$21,Inputs!$I$133:$M$133,0)))+
IFERROR((INDEX(OP_TotalRates_SME_2[[Ausnet]:[United Energy]],MATCH("TOU - Shoulder",OP_TotalRates_SME_2[[Rate name]:[Rate name]],0),MATCH(OP_CMAB!O$24,OP_TotalRates_SME_2[[#Headers],[Ausnet]:[United Energy]],0))*
INDEX(Input_Usage[[F-CurrentVDO_Input]:[F-NextVDO_Input]],MATCH($L25&amp;" - Shoulder",Input_Usage[[Ref]:[Ref]],0),MATCH($D$21,Inputs!$I$133:$M$133,0))),0)+
(INDEX(OP_TotalRates_SME_2[[Ausnet]:[United Energy]],MATCH("Off peak",OP_TotalRates_SME_2[[Rate name]:[Rate name]],0),MATCH(OP_CMAB!O$24,OP_TotalRates_SME_2[[#Headers],[Ausnet]:[United Energy]],0))*
INDEX(Input_Usage[[F-CurrentVDO_Input]:[F-NextVDO_Input]],MATCH($L25&amp;" - Off peak",Input_Usage[[Ref]:[Ref]],0),MATCH($D$21,Inputs!$I$133:$M$133,0))),0),0,1))</f>
        <v>0</v>
      </c>
      <c r="P29" s="94">
        <f>IF($D$21="VDO 2021 - Final",
IF(P25=
ROUNDUP(
(INDEX(OP_TotalRates_SME_2[[Ausnet]:[United Energy]],MATCH("Anytime - supply",OP_TotalRates_SME_2[[Rate name]:[Rate name]],0),MATCH(OP_CMAB!P$24,OP_TotalRates_SME_2[[#Headers],[Ausnet]:[United Energy]],0))*DiY)+
(IFERROR((INDEX(OP_TotalRates_SME_2[[Ausnet]:[United Energy]],MATCH("Block 1",OP_TotalRates_SME_2[[Rate name]:[Rate name]],0),MATCH(OP_CMAB!P$24,OP_TotalRates_SME_2[[#Headers],[Ausnet]:[United Energy]],0))*
INDEX(Input_Usage[[F-CurrentVDO_Input]:[F-NextVDO_Input]],MATCH(OP_CMAB!$L25&amp;" - Block 1",Input_Usage[[Ref]:[Ref]],0),MATCH(OP_CMAB!$D$21,Inputs!$I$133:$M$133,0))),0)+
IFERROR((INDEX(OP_TotalRates_SME_2[[Ausnet]:[United Energy]],MATCH("Balance",OP_TotalRates_SME_2[[Rate name]:[Rate name]],0),MATCH(OP_CMAB!P$24,OP_TotalRates_SME_2[[#Headers],[Ausnet]:[United Energy]],0))*
INDEX(Input_Usage[[F-CurrentVDO_Input]:[F-NextVDO_Input]],MATCH(OP_CMAB!$L25&amp;" - Balance",Input_Usage[[Ref]:[Ref]],0),MATCH(OP_CMAB!$D$21,Inputs!$I$133:$M$133,0))),0)+
IFERROR((INDEX(OP_TotalRates_SME_2[[Ausnet]:[United Energy]],MATCH("Single rate",OP_TotalRates_SME_2[[Rate name]:[Rate name]],0),MATCH(OP_CMAB!P$24,OP_TotalRates_SME_2[[#Headers],[Ausnet]:[United Energy]],0))*
INDEX(Input_Usage[[F-CurrentVDO_Input]:[F-NextVDO_Input]],MATCH(OP_CMAB!$L25&amp;" - Annual",Input_Usage[[Ref]:[Ref]],0),MATCH(OP_CMAB!$D$21,Inputs!$I$133:$M$133,0))),0)),0),0,1),
IF(P25=
ROUNDUP(
(INDEX(OP_TotalRates_SME_2[[Ausnet]:[United Energy]],MATCH("TOU - supply",OP_TotalRates_SME_2[[Rate name]:[Rate name]],0),MATCH(OP_CMAB!P$24,OP_TotalRates_SME_2[[#Headers],[Ausnet]:[United Energy]],0))*DiY)+
(INDEX(OP_TotalRates_SME_2[[Ausnet]:[United Energy]],MATCH("Peak",OP_TotalRates_SME_2[[Rate name]:[Rate name]],0),MATCH(OP_CMAB!P$24,OP_TotalRates_SME_2[[#Headers],[Ausnet]:[United Energy]],0))*
INDEX(Input_Usage[[F-CurrentVDO_Input]:[F-NextVDO_Input]],MATCH($L25&amp;" - Peak",Input_Usage[[Ref]:[Ref]],0),MATCH($D$21,Inputs!$I$133:$M$133,0)))+
IFERROR((INDEX(OP_TotalRates_SME_2[[Ausnet]:[United Energy]],MATCH("TOU - Shoulder",OP_TotalRates_SME_2[[Rate name]:[Rate name]],0),MATCH(OP_CMAB!P$24,OP_TotalRates_SME_2[[#Headers],[Ausnet]:[United Energy]],0))*
INDEX(Input_Usage[[F-CurrentVDO_Input]:[F-NextVDO_Input]],MATCH($L25&amp;" - Shoulder",Input_Usage[[Ref]:[Ref]],0),MATCH($D$21,Inputs!$I$133:$M$133,0))),0)+
(INDEX(OP_TotalRates_SME_2[[Ausnet]:[United Energy]],MATCH("Off peak",OP_TotalRates_SME_2[[Rate name]:[Rate name]],0),MATCH(OP_CMAB!P$24,OP_TotalRates_SME_2[[#Headers],[Ausnet]:[United Energy]],0))*
INDEX(Input_Usage[[F-CurrentVDO_Input]:[F-NextVDO_Input]],MATCH($L25&amp;" - Off peak",Input_Usage[[Ref]:[Ref]],0),MATCH($D$21,Inputs!$I$133:$M$133,0))),0),0,1))</f>
        <v>0</v>
      </c>
      <c r="Q29" s="94">
        <f>IF($D$21="VDO 2021 - Final",
IF(Q25=
ROUNDUP(
(INDEX(OP_TotalRates_SME_2[[Ausnet]:[United Energy]],MATCH("Anytime - supply",OP_TotalRates_SME_2[[Rate name]:[Rate name]],0),MATCH(OP_CMAB!Q$24,OP_TotalRates_SME_2[[#Headers],[Ausnet]:[United Energy]],0))*DiY)+
(IFERROR((INDEX(OP_TotalRates_SME_2[[Ausnet]:[United Energy]],MATCH("Block 1",OP_TotalRates_SME_2[[Rate name]:[Rate name]],0),MATCH(OP_CMAB!Q$24,OP_TotalRates_SME_2[[#Headers],[Ausnet]:[United Energy]],0))*
INDEX(Input_Usage[[F-CurrentVDO_Input]:[F-NextVDO_Input]],MATCH(OP_CMAB!$L25&amp;" - Block 1",Input_Usage[[Ref]:[Ref]],0),MATCH(OP_CMAB!$D$21,Inputs!$I$133:$M$133,0))),0)+
IFERROR((INDEX(OP_TotalRates_SME_2[[Ausnet]:[United Energy]],MATCH("Balance",OP_TotalRates_SME_2[[Rate name]:[Rate name]],0),MATCH(OP_CMAB!Q$24,OP_TotalRates_SME_2[[#Headers],[Ausnet]:[United Energy]],0))*
INDEX(Input_Usage[[F-CurrentVDO_Input]:[F-NextVDO_Input]],MATCH(OP_CMAB!$L25&amp;" - Balance",Input_Usage[[Ref]:[Ref]],0),MATCH(OP_CMAB!$D$21,Inputs!$I$133:$M$133,0))),0)+
IFERROR((INDEX(OP_TotalRates_SME_2[[Ausnet]:[United Energy]],MATCH("Single rate",OP_TotalRates_SME_2[[Rate name]:[Rate name]],0),MATCH(OP_CMAB!Q$24,OP_TotalRates_SME_2[[#Headers],[Ausnet]:[United Energy]],0))*
INDEX(Input_Usage[[F-CurrentVDO_Input]:[F-NextVDO_Input]],MATCH(OP_CMAB!$L25&amp;" - Annual",Input_Usage[[Ref]:[Ref]],0),MATCH(OP_CMAB!$D$21,Inputs!$I$133:$M$133,0))),0)),0),0,1),
IF(Q25=
ROUNDUP(
(INDEX(OP_TotalRates_SME_2[[Ausnet]:[United Energy]],MATCH("TOU - supply",OP_TotalRates_SME_2[[Rate name]:[Rate name]],0),MATCH(OP_CMAB!Q$24,OP_TotalRates_SME_2[[#Headers],[Ausnet]:[United Energy]],0))*DiY)+
(INDEX(OP_TotalRates_SME_2[[Ausnet]:[United Energy]],MATCH("Peak",OP_TotalRates_SME_2[[Rate name]:[Rate name]],0),MATCH(OP_CMAB!Q$24,OP_TotalRates_SME_2[[#Headers],[Ausnet]:[United Energy]],0))*
INDEX(Input_Usage[[F-CurrentVDO_Input]:[F-NextVDO_Input]],MATCH($L25&amp;" - Peak",Input_Usage[[Ref]:[Ref]],0),MATCH($D$21,Inputs!$I$133:$M$133,0)))+
IFERROR((INDEX(OP_TotalRates_SME_2[[Ausnet]:[United Energy]],MATCH("TOU - Shoulder",OP_TotalRates_SME_2[[Rate name]:[Rate name]],0),MATCH(OP_CMAB!Q$24,OP_TotalRates_SME_2[[#Headers],[Ausnet]:[United Energy]],0))*
INDEX(Input_Usage[[F-CurrentVDO_Input]:[F-NextVDO_Input]],MATCH($L25&amp;" - Shoulder",Input_Usage[[Ref]:[Ref]],0),MATCH($D$21,Inputs!$I$133:$M$133,0))),0)+
(INDEX(OP_TotalRates_SME_2[[Ausnet]:[United Energy]],MATCH("Off peak",OP_TotalRates_SME_2[[Rate name]:[Rate name]],0),MATCH(OP_CMAB!Q$24,OP_TotalRates_SME_2[[#Headers],[Ausnet]:[United Energy]],0))*
INDEX(Input_Usage[[F-CurrentVDO_Input]:[F-NextVDO_Input]],MATCH($L25&amp;" - Off peak",Input_Usage[[Ref]:[Ref]],0),MATCH($D$21,Inputs!$I$133:$M$133,0))),0),0,1))</f>
        <v>0</v>
      </c>
    </row>
    <row r="30" spans="1:18" ht="15.75" x14ac:dyDescent="0.25">
      <c r="E30" s="94">
        <f>IF($D$21="VDO 2021 - Final",
IF(E26=
ROUNDUP(
(INDEX(OP_TotalRates_RES_2[[Ausnet]:[United Energy]],MATCH("Anytime - supply",OP_TotalRates_RES_2[[Rate name]:[Rate name]],0),MATCH(OP_CMAB!E$24,OP_TotalRates_RES_2[[#Headers],[Ausnet]:[United Energy]],0))*DiY)+
(IFERROR((INDEX(OP_TotalRates_RES_2[[Ausnet]:[United Energy]],MATCH("Block 1",OP_TotalRates_RES_2[[Rate name]:[Rate name]],0),MATCH(OP_CMAB!E$24,OP_TotalRates_RES_2[[#Headers],[Ausnet]:[United Energy]],0))*
INDEX(Input_Usage[[F-CurrentVDO_Input]:[F-NextVDO_Input]],MATCH(OP_CMAB!$D26&amp;" - Block 1",Input_Usage[[Ref]:[Ref]],0),MATCH(OP_CMAB!$D$21,Inputs!$I$133:$M$133,0))),0)+
IFERROR((INDEX(OP_TotalRates_RES_2[[Ausnet]:[United Energy]],MATCH("Balance",OP_TotalRates_RES_2[[Rate name]:[Rate name]],0),MATCH(OP_CMAB!E$24,OP_TotalRates_RES_2[[#Headers],[Ausnet]:[United Energy]],0))*
INDEX(Input_Usage[[F-CurrentVDO_Input]:[F-NextVDO_Input]],MATCH(OP_CMAB!$D26&amp;" - Balance",Input_Usage[[Ref]:[Ref]],0),MATCH(OP_CMAB!$D$21,Inputs!$I$133:$M$133,0))),0)+
IFERROR((INDEX(OP_TotalRates_RES_2[[Ausnet]:[United Energy]],MATCH("Single rate",OP_TotalRates_RES_2[[Rate name]:[Rate name]],0),MATCH(OP_CMAB!E$24,OP_TotalRates_RES_2[[#Headers],[Ausnet]:[United Energy]],0))*
INDEX(Input_Usage[[F-CurrentVDO_Input]:[F-NextVDO_Input]],MATCH(OP_CMAB!$D26&amp;" - Annual",Input_Usage[[Ref]:[Ref]],0),MATCH(OP_CMAB!$D$21,Inputs!$I$133:$M$133,0))),0)),0),0,1),
IF(E26=
ROUNDUP(
(INDEX(OP_TotalRates_RES_2[[Ausnet]:[United Energy]],MATCH("TOU - supply",OP_TotalRates_RES_2[[Rate name]:[Rate name]],0),MATCH(OP_CMAB!E$24,OP_TotalRates_RES_2[[#Headers],[Ausnet]:[United Energy]],0))*DiY)+
(INDEX(OP_TotalRates_RES_2[[Ausnet]:[United Energy]],MATCH("Peak",OP_TotalRates_RES_2[[Rate name]:[Rate name]],0),MATCH(OP_CMAB!E$24,OP_TotalRates_RES_2[[#Headers],[Ausnet]:[United Energy]],0))*
INDEX(Input_Usage[[F-CurrentVDO_Input]:[F-NextVDO_Input]],MATCH($D26&amp;" - Peak",Input_Usage[[Ref]:[Ref]],0),MATCH($D$21,Inputs!$I$133:$M$133,0)))+
IFERROR((INDEX(OP_TotalRates_RES_2[[Ausnet]:[United Energy]],MATCH("TOU - Shoulder",OP_TotalRates_RES_2[[Rate name]:[Rate name]],0),MATCH(OP_CMAB!E$24,OP_TotalRates_RES_2[[#Headers],[Ausnet]:[United Energy]],0))*
INDEX(Input_Usage[[F-CurrentVDO_Input]:[F-NextVDO_Input]],MATCH($D26&amp;" - Shoulder",Input_Usage[[Ref]:[Ref]],0),MATCH($D$21,Inputs!$I$133:$M$133,0))),0)+
(INDEX(OP_TotalRates_RES_2[[Ausnet]:[United Energy]],MATCH("Off peak",OP_TotalRates_RES_2[[Rate name]:[Rate name]],0),MATCH(OP_CMAB!E$24,OP_TotalRates_RES_2[[#Headers],[Ausnet]:[United Energy]],0))*
INDEX(Input_Usage[[F-CurrentVDO_Input]:[F-NextVDO_Input]],MATCH($D26&amp;" - Off peak",Input_Usage[[Ref]:[Ref]],0),MATCH($D$21,Inputs!$I$133:$M$133,0))),0),0,1))</f>
        <v>0</v>
      </c>
      <c r="F30" s="94">
        <f>IF($D$21="VDO 2021 - Final",
IF(F26=
ROUNDUP(
(INDEX(OP_TotalRates_RES_2[[Ausnet]:[United Energy]],MATCH("Anytime - supply",OP_TotalRates_RES_2[[Rate name]:[Rate name]],0),MATCH(OP_CMAB!F$24,OP_TotalRates_RES_2[[#Headers],[Ausnet]:[United Energy]],0))*DiY)+
(IFERROR((INDEX(OP_TotalRates_RES_2[[Ausnet]:[United Energy]],MATCH("Block 1",OP_TotalRates_RES_2[[Rate name]:[Rate name]],0),MATCH(OP_CMAB!F$24,OP_TotalRates_RES_2[[#Headers],[Ausnet]:[United Energy]],0))*
INDEX(Input_Usage[[F-CurrentVDO_Input]:[F-NextVDO_Input]],MATCH(OP_CMAB!$D26&amp;" - Block 1",Input_Usage[[Ref]:[Ref]],0),MATCH(OP_CMAB!$D$21,Inputs!$I$133:$M$133,0))),0)+
IFERROR((INDEX(OP_TotalRates_RES_2[[Ausnet]:[United Energy]],MATCH("Balance",OP_TotalRates_RES_2[[Rate name]:[Rate name]],0),MATCH(OP_CMAB!F$24,OP_TotalRates_RES_2[[#Headers],[Ausnet]:[United Energy]],0))*
INDEX(Input_Usage[[F-CurrentVDO_Input]:[F-NextVDO_Input]],MATCH(OP_CMAB!$D26&amp;" - Balance",Input_Usage[[Ref]:[Ref]],0),MATCH(OP_CMAB!$D$21,Inputs!$I$133:$M$133,0))),0)+
IFERROR((INDEX(OP_TotalRates_RES_2[[Ausnet]:[United Energy]],MATCH("Single rate",OP_TotalRates_RES_2[[Rate name]:[Rate name]],0),MATCH(OP_CMAB!F$24,OP_TotalRates_RES_2[[#Headers],[Ausnet]:[United Energy]],0))*
INDEX(Input_Usage[[F-CurrentVDO_Input]:[F-NextVDO_Input]],MATCH(OP_CMAB!$D26&amp;" - Annual",Input_Usage[[Ref]:[Ref]],0),MATCH(OP_CMAB!$D$21,Inputs!$I$133:$M$133,0))),0)),0),0,1),
IF(F26=
ROUNDUP(
(INDEX(OP_TotalRates_RES_2[[Ausnet]:[United Energy]],MATCH("TOU - supply",OP_TotalRates_RES_2[[Rate name]:[Rate name]],0),MATCH(OP_CMAB!F$24,OP_TotalRates_RES_2[[#Headers],[Ausnet]:[United Energy]],0))*DiY)+
(INDEX(OP_TotalRates_RES_2[[Ausnet]:[United Energy]],MATCH("Peak",OP_TotalRates_RES_2[[Rate name]:[Rate name]],0),MATCH(OP_CMAB!F$24,OP_TotalRates_RES_2[[#Headers],[Ausnet]:[United Energy]],0))*
INDEX(Input_Usage[[F-CurrentVDO_Input]:[F-NextVDO_Input]],MATCH($D26&amp;" - Peak",Input_Usage[[Ref]:[Ref]],0),MATCH($D$21,Inputs!$I$133:$M$133,0)))+
IFERROR((INDEX(OP_TotalRates_RES_2[[Ausnet]:[United Energy]],MATCH("TOU - Shoulder",OP_TotalRates_RES_2[[Rate name]:[Rate name]],0),MATCH(OP_CMAB!F$24,OP_TotalRates_RES_2[[#Headers],[Ausnet]:[United Energy]],0))*
INDEX(Input_Usage[[F-CurrentVDO_Input]:[F-NextVDO_Input]],MATCH($D26&amp;" - Shoulder",Input_Usage[[Ref]:[Ref]],0),MATCH($D$21,Inputs!$I$133:$M$133,0))),0)+
(INDEX(OP_TotalRates_RES_2[[Ausnet]:[United Energy]],MATCH("Off peak",OP_TotalRates_RES_2[[Rate name]:[Rate name]],0),MATCH(OP_CMAB!F$24,OP_TotalRates_RES_2[[#Headers],[Ausnet]:[United Energy]],0))*
INDEX(Input_Usage[[F-CurrentVDO_Input]:[F-NextVDO_Input]],MATCH($D26&amp;" - Off peak",Input_Usage[[Ref]:[Ref]],0),MATCH($D$21,Inputs!$I$133:$M$133,0))),0),0,1))</f>
        <v>0</v>
      </c>
      <c r="G30" s="94">
        <f>IF($D$21="VDO 2021 - Final",
IF(G26=
ROUNDUP(
(INDEX(OP_TotalRates_RES_2[[Ausnet]:[United Energy]],MATCH("Anytime - supply",OP_TotalRates_RES_2[[Rate name]:[Rate name]],0),MATCH(OP_CMAB!G$24,OP_TotalRates_RES_2[[#Headers],[Ausnet]:[United Energy]],0))*DiY)+
(IFERROR((INDEX(OP_TotalRates_RES_2[[Ausnet]:[United Energy]],MATCH("Block 1",OP_TotalRates_RES_2[[Rate name]:[Rate name]],0),MATCH(OP_CMAB!G$24,OP_TotalRates_RES_2[[#Headers],[Ausnet]:[United Energy]],0))*
INDEX(Input_Usage[[F-CurrentVDO_Input]:[F-NextVDO_Input]],MATCH(OP_CMAB!$D26&amp;" - Block 1",Input_Usage[[Ref]:[Ref]],0),MATCH(OP_CMAB!$D$21,Inputs!$I$133:$M$133,0))),0)+
IFERROR((INDEX(OP_TotalRates_RES_2[[Ausnet]:[United Energy]],MATCH("Balance",OP_TotalRates_RES_2[[Rate name]:[Rate name]],0),MATCH(OP_CMAB!G$24,OP_TotalRates_RES_2[[#Headers],[Ausnet]:[United Energy]],0))*
INDEX(Input_Usage[[F-CurrentVDO_Input]:[F-NextVDO_Input]],MATCH(OP_CMAB!$D26&amp;" - Balance",Input_Usage[[Ref]:[Ref]],0),MATCH(OP_CMAB!$D$21,Inputs!$I$133:$M$133,0))),0)+
IFERROR((INDEX(OP_TotalRates_RES_2[[Ausnet]:[United Energy]],MATCH("Single rate",OP_TotalRates_RES_2[[Rate name]:[Rate name]],0),MATCH(OP_CMAB!G$24,OP_TotalRates_RES_2[[#Headers],[Ausnet]:[United Energy]],0))*
INDEX(Input_Usage[[F-CurrentVDO_Input]:[F-NextVDO_Input]],MATCH(OP_CMAB!$D26&amp;" - Annual",Input_Usage[[Ref]:[Ref]],0),MATCH(OP_CMAB!$D$21,Inputs!$I$133:$M$133,0))),0)),0),0,1),
IF(G26=
ROUNDUP(
(INDEX(OP_TotalRates_RES_2[[Ausnet]:[United Energy]],MATCH("TOU - supply",OP_TotalRates_RES_2[[Rate name]:[Rate name]],0),MATCH(OP_CMAB!G$24,OP_TotalRates_RES_2[[#Headers],[Ausnet]:[United Energy]],0))*DiY)+
(INDEX(OP_TotalRates_RES_2[[Ausnet]:[United Energy]],MATCH("Peak",OP_TotalRates_RES_2[[Rate name]:[Rate name]],0),MATCH(OP_CMAB!G$24,OP_TotalRates_RES_2[[#Headers],[Ausnet]:[United Energy]],0))*
INDEX(Input_Usage[[F-CurrentVDO_Input]:[F-NextVDO_Input]],MATCH($D26&amp;" - Peak",Input_Usage[[Ref]:[Ref]],0),MATCH($D$21,Inputs!$I$133:$M$133,0)))+
IFERROR((INDEX(OP_TotalRates_RES_2[[Ausnet]:[United Energy]],MATCH("TOU - Shoulder",OP_TotalRates_RES_2[[Rate name]:[Rate name]],0),MATCH(OP_CMAB!G$24,OP_TotalRates_RES_2[[#Headers],[Ausnet]:[United Energy]],0))*
INDEX(Input_Usage[[F-CurrentVDO_Input]:[F-NextVDO_Input]],MATCH($D26&amp;" - Shoulder",Input_Usage[[Ref]:[Ref]],0),MATCH($D$21,Inputs!$I$133:$M$133,0))),0)+
(INDEX(OP_TotalRates_RES_2[[Ausnet]:[United Energy]],MATCH("Off peak",OP_TotalRates_RES_2[[Rate name]:[Rate name]],0),MATCH(OP_CMAB!G$24,OP_TotalRates_RES_2[[#Headers],[Ausnet]:[United Energy]],0))*
INDEX(Input_Usage[[F-CurrentVDO_Input]:[F-NextVDO_Input]],MATCH($D26&amp;" - Off peak",Input_Usage[[Ref]:[Ref]],0),MATCH($D$21,Inputs!$I$133:$M$133,0))),0),0,1))</f>
        <v>0</v>
      </c>
      <c r="H30" s="94">
        <f>IF($D$21="VDO 2021 - Final",
IF(H26=
ROUNDUP(
(INDEX(OP_TotalRates_RES_2[[Ausnet]:[United Energy]],MATCH("Anytime - supply",OP_TotalRates_RES_2[[Rate name]:[Rate name]],0),MATCH(OP_CMAB!H$24,OP_TotalRates_RES_2[[#Headers],[Ausnet]:[United Energy]],0))*DiY)+
(IFERROR((INDEX(OP_TotalRates_RES_2[[Ausnet]:[United Energy]],MATCH("Block 1",OP_TotalRates_RES_2[[Rate name]:[Rate name]],0),MATCH(OP_CMAB!H$24,OP_TotalRates_RES_2[[#Headers],[Ausnet]:[United Energy]],0))*
INDEX(Input_Usage[[F-CurrentVDO_Input]:[F-NextVDO_Input]],MATCH(OP_CMAB!$D26&amp;" - Block 1",Input_Usage[[Ref]:[Ref]],0),MATCH(OP_CMAB!$D$21,Inputs!$I$133:$M$133,0))),0)+
IFERROR((INDEX(OP_TotalRates_RES_2[[Ausnet]:[United Energy]],MATCH("Balance",OP_TotalRates_RES_2[[Rate name]:[Rate name]],0),MATCH(OP_CMAB!H$24,OP_TotalRates_RES_2[[#Headers],[Ausnet]:[United Energy]],0))*
INDEX(Input_Usage[[F-CurrentVDO_Input]:[F-NextVDO_Input]],MATCH(OP_CMAB!$D26&amp;" - Balance",Input_Usage[[Ref]:[Ref]],0),MATCH(OP_CMAB!$D$21,Inputs!$I$133:$M$133,0))),0)+
IFERROR((INDEX(OP_TotalRates_RES_2[[Ausnet]:[United Energy]],MATCH("Single rate",OP_TotalRates_RES_2[[Rate name]:[Rate name]],0),MATCH(OP_CMAB!H$24,OP_TotalRates_RES_2[[#Headers],[Ausnet]:[United Energy]],0))*
INDEX(Input_Usage[[F-CurrentVDO_Input]:[F-NextVDO_Input]],MATCH(OP_CMAB!$D26&amp;" - Annual",Input_Usage[[Ref]:[Ref]],0),MATCH(OP_CMAB!$D$21,Inputs!$I$133:$M$133,0))),0)),0),0,1),
IF(H26=
ROUNDUP(
(INDEX(OP_TotalRates_RES_2[[Ausnet]:[United Energy]],MATCH("TOU - supply",OP_TotalRates_RES_2[[Rate name]:[Rate name]],0),MATCH(OP_CMAB!H$24,OP_TotalRates_RES_2[[#Headers],[Ausnet]:[United Energy]],0))*DiY)+
(INDEX(OP_TotalRates_RES_2[[Ausnet]:[United Energy]],MATCH("Peak",OP_TotalRates_RES_2[[Rate name]:[Rate name]],0),MATCH(OP_CMAB!H$24,OP_TotalRates_RES_2[[#Headers],[Ausnet]:[United Energy]],0))*
INDEX(Input_Usage[[F-CurrentVDO_Input]:[F-NextVDO_Input]],MATCH($D26&amp;" - Peak",Input_Usage[[Ref]:[Ref]],0),MATCH($D$21,Inputs!$I$133:$M$133,0)))+
IFERROR((INDEX(OP_TotalRates_RES_2[[Ausnet]:[United Energy]],MATCH("TOU - Shoulder",OP_TotalRates_RES_2[[Rate name]:[Rate name]],0),MATCH(OP_CMAB!H$24,OP_TotalRates_RES_2[[#Headers],[Ausnet]:[United Energy]],0))*
INDEX(Input_Usage[[F-CurrentVDO_Input]:[F-NextVDO_Input]],MATCH($D26&amp;" - Shoulder",Input_Usage[[Ref]:[Ref]],0),MATCH($D$21,Inputs!$I$133:$M$133,0))),0)+
(INDEX(OP_TotalRates_RES_2[[Ausnet]:[United Energy]],MATCH("Off peak",OP_TotalRates_RES_2[[Rate name]:[Rate name]],0),MATCH(OP_CMAB!H$24,OP_TotalRates_RES_2[[#Headers],[Ausnet]:[United Energy]],0))*
INDEX(Input_Usage[[F-CurrentVDO_Input]:[F-NextVDO_Input]],MATCH($D26&amp;" - Off peak",Input_Usage[[Ref]:[Ref]],0),MATCH($D$21,Inputs!$I$133:$M$133,0))),0),0,1))</f>
        <v>0</v>
      </c>
      <c r="I30" s="94">
        <f>IF($D$21="VDO 2021 - Final",
IF(I26=
ROUNDUP(
(INDEX(OP_TotalRates_RES_2[[Ausnet]:[United Energy]],MATCH("Anytime - supply",OP_TotalRates_RES_2[[Rate name]:[Rate name]],0),MATCH(OP_CMAB!I$24,OP_TotalRates_RES_2[[#Headers],[Ausnet]:[United Energy]],0))*DiY)+
(IFERROR((INDEX(OP_TotalRates_RES_2[[Ausnet]:[United Energy]],MATCH("Block 1",OP_TotalRates_RES_2[[Rate name]:[Rate name]],0),MATCH(OP_CMAB!I$24,OP_TotalRates_RES_2[[#Headers],[Ausnet]:[United Energy]],0))*
INDEX(Input_Usage[[F-CurrentVDO_Input]:[F-NextVDO_Input]],MATCH(OP_CMAB!$D26&amp;" - Block 1",Input_Usage[[Ref]:[Ref]],0),MATCH(OP_CMAB!$D$21,Inputs!$I$133:$M$133,0))),0)+
IFERROR((INDEX(OP_TotalRates_RES_2[[Ausnet]:[United Energy]],MATCH("Balance",OP_TotalRates_RES_2[[Rate name]:[Rate name]],0),MATCH(OP_CMAB!I$24,OP_TotalRates_RES_2[[#Headers],[Ausnet]:[United Energy]],0))*
INDEX(Input_Usage[[F-CurrentVDO_Input]:[F-NextVDO_Input]],MATCH(OP_CMAB!$D26&amp;" - Balance",Input_Usage[[Ref]:[Ref]],0),MATCH(OP_CMAB!$D$21,Inputs!$I$133:$M$133,0))),0)+
IFERROR((INDEX(OP_TotalRates_RES_2[[Ausnet]:[United Energy]],MATCH("Single rate",OP_TotalRates_RES_2[[Rate name]:[Rate name]],0),MATCH(OP_CMAB!I$24,OP_TotalRates_RES_2[[#Headers],[Ausnet]:[United Energy]],0))*
INDEX(Input_Usage[[F-CurrentVDO_Input]:[F-NextVDO_Input]],MATCH(OP_CMAB!$D26&amp;" - Annual",Input_Usage[[Ref]:[Ref]],0),MATCH(OP_CMAB!$D$21,Inputs!$I$133:$M$133,0))),0)),0),0,1),
IF(I26=
ROUNDUP(
(INDEX(OP_TotalRates_RES_2[[Ausnet]:[United Energy]],MATCH("TOU - supply",OP_TotalRates_RES_2[[Rate name]:[Rate name]],0),MATCH(OP_CMAB!I$24,OP_TotalRates_RES_2[[#Headers],[Ausnet]:[United Energy]],0))*DiY)+
(INDEX(OP_TotalRates_RES_2[[Ausnet]:[United Energy]],MATCH("Peak",OP_TotalRates_RES_2[[Rate name]:[Rate name]],0),MATCH(OP_CMAB!I$24,OP_TotalRates_RES_2[[#Headers],[Ausnet]:[United Energy]],0))*
INDEX(Input_Usage[[F-CurrentVDO_Input]:[F-NextVDO_Input]],MATCH($D26&amp;" - Peak",Input_Usage[[Ref]:[Ref]],0),MATCH($D$21,Inputs!$I$133:$M$133,0)))+
IFERROR((INDEX(OP_TotalRates_RES_2[[Ausnet]:[United Energy]],MATCH("TOU - Shoulder",OP_TotalRates_RES_2[[Rate name]:[Rate name]],0),MATCH(OP_CMAB!I$24,OP_TotalRates_RES_2[[#Headers],[Ausnet]:[United Energy]],0))*
INDEX(Input_Usage[[F-CurrentVDO_Input]:[F-NextVDO_Input]],MATCH($D26&amp;" - Shoulder",Input_Usage[[Ref]:[Ref]],0),MATCH($D$21,Inputs!$I$133:$M$133,0))),0)+
(INDEX(OP_TotalRates_RES_2[[Ausnet]:[United Energy]],MATCH("Off peak",OP_TotalRates_RES_2[[Rate name]:[Rate name]],0),MATCH(OP_CMAB!I$24,OP_TotalRates_RES_2[[#Headers],[Ausnet]:[United Energy]],0))*
INDEX(Input_Usage[[F-CurrentVDO_Input]:[F-NextVDO_Input]],MATCH($D26&amp;" - Off peak",Input_Usage[[Ref]:[Ref]],0),MATCH($D$21,Inputs!$I$133:$M$133,0))),0),0,1))</f>
        <v>0</v>
      </c>
      <c r="M30" s="94">
        <f>IF($D$21="VDO 2021 - Final",
IF(M26=
ROUNDUP(
(INDEX(OP_TotalRates_SME_2[[Ausnet]:[United Energy]],MATCH("Anytime - supply",OP_TotalRates_SME_2[[Rate name]:[Rate name]],0),MATCH(OP_CMAB!M$24,OP_TotalRates_SME_2[[#Headers],[Ausnet]:[United Energy]],0))*DiY)+
(IFERROR((INDEX(OP_TotalRates_SME_2[[Ausnet]:[United Energy]],MATCH("Block 1",OP_TotalRates_SME_2[[Rate name]:[Rate name]],0),MATCH(OP_CMAB!M$24,OP_TotalRates_SME_2[[#Headers],[Ausnet]:[United Energy]],0))*
INDEX(Input_Usage[[F-CurrentVDO_Input]:[F-NextVDO_Input]],MATCH(OP_CMAB!$L26&amp;" - Block 1",Input_Usage[[Ref]:[Ref]],0),MATCH(OP_CMAB!$D$21,Inputs!$I$133:$M$133,0))),0)+
IFERROR((INDEX(OP_TotalRates_SME_2[[Ausnet]:[United Energy]],MATCH("Balance",OP_TotalRates_SME_2[[Rate name]:[Rate name]],0),MATCH(OP_CMAB!M$24,OP_TotalRates_SME_2[[#Headers],[Ausnet]:[United Energy]],0))*
INDEX(Input_Usage[[F-CurrentVDO_Input]:[F-NextVDO_Input]],MATCH(OP_CMAB!$L26&amp;" - Balance",Input_Usage[[Ref]:[Ref]],0),MATCH(OP_CMAB!$D$21,Inputs!$I$133:$M$133,0))),0)+
IFERROR((INDEX(OP_TotalRates_SME_2[[Ausnet]:[United Energy]],MATCH("Single rate",OP_TotalRates_SME_2[[Rate name]:[Rate name]],0),MATCH(OP_CMAB!M$24,OP_TotalRates_SME_2[[#Headers],[Ausnet]:[United Energy]],0))*
INDEX(Input_Usage[[F-CurrentVDO_Input]:[F-NextVDO_Input]],MATCH(OP_CMAB!$L26&amp;" - Annual",Input_Usage[[Ref]:[Ref]],0),MATCH(OP_CMAB!$D$21,Inputs!$I$133:$M$133,0))),0)),0),0,1),
IF(M26=
ROUNDUP(
(INDEX(OP_TotalRates_SME_2[[Ausnet]:[United Energy]],MATCH("TOU - supply",OP_TotalRates_SME_2[[Rate name]:[Rate name]],0),MATCH(OP_CMAB!M$24,OP_TotalRates_SME_2[[#Headers],[Ausnet]:[United Energy]],0))*DiY)+
(INDEX(OP_TotalRates_SME_2[[Ausnet]:[United Energy]],MATCH("Peak",OP_TotalRates_SME_2[[Rate name]:[Rate name]],0),MATCH(OP_CMAB!M$24,OP_TotalRates_SME_2[[#Headers],[Ausnet]:[United Energy]],0))*
INDEX(Input_Usage[[F-CurrentVDO_Input]:[F-NextVDO_Input]],MATCH($L26&amp;" - Peak",Input_Usage[[Ref]:[Ref]],0),MATCH($D$21,Inputs!$I$133:$M$133,0)))+
IFERROR((INDEX(OP_TotalRates_SME_2[[Ausnet]:[United Energy]],MATCH("TOU - Shoulder",OP_TotalRates_SME_2[[Rate name]:[Rate name]],0),MATCH(OP_CMAB!M$24,OP_TotalRates_SME_2[[#Headers],[Ausnet]:[United Energy]],0))*
INDEX(Input_Usage[[F-CurrentVDO_Input]:[F-NextVDO_Input]],MATCH($L26&amp;" - Shoulder",Input_Usage[[Ref]:[Ref]],0),MATCH($D$21,Inputs!$I$133:$M$133,0))),0)+
(INDEX(OP_TotalRates_SME_2[[Ausnet]:[United Energy]],MATCH("Off peak",OP_TotalRates_SME_2[[Rate name]:[Rate name]],0),MATCH(OP_CMAB!M$24,OP_TotalRates_SME_2[[#Headers],[Ausnet]:[United Energy]],0))*
INDEX(Input_Usage[[F-CurrentVDO_Input]:[F-NextVDO_Input]],MATCH($L26&amp;" - Off peak",Input_Usage[[Ref]:[Ref]],0),MATCH($D$21,Inputs!$I$133:$M$133,0))),0),0,1))</f>
        <v>0</v>
      </c>
      <c r="N30" s="94">
        <f>IF($D$21="VDO 2021 - Final",
IF(N26=
ROUNDUP(
(INDEX(OP_TotalRates_SME_2[[Ausnet]:[United Energy]],MATCH("Anytime - supply",OP_TotalRates_SME_2[[Rate name]:[Rate name]],0),MATCH(OP_CMAB!N$24,OP_TotalRates_SME_2[[#Headers],[Ausnet]:[United Energy]],0))*DiY)+
(IFERROR((INDEX(OP_TotalRates_SME_2[[Ausnet]:[United Energy]],MATCH("Block 1",OP_TotalRates_SME_2[[Rate name]:[Rate name]],0),MATCH(OP_CMAB!N$24,OP_TotalRates_SME_2[[#Headers],[Ausnet]:[United Energy]],0))*
INDEX(Input_Usage[[F-CurrentVDO_Input]:[F-NextVDO_Input]],MATCH(OP_CMAB!$L26&amp;" - Block 1",Input_Usage[[Ref]:[Ref]],0),MATCH(OP_CMAB!$D$21,Inputs!$I$133:$M$133,0))),0)+
IFERROR((INDEX(OP_TotalRates_SME_2[[Ausnet]:[United Energy]],MATCH("Balance",OP_TotalRates_SME_2[[Rate name]:[Rate name]],0),MATCH(OP_CMAB!N$24,OP_TotalRates_SME_2[[#Headers],[Ausnet]:[United Energy]],0))*
INDEX(Input_Usage[[F-CurrentVDO_Input]:[F-NextVDO_Input]],MATCH(OP_CMAB!$L26&amp;" - Balance",Input_Usage[[Ref]:[Ref]],0),MATCH(OP_CMAB!$D$21,Inputs!$I$133:$M$133,0))),0)+
IFERROR((INDEX(OP_TotalRates_SME_2[[Ausnet]:[United Energy]],MATCH("Single rate",OP_TotalRates_SME_2[[Rate name]:[Rate name]],0),MATCH(OP_CMAB!N$24,OP_TotalRates_SME_2[[#Headers],[Ausnet]:[United Energy]],0))*
INDEX(Input_Usage[[F-CurrentVDO_Input]:[F-NextVDO_Input]],MATCH(OP_CMAB!$L26&amp;" - Annual",Input_Usage[[Ref]:[Ref]],0),MATCH(OP_CMAB!$D$21,Inputs!$I$133:$M$133,0))),0)),0),0,1),
IF(N26=
ROUNDUP(
(INDEX(OP_TotalRates_SME_2[[Ausnet]:[United Energy]],MATCH("TOU - supply",OP_TotalRates_SME_2[[Rate name]:[Rate name]],0),MATCH(OP_CMAB!N$24,OP_TotalRates_SME_2[[#Headers],[Ausnet]:[United Energy]],0))*DiY)+
(INDEX(OP_TotalRates_SME_2[[Ausnet]:[United Energy]],MATCH("Peak",OP_TotalRates_SME_2[[Rate name]:[Rate name]],0),MATCH(OP_CMAB!N$24,OP_TotalRates_SME_2[[#Headers],[Ausnet]:[United Energy]],0))*
INDEX(Input_Usage[[F-CurrentVDO_Input]:[F-NextVDO_Input]],MATCH($L26&amp;" - Peak",Input_Usage[[Ref]:[Ref]],0),MATCH($D$21,Inputs!$I$133:$M$133,0)))+
IFERROR((INDEX(OP_TotalRates_SME_2[[Ausnet]:[United Energy]],MATCH("TOU - Shoulder",OP_TotalRates_SME_2[[Rate name]:[Rate name]],0),MATCH(OP_CMAB!N$24,OP_TotalRates_SME_2[[#Headers],[Ausnet]:[United Energy]],0))*
INDEX(Input_Usage[[F-CurrentVDO_Input]:[F-NextVDO_Input]],MATCH($L26&amp;" - Shoulder",Input_Usage[[Ref]:[Ref]],0),MATCH($D$21,Inputs!$I$133:$M$133,0))),0)+
(INDEX(OP_TotalRates_SME_2[[Ausnet]:[United Energy]],MATCH("Off peak",OP_TotalRates_SME_2[[Rate name]:[Rate name]],0),MATCH(OP_CMAB!N$24,OP_TotalRates_SME_2[[#Headers],[Ausnet]:[United Energy]],0))*
INDEX(Input_Usage[[F-CurrentVDO_Input]:[F-NextVDO_Input]],MATCH($L26&amp;" - Off peak",Input_Usage[[Ref]:[Ref]],0),MATCH($D$21,Inputs!$I$133:$M$133,0))),0),0,1))</f>
        <v>0</v>
      </c>
      <c r="O30" s="94">
        <f>IF($D$21="VDO 2021 - Final",
IF(O26=
ROUNDUP(
(INDEX(OP_TotalRates_SME_2[[Ausnet]:[United Energy]],MATCH("Anytime - supply",OP_TotalRates_SME_2[[Rate name]:[Rate name]],0),MATCH(OP_CMAB!O$24,OP_TotalRates_SME_2[[#Headers],[Ausnet]:[United Energy]],0))*DiY)+
(IFERROR((INDEX(OP_TotalRates_SME_2[[Ausnet]:[United Energy]],MATCH("Block 1",OP_TotalRates_SME_2[[Rate name]:[Rate name]],0),MATCH(OP_CMAB!O$24,OP_TotalRates_SME_2[[#Headers],[Ausnet]:[United Energy]],0))*
INDEX(Input_Usage[[F-CurrentVDO_Input]:[F-NextVDO_Input]],MATCH(OP_CMAB!$L26&amp;" - Block 1",Input_Usage[[Ref]:[Ref]],0),MATCH(OP_CMAB!$D$21,Inputs!$I$133:$M$133,0))),0)+
IFERROR((INDEX(OP_TotalRates_SME_2[[Ausnet]:[United Energy]],MATCH("Balance",OP_TotalRates_SME_2[[Rate name]:[Rate name]],0),MATCH(OP_CMAB!O$24,OP_TotalRates_SME_2[[#Headers],[Ausnet]:[United Energy]],0))*
INDEX(Input_Usage[[F-CurrentVDO_Input]:[F-NextVDO_Input]],MATCH(OP_CMAB!$L26&amp;" - Balance",Input_Usage[[Ref]:[Ref]],0),MATCH(OP_CMAB!$D$21,Inputs!$I$133:$M$133,0))),0)+
IFERROR((INDEX(OP_TotalRates_SME_2[[Ausnet]:[United Energy]],MATCH("Single rate",OP_TotalRates_SME_2[[Rate name]:[Rate name]],0),MATCH(OP_CMAB!O$24,OP_TotalRates_SME_2[[#Headers],[Ausnet]:[United Energy]],0))*
INDEX(Input_Usage[[F-CurrentVDO_Input]:[F-NextVDO_Input]],MATCH(OP_CMAB!$L26&amp;" - Annual",Input_Usage[[Ref]:[Ref]],0),MATCH(OP_CMAB!$D$21,Inputs!$I$133:$M$133,0))),0)),0),0,1),
IF(O26=
ROUNDUP(
(INDEX(OP_TotalRates_SME_2[[Ausnet]:[United Energy]],MATCH("TOU - supply",OP_TotalRates_SME_2[[Rate name]:[Rate name]],0),MATCH(OP_CMAB!O$24,OP_TotalRates_SME_2[[#Headers],[Ausnet]:[United Energy]],0))*DiY)+
(INDEX(OP_TotalRates_SME_2[[Ausnet]:[United Energy]],MATCH("Peak",OP_TotalRates_SME_2[[Rate name]:[Rate name]],0),MATCH(OP_CMAB!O$24,OP_TotalRates_SME_2[[#Headers],[Ausnet]:[United Energy]],0))*
INDEX(Input_Usage[[F-CurrentVDO_Input]:[F-NextVDO_Input]],MATCH($L26&amp;" - Peak",Input_Usage[[Ref]:[Ref]],0),MATCH($D$21,Inputs!$I$133:$M$133,0)))+
IFERROR((INDEX(OP_TotalRates_SME_2[[Ausnet]:[United Energy]],MATCH("TOU - Shoulder",OP_TotalRates_SME_2[[Rate name]:[Rate name]],0),MATCH(OP_CMAB!O$24,OP_TotalRates_SME_2[[#Headers],[Ausnet]:[United Energy]],0))*
INDEX(Input_Usage[[F-CurrentVDO_Input]:[F-NextVDO_Input]],MATCH($L26&amp;" - Shoulder",Input_Usage[[Ref]:[Ref]],0),MATCH($D$21,Inputs!$I$133:$M$133,0))),0)+
(INDEX(OP_TotalRates_SME_2[[Ausnet]:[United Energy]],MATCH("Off peak",OP_TotalRates_SME_2[[Rate name]:[Rate name]],0),MATCH(OP_CMAB!O$24,OP_TotalRates_SME_2[[#Headers],[Ausnet]:[United Energy]],0))*
INDEX(Input_Usage[[F-CurrentVDO_Input]:[F-NextVDO_Input]],MATCH($L26&amp;" - Off peak",Input_Usage[[Ref]:[Ref]],0),MATCH($D$21,Inputs!$I$133:$M$133,0))),0),0,1))</f>
        <v>0</v>
      </c>
      <c r="P30" s="94">
        <f>IF($D$21="VDO 2021 - Final",
IF(P26=
ROUNDUP(
(INDEX(OP_TotalRates_SME_2[[Ausnet]:[United Energy]],MATCH("Anytime - supply",OP_TotalRates_SME_2[[Rate name]:[Rate name]],0),MATCH(OP_CMAB!P$24,OP_TotalRates_SME_2[[#Headers],[Ausnet]:[United Energy]],0))*DiY)+
(IFERROR((INDEX(OP_TotalRates_SME_2[[Ausnet]:[United Energy]],MATCH("Block 1",OP_TotalRates_SME_2[[Rate name]:[Rate name]],0),MATCH(OP_CMAB!P$24,OP_TotalRates_SME_2[[#Headers],[Ausnet]:[United Energy]],0))*
INDEX(Input_Usage[[F-CurrentVDO_Input]:[F-NextVDO_Input]],MATCH(OP_CMAB!$L26&amp;" - Block 1",Input_Usage[[Ref]:[Ref]],0),MATCH(OP_CMAB!$D$21,Inputs!$I$133:$M$133,0))),0)+
IFERROR((INDEX(OP_TotalRates_SME_2[[Ausnet]:[United Energy]],MATCH("Balance",OP_TotalRates_SME_2[[Rate name]:[Rate name]],0),MATCH(OP_CMAB!P$24,OP_TotalRates_SME_2[[#Headers],[Ausnet]:[United Energy]],0))*
INDEX(Input_Usage[[F-CurrentVDO_Input]:[F-NextVDO_Input]],MATCH(OP_CMAB!$L26&amp;" - Balance",Input_Usage[[Ref]:[Ref]],0),MATCH(OP_CMAB!$D$21,Inputs!$I$133:$M$133,0))),0)+
IFERROR((INDEX(OP_TotalRates_SME_2[[Ausnet]:[United Energy]],MATCH("Single rate",OP_TotalRates_SME_2[[Rate name]:[Rate name]],0),MATCH(OP_CMAB!P$24,OP_TotalRates_SME_2[[#Headers],[Ausnet]:[United Energy]],0))*
INDEX(Input_Usage[[F-CurrentVDO_Input]:[F-NextVDO_Input]],MATCH(OP_CMAB!$L26&amp;" - Annual",Input_Usage[[Ref]:[Ref]],0),MATCH(OP_CMAB!$D$21,Inputs!$I$133:$M$133,0))),0)),0),0,1),
IF(P26=
ROUNDUP(
(INDEX(OP_TotalRates_SME_2[[Ausnet]:[United Energy]],MATCH("TOU - supply",OP_TotalRates_SME_2[[Rate name]:[Rate name]],0),MATCH(OP_CMAB!P$24,OP_TotalRates_SME_2[[#Headers],[Ausnet]:[United Energy]],0))*DiY)+
(INDEX(OP_TotalRates_SME_2[[Ausnet]:[United Energy]],MATCH("Peak",OP_TotalRates_SME_2[[Rate name]:[Rate name]],0),MATCH(OP_CMAB!P$24,OP_TotalRates_SME_2[[#Headers],[Ausnet]:[United Energy]],0))*
INDEX(Input_Usage[[F-CurrentVDO_Input]:[F-NextVDO_Input]],MATCH($L26&amp;" - Peak",Input_Usage[[Ref]:[Ref]],0),MATCH($D$21,Inputs!$I$133:$M$133,0)))+
IFERROR((INDEX(OP_TotalRates_SME_2[[Ausnet]:[United Energy]],MATCH("TOU - Shoulder",OP_TotalRates_SME_2[[Rate name]:[Rate name]],0),MATCH(OP_CMAB!P$24,OP_TotalRates_SME_2[[#Headers],[Ausnet]:[United Energy]],0))*
INDEX(Input_Usage[[F-CurrentVDO_Input]:[F-NextVDO_Input]],MATCH($L26&amp;" - Shoulder",Input_Usage[[Ref]:[Ref]],0),MATCH($D$21,Inputs!$I$133:$M$133,0))),0)+
(INDEX(OP_TotalRates_SME_2[[Ausnet]:[United Energy]],MATCH("Off peak",OP_TotalRates_SME_2[[Rate name]:[Rate name]],0),MATCH(OP_CMAB!P$24,OP_TotalRates_SME_2[[#Headers],[Ausnet]:[United Energy]],0))*
INDEX(Input_Usage[[F-CurrentVDO_Input]:[F-NextVDO_Input]],MATCH($L26&amp;" - Off peak",Input_Usage[[Ref]:[Ref]],0),MATCH($D$21,Inputs!$I$133:$M$133,0))),0),0,1))</f>
        <v>0</v>
      </c>
      <c r="Q30" s="94">
        <f>IF($D$21="VDO 2021 - Final",
IF(Q26=
ROUNDUP(
(INDEX(OP_TotalRates_SME_2[[Ausnet]:[United Energy]],MATCH("Anytime - supply",OP_TotalRates_SME_2[[Rate name]:[Rate name]],0),MATCH(OP_CMAB!Q$24,OP_TotalRates_SME_2[[#Headers],[Ausnet]:[United Energy]],0))*DiY)+
(IFERROR((INDEX(OP_TotalRates_SME_2[[Ausnet]:[United Energy]],MATCH("Block 1",OP_TotalRates_SME_2[[Rate name]:[Rate name]],0),MATCH(OP_CMAB!Q$24,OP_TotalRates_SME_2[[#Headers],[Ausnet]:[United Energy]],0))*
INDEX(Input_Usage[[F-CurrentVDO_Input]:[F-NextVDO_Input]],MATCH(OP_CMAB!$L26&amp;" - Block 1",Input_Usage[[Ref]:[Ref]],0),MATCH(OP_CMAB!$D$21,Inputs!$I$133:$M$133,0))),0)+
IFERROR((INDEX(OP_TotalRates_SME_2[[Ausnet]:[United Energy]],MATCH("Balance",OP_TotalRates_SME_2[[Rate name]:[Rate name]],0),MATCH(OP_CMAB!Q$24,OP_TotalRates_SME_2[[#Headers],[Ausnet]:[United Energy]],0))*
INDEX(Input_Usage[[F-CurrentVDO_Input]:[F-NextVDO_Input]],MATCH(OP_CMAB!$L26&amp;" - Balance",Input_Usage[[Ref]:[Ref]],0),MATCH(OP_CMAB!$D$21,Inputs!$I$133:$M$133,0))),0)+
IFERROR((INDEX(OP_TotalRates_SME_2[[Ausnet]:[United Energy]],MATCH("Single rate",OP_TotalRates_SME_2[[Rate name]:[Rate name]],0),MATCH(OP_CMAB!Q$24,OP_TotalRates_SME_2[[#Headers],[Ausnet]:[United Energy]],0))*
INDEX(Input_Usage[[F-CurrentVDO_Input]:[F-NextVDO_Input]],MATCH(OP_CMAB!$L26&amp;" - Annual",Input_Usage[[Ref]:[Ref]],0),MATCH(OP_CMAB!$D$21,Inputs!$I$133:$M$133,0))),0)),0),0,1),
IF(Q26=
ROUNDUP(
(INDEX(OP_TotalRates_SME_2[[Ausnet]:[United Energy]],MATCH("TOU - supply",OP_TotalRates_SME_2[[Rate name]:[Rate name]],0),MATCH(OP_CMAB!Q$24,OP_TotalRates_SME_2[[#Headers],[Ausnet]:[United Energy]],0))*DiY)+
(INDEX(OP_TotalRates_SME_2[[Ausnet]:[United Energy]],MATCH("Peak",OP_TotalRates_SME_2[[Rate name]:[Rate name]],0),MATCH(OP_CMAB!Q$24,OP_TotalRates_SME_2[[#Headers],[Ausnet]:[United Energy]],0))*
INDEX(Input_Usage[[F-CurrentVDO_Input]:[F-NextVDO_Input]],MATCH($L26&amp;" - Peak",Input_Usage[[Ref]:[Ref]],0),MATCH($D$21,Inputs!$I$133:$M$133,0)))+
IFERROR((INDEX(OP_TotalRates_SME_2[[Ausnet]:[United Energy]],MATCH("TOU - Shoulder",OP_TotalRates_SME_2[[Rate name]:[Rate name]],0),MATCH(OP_CMAB!Q$24,OP_TotalRates_SME_2[[#Headers],[Ausnet]:[United Energy]],0))*
INDEX(Input_Usage[[F-CurrentVDO_Input]:[F-NextVDO_Input]],MATCH($L26&amp;" - Shoulder",Input_Usage[[Ref]:[Ref]],0),MATCH($D$21,Inputs!$I$133:$M$133,0))),0)+
(INDEX(OP_TotalRates_SME_2[[Ausnet]:[United Energy]],MATCH("Off peak",OP_TotalRates_SME_2[[Rate name]:[Rate name]],0),MATCH(OP_CMAB!Q$24,OP_TotalRates_SME_2[[#Headers],[Ausnet]:[United Energy]],0))*
INDEX(Input_Usage[[F-CurrentVDO_Input]:[F-NextVDO_Input]],MATCH($L26&amp;" - Off peak",Input_Usage[[Ref]:[Ref]],0),MATCH($D$21,Inputs!$I$133:$M$133,0))),0),0,1))</f>
        <v>0</v>
      </c>
    </row>
    <row r="31" spans="1:18" ht="15.75" hidden="1" x14ac:dyDescent="0.25">
      <c r="E31" s="94">
        <f>IF($D$21="VDO 2021 - Final",
IF(E27=
ROUNDUP(
(INDEX(OP_TotalRates_RES_2[[Ausnet]:[United Energy]],MATCH("Anytime - supply",OP_TotalRates_RES_2[[Rate name]:[Rate name]],0),MATCH(OP_CMAB!E$24,OP_TotalRates_RES_2[[#Headers],[Ausnet]:[United Energy]],0))*DiY)+
(IFERROR((INDEX(OP_TotalRates_RES_2[[Ausnet]:[United Energy]],MATCH("Block 1",OP_TotalRates_RES_2[[Rate name]:[Rate name]],0),MATCH(OP_CMAB!E$24,OP_TotalRates_RES_2[[#Headers],[Ausnet]:[United Energy]],0))*
INDEX(Input_Usage[[F-CurrentVDO_Input]:[F-NextVDO_Input]],MATCH(OP_CMAB!$D27&amp;" - Block 1",Input_Usage[[Ref]:[Ref]],0),MATCH(OP_CMAB!$D$21,Inputs!$I$133:$M$133,0))),0)+
IFERROR((INDEX(OP_TotalRates_RES_2[[Ausnet]:[United Energy]],MATCH("Balance",OP_TotalRates_RES_2[[Rate name]:[Rate name]],0),MATCH(OP_CMAB!E$24,OP_TotalRates_RES_2[[#Headers],[Ausnet]:[United Energy]],0))*
INDEX(Input_Usage[[F-CurrentVDO_Input]:[F-NextVDO_Input]],MATCH(OP_CMAB!$D27&amp;" - Balance",Input_Usage[[Ref]:[Ref]],0),MATCH(OP_CMAB!$D$21,Inputs!$I$133:$M$133,0))),0)+
IFERROR((INDEX(OP_TotalRates_RES_2[[Ausnet]:[United Energy]],MATCH("Single rate",OP_TotalRates_RES_2[[Rate name]:[Rate name]],0),MATCH(OP_CMAB!E$24,OP_TotalRates_RES_2[[#Headers],[Ausnet]:[United Energy]],0))*
INDEX(Input_Usage[[F-CurrentVDO_Input]:[F-NextVDO_Input]],MATCH(OP_CMAB!$D27&amp;" - Annual",Input_Usage[[Ref]:[Ref]],0),MATCH(OP_CMAB!$D$21,Inputs!$I$133:$M$133,0))),0)),0),0,1),
IF(E27=
ROUNDUP(
(INDEX(OP_TotalRates_RES_2[[Ausnet]:[United Energy]],MATCH("TOU - supply",OP_TotalRates_RES_2[[Rate name]:[Rate name]],0),MATCH(OP_CMAB!E$24,OP_TotalRates_RES_2[[#Headers],[Ausnet]:[United Energy]],0))*DiY)+
(INDEX(OP_TotalRates_RES_2[[Ausnet]:[United Energy]],MATCH("Peak",OP_TotalRates_RES_2[[Rate name]:[Rate name]],0),MATCH(OP_CMAB!E$24,OP_TotalRates_RES_2[[#Headers],[Ausnet]:[United Energy]],0))*
INDEX(Input_Usage[[F-CurrentVDO_Input]:[F-NextVDO_Input]],MATCH($D27&amp;" - Peak",Input_Usage[[Ref]:[Ref]],0),MATCH($D$21,Inputs!$I$133:$M$133,0)))+
IFERROR((INDEX(OP_TotalRates_RES_2[[Ausnet]:[United Energy]],MATCH("TOU - Shoulder",OP_TotalRates_RES_2[[Rate name]:[Rate name]],0),MATCH(OP_CMAB!E$24,OP_TotalRates_RES_2[[#Headers],[Ausnet]:[United Energy]],0))*
INDEX(Input_Usage[[F-CurrentVDO_Input]:[F-NextVDO_Input]],MATCH($D27&amp;" - Shoulder",Input_Usage[[Ref]:[Ref]],0),MATCH($D$21,Inputs!$I$133:$M$133,0))),0)+
(INDEX(OP_TotalRates_RES_2[[Ausnet]:[United Energy]],MATCH("Off peak",OP_TotalRates_RES_2[[Rate name]:[Rate name]],0),MATCH(OP_CMAB!E$24,OP_TotalRates_RES_2[[#Headers],[Ausnet]:[United Energy]],0))*
INDEX(Input_Usage[[F-CurrentVDO_Input]:[F-NextVDO_Input]],MATCH($D27&amp;" - Off peak",Input_Usage[[Ref]:[Ref]],0),MATCH($D$21,Inputs!$I$133:$M$133,0))),0),0,1))</f>
        <v>0</v>
      </c>
      <c r="F31" s="94">
        <f>IF($D$21="VDO 2021 - Final",
IF(F27=
ROUNDUP(
(INDEX(OP_TotalRates_RES_2[[Ausnet]:[United Energy]],MATCH("Anytime - supply",OP_TotalRates_RES_2[[Rate name]:[Rate name]],0),MATCH(OP_CMAB!F$24,OP_TotalRates_RES_2[[#Headers],[Ausnet]:[United Energy]],0))*DiY)+
(IFERROR((INDEX(OP_TotalRates_RES_2[[Ausnet]:[United Energy]],MATCH("Block 1",OP_TotalRates_RES_2[[Rate name]:[Rate name]],0),MATCH(OP_CMAB!F$24,OP_TotalRates_RES_2[[#Headers],[Ausnet]:[United Energy]],0))*
INDEX(Input_Usage[[F-CurrentVDO_Input]:[F-NextVDO_Input]],MATCH(OP_CMAB!$D27&amp;" - Block 1",Input_Usage[[Ref]:[Ref]],0),MATCH(OP_CMAB!$D$21,Inputs!$I$133:$M$133,0))),0)+
IFERROR((INDEX(OP_TotalRates_RES_2[[Ausnet]:[United Energy]],MATCH("Balance",OP_TotalRates_RES_2[[Rate name]:[Rate name]],0),MATCH(OP_CMAB!F$24,OP_TotalRates_RES_2[[#Headers],[Ausnet]:[United Energy]],0))*
INDEX(Input_Usage[[F-CurrentVDO_Input]:[F-NextVDO_Input]],MATCH(OP_CMAB!$D27&amp;" - Balance",Input_Usage[[Ref]:[Ref]],0),MATCH(OP_CMAB!$D$21,Inputs!$I$133:$M$133,0))),0)+
IFERROR((INDEX(OP_TotalRates_RES_2[[Ausnet]:[United Energy]],MATCH("Single rate",OP_TotalRates_RES_2[[Rate name]:[Rate name]],0),MATCH(OP_CMAB!F$24,OP_TotalRates_RES_2[[#Headers],[Ausnet]:[United Energy]],0))*
INDEX(Input_Usage[[F-CurrentVDO_Input]:[F-NextVDO_Input]],MATCH(OP_CMAB!$D27&amp;" - Annual",Input_Usage[[Ref]:[Ref]],0),MATCH(OP_CMAB!$D$21,Inputs!$I$133:$M$133,0))),0)),0),0,1),
IF(F27=
ROUNDUP(
(INDEX(OP_TotalRates_RES_2[[Ausnet]:[United Energy]],MATCH("TOU - supply",OP_TotalRates_RES_2[[Rate name]:[Rate name]],0),MATCH(OP_CMAB!F$24,OP_TotalRates_RES_2[[#Headers],[Ausnet]:[United Energy]],0))*DiY)+
(INDEX(OP_TotalRates_RES_2[[Ausnet]:[United Energy]],MATCH("Peak",OP_TotalRates_RES_2[[Rate name]:[Rate name]],0),MATCH(OP_CMAB!F$24,OP_TotalRates_RES_2[[#Headers],[Ausnet]:[United Energy]],0))*
INDEX(Input_Usage[[F-CurrentVDO_Input]:[F-NextVDO_Input]],MATCH($D27&amp;" - Peak",Input_Usage[[Ref]:[Ref]],0),MATCH($D$21,Inputs!$I$133:$M$133,0)))+
IFERROR((INDEX(OP_TotalRates_RES_2[[Ausnet]:[United Energy]],MATCH("TOU - Shoulder",OP_TotalRates_RES_2[[Rate name]:[Rate name]],0),MATCH(OP_CMAB!F$24,OP_TotalRates_RES_2[[#Headers],[Ausnet]:[United Energy]],0))*
INDEX(Input_Usage[[F-CurrentVDO_Input]:[F-NextVDO_Input]],MATCH($D27&amp;" - Shoulder",Input_Usage[[Ref]:[Ref]],0),MATCH($D$21,Inputs!$I$133:$M$133,0))),0)+
(INDEX(OP_TotalRates_RES_2[[Ausnet]:[United Energy]],MATCH("Off peak",OP_TotalRates_RES_2[[Rate name]:[Rate name]],0),MATCH(OP_CMAB!F$24,OP_TotalRates_RES_2[[#Headers],[Ausnet]:[United Energy]],0))*
INDEX(Input_Usage[[F-CurrentVDO_Input]:[F-NextVDO_Input]],MATCH($D27&amp;" - Off peak",Input_Usage[[Ref]:[Ref]],0),MATCH($D$21,Inputs!$I$133:$M$133,0))),0),0,1))</f>
        <v>0</v>
      </c>
      <c r="G31" s="94">
        <f>IF($D$21="VDO 2021 - Final",
IF(G27=
ROUNDUP(
(INDEX(OP_TotalRates_RES_2[[Ausnet]:[United Energy]],MATCH("Anytime - supply",OP_TotalRates_RES_2[[Rate name]:[Rate name]],0),MATCH(OP_CMAB!G$24,OP_TotalRates_RES_2[[#Headers],[Ausnet]:[United Energy]],0))*DiY)+
(IFERROR((INDEX(OP_TotalRates_RES_2[[Ausnet]:[United Energy]],MATCH("Block 1",OP_TotalRates_RES_2[[Rate name]:[Rate name]],0),MATCH(OP_CMAB!G$24,OP_TotalRates_RES_2[[#Headers],[Ausnet]:[United Energy]],0))*
INDEX(Input_Usage[[F-CurrentVDO_Input]:[F-NextVDO_Input]],MATCH(OP_CMAB!$D27&amp;" - Block 1",Input_Usage[[Ref]:[Ref]],0),MATCH(OP_CMAB!$D$21,Inputs!$I$133:$M$133,0))),0)+
IFERROR((INDEX(OP_TotalRates_RES_2[[Ausnet]:[United Energy]],MATCH("Balance",OP_TotalRates_RES_2[[Rate name]:[Rate name]],0),MATCH(OP_CMAB!G$24,OP_TotalRates_RES_2[[#Headers],[Ausnet]:[United Energy]],0))*
INDEX(Input_Usage[[F-CurrentVDO_Input]:[F-NextVDO_Input]],MATCH(OP_CMAB!$D27&amp;" - Balance",Input_Usage[[Ref]:[Ref]],0),MATCH(OP_CMAB!$D$21,Inputs!$I$133:$M$133,0))),0)+
IFERROR((INDEX(OP_TotalRates_RES_2[[Ausnet]:[United Energy]],MATCH("Single rate",OP_TotalRates_RES_2[[Rate name]:[Rate name]],0),MATCH(OP_CMAB!G$24,OP_TotalRates_RES_2[[#Headers],[Ausnet]:[United Energy]],0))*
INDEX(Input_Usage[[F-CurrentVDO_Input]:[F-NextVDO_Input]],MATCH(OP_CMAB!$D27&amp;" - Annual",Input_Usage[[Ref]:[Ref]],0),MATCH(OP_CMAB!$D$21,Inputs!$I$133:$M$133,0))),0)),0),0,1),
IF(G27=
ROUNDUP(
(INDEX(OP_TotalRates_RES_2[[Ausnet]:[United Energy]],MATCH("TOU - supply",OP_TotalRates_RES_2[[Rate name]:[Rate name]],0),MATCH(OP_CMAB!G$24,OP_TotalRates_RES_2[[#Headers],[Ausnet]:[United Energy]],0))*DiY)+
(INDEX(OP_TotalRates_RES_2[[Ausnet]:[United Energy]],MATCH("Peak",OP_TotalRates_RES_2[[Rate name]:[Rate name]],0),MATCH(OP_CMAB!G$24,OP_TotalRates_RES_2[[#Headers],[Ausnet]:[United Energy]],0))*
INDEX(Input_Usage[[F-CurrentVDO_Input]:[F-NextVDO_Input]],MATCH($D27&amp;" - Peak",Input_Usage[[Ref]:[Ref]],0),MATCH($D$21,Inputs!$I$133:$M$133,0)))+
IFERROR((INDEX(OP_TotalRates_RES_2[[Ausnet]:[United Energy]],MATCH("TOU - Shoulder",OP_TotalRates_RES_2[[Rate name]:[Rate name]],0),MATCH(OP_CMAB!G$24,OP_TotalRates_RES_2[[#Headers],[Ausnet]:[United Energy]],0))*
INDEX(Input_Usage[[F-CurrentVDO_Input]:[F-NextVDO_Input]],MATCH($D27&amp;" - Shoulder",Input_Usage[[Ref]:[Ref]],0),MATCH($D$21,Inputs!$I$133:$M$133,0))),0)+
(INDEX(OP_TotalRates_RES_2[[Ausnet]:[United Energy]],MATCH("Off peak",OP_TotalRates_RES_2[[Rate name]:[Rate name]],0),MATCH(OP_CMAB!G$24,OP_TotalRates_RES_2[[#Headers],[Ausnet]:[United Energy]],0))*
INDEX(Input_Usage[[F-CurrentVDO_Input]:[F-NextVDO_Input]],MATCH($D27&amp;" - Off peak",Input_Usage[[Ref]:[Ref]],0),MATCH($D$21,Inputs!$I$133:$M$133,0))),0),0,1))</f>
        <v>0</v>
      </c>
      <c r="H31" s="94">
        <f>IF($D$21="VDO 2021 - Final",
IF(H27=
ROUNDUP(
(INDEX(OP_TotalRates_RES_2[[Ausnet]:[United Energy]],MATCH("Anytime - supply",OP_TotalRates_RES_2[[Rate name]:[Rate name]],0),MATCH(OP_CMAB!H$24,OP_TotalRates_RES_2[[#Headers],[Ausnet]:[United Energy]],0))*DiY)+
(IFERROR((INDEX(OP_TotalRates_RES_2[[Ausnet]:[United Energy]],MATCH("Block 1",OP_TotalRates_RES_2[[Rate name]:[Rate name]],0),MATCH(OP_CMAB!H$24,OP_TotalRates_RES_2[[#Headers],[Ausnet]:[United Energy]],0))*
INDEX(Input_Usage[[F-CurrentVDO_Input]:[F-NextVDO_Input]],MATCH(OP_CMAB!$D27&amp;" - Block 1",Input_Usage[[Ref]:[Ref]],0),MATCH(OP_CMAB!$D$21,Inputs!$I$133:$M$133,0))),0)+
IFERROR((INDEX(OP_TotalRates_RES_2[[Ausnet]:[United Energy]],MATCH("Balance",OP_TotalRates_RES_2[[Rate name]:[Rate name]],0),MATCH(OP_CMAB!H$24,OP_TotalRates_RES_2[[#Headers],[Ausnet]:[United Energy]],0))*
INDEX(Input_Usage[[F-CurrentVDO_Input]:[F-NextVDO_Input]],MATCH(OP_CMAB!$D27&amp;" - Balance",Input_Usage[[Ref]:[Ref]],0),MATCH(OP_CMAB!$D$21,Inputs!$I$133:$M$133,0))),0)+
IFERROR((INDEX(OP_TotalRates_RES_2[[Ausnet]:[United Energy]],MATCH("Single rate",OP_TotalRates_RES_2[[Rate name]:[Rate name]],0),MATCH(OP_CMAB!H$24,OP_TotalRates_RES_2[[#Headers],[Ausnet]:[United Energy]],0))*
INDEX(Input_Usage[[F-CurrentVDO_Input]:[F-NextVDO_Input]],MATCH(OP_CMAB!$D27&amp;" - Annual",Input_Usage[[Ref]:[Ref]],0),MATCH(OP_CMAB!$D$21,Inputs!$I$133:$M$133,0))),0)),0),0,1),
IF(H27=
ROUNDUP(
(INDEX(OP_TotalRates_RES_2[[Ausnet]:[United Energy]],MATCH("TOU - supply",OP_TotalRates_RES_2[[Rate name]:[Rate name]],0),MATCH(OP_CMAB!H$24,OP_TotalRates_RES_2[[#Headers],[Ausnet]:[United Energy]],0))*DiY)+
(INDEX(OP_TotalRates_RES_2[[Ausnet]:[United Energy]],MATCH("Peak",OP_TotalRates_RES_2[[Rate name]:[Rate name]],0),MATCH(OP_CMAB!H$24,OP_TotalRates_RES_2[[#Headers],[Ausnet]:[United Energy]],0))*
INDEX(Input_Usage[[F-CurrentVDO_Input]:[F-NextVDO_Input]],MATCH($D27&amp;" - Peak",Input_Usage[[Ref]:[Ref]],0),MATCH($D$21,Inputs!$I$133:$M$133,0)))+
IFERROR((INDEX(OP_TotalRates_RES_2[[Ausnet]:[United Energy]],MATCH("TOU - Shoulder",OP_TotalRates_RES_2[[Rate name]:[Rate name]],0),MATCH(OP_CMAB!H$24,OP_TotalRates_RES_2[[#Headers],[Ausnet]:[United Energy]],0))*
INDEX(Input_Usage[[F-CurrentVDO_Input]:[F-NextVDO_Input]],MATCH($D27&amp;" - Shoulder",Input_Usage[[Ref]:[Ref]],0),MATCH($D$21,Inputs!$I$133:$M$133,0))),0)+
(INDEX(OP_TotalRates_RES_2[[Ausnet]:[United Energy]],MATCH("Off peak",OP_TotalRates_RES_2[[Rate name]:[Rate name]],0),MATCH(OP_CMAB!H$24,OP_TotalRates_RES_2[[#Headers],[Ausnet]:[United Energy]],0))*
INDEX(Input_Usage[[F-CurrentVDO_Input]:[F-NextVDO_Input]],MATCH($D27&amp;" - Off peak",Input_Usage[[Ref]:[Ref]],0),MATCH($D$21,Inputs!$I$133:$M$133,0))),0),0,1))</f>
        <v>0</v>
      </c>
      <c r="I31" s="94">
        <f>IF($D$21="VDO 2021 - Final",
IF(I27=
ROUNDUP(
(INDEX(OP_TotalRates_RES_2[[Ausnet]:[United Energy]],MATCH("Anytime - supply",OP_TotalRates_RES_2[[Rate name]:[Rate name]],0),MATCH(OP_CMAB!I$24,OP_TotalRates_RES_2[[#Headers],[Ausnet]:[United Energy]],0))*DiY)+
(IFERROR((INDEX(OP_TotalRates_RES_2[[Ausnet]:[United Energy]],MATCH("Block 1",OP_TotalRates_RES_2[[Rate name]:[Rate name]],0),MATCH(OP_CMAB!I$24,OP_TotalRates_RES_2[[#Headers],[Ausnet]:[United Energy]],0))*
INDEX(Input_Usage[[F-CurrentVDO_Input]:[F-NextVDO_Input]],MATCH(OP_CMAB!$D27&amp;" - Block 1",Input_Usage[[Ref]:[Ref]],0),MATCH(OP_CMAB!$D$21,Inputs!$I$133:$M$133,0))),0)+
IFERROR((INDEX(OP_TotalRates_RES_2[[Ausnet]:[United Energy]],MATCH("Balance",OP_TotalRates_RES_2[[Rate name]:[Rate name]],0),MATCH(OP_CMAB!I$24,OP_TotalRates_RES_2[[#Headers],[Ausnet]:[United Energy]],0))*
INDEX(Input_Usage[[F-CurrentVDO_Input]:[F-NextVDO_Input]],MATCH(OP_CMAB!$D27&amp;" - Balance",Input_Usage[[Ref]:[Ref]],0),MATCH(OP_CMAB!$D$21,Inputs!$I$133:$M$133,0))),0)+
IFERROR((INDEX(OP_TotalRates_RES_2[[Ausnet]:[United Energy]],MATCH("Single rate",OP_TotalRates_RES_2[[Rate name]:[Rate name]],0),MATCH(OP_CMAB!I$24,OP_TotalRates_RES_2[[#Headers],[Ausnet]:[United Energy]],0))*
INDEX(Input_Usage[[F-CurrentVDO_Input]:[F-NextVDO_Input]],MATCH(OP_CMAB!$D27&amp;" - Annual",Input_Usage[[Ref]:[Ref]],0),MATCH(OP_CMAB!$D$21,Inputs!$I$133:$M$133,0))),0)),0),0,1),
IF(I27=
ROUNDUP(
(INDEX(OP_TotalRates_RES_2[[Ausnet]:[United Energy]],MATCH("TOU - supply",OP_TotalRates_RES_2[[Rate name]:[Rate name]],0),MATCH(OP_CMAB!I$24,OP_TotalRates_RES_2[[#Headers],[Ausnet]:[United Energy]],0))*DiY)+
(INDEX(OP_TotalRates_RES_2[[Ausnet]:[United Energy]],MATCH("Peak",OP_TotalRates_RES_2[[Rate name]:[Rate name]],0),MATCH(OP_CMAB!I$24,OP_TotalRates_RES_2[[#Headers],[Ausnet]:[United Energy]],0))*
INDEX(Input_Usage[[F-CurrentVDO_Input]:[F-NextVDO_Input]],MATCH($D27&amp;" - Peak",Input_Usage[[Ref]:[Ref]],0),MATCH($D$21,Inputs!$I$133:$M$133,0)))+
IFERROR((INDEX(OP_TotalRates_RES_2[[Ausnet]:[United Energy]],MATCH("TOU - Shoulder",OP_TotalRates_RES_2[[Rate name]:[Rate name]],0),MATCH(OP_CMAB!I$24,OP_TotalRates_RES_2[[#Headers],[Ausnet]:[United Energy]],0))*
INDEX(Input_Usage[[F-CurrentVDO_Input]:[F-NextVDO_Input]],MATCH($D27&amp;" - Shoulder",Input_Usage[[Ref]:[Ref]],0),MATCH($D$21,Inputs!$I$133:$M$133,0))),0)+
(INDEX(OP_TotalRates_RES_2[[Ausnet]:[United Energy]],MATCH("Off peak",OP_TotalRates_RES_2[[Rate name]:[Rate name]],0),MATCH(OP_CMAB!I$24,OP_TotalRates_RES_2[[#Headers],[Ausnet]:[United Energy]],0))*
INDEX(Input_Usage[[F-CurrentVDO_Input]:[F-NextVDO_Input]],MATCH($D27&amp;" - Off peak",Input_Usage[[Ref]:[Ref]],0),MATCH($D$21,Inputs!$I$133:$M$133,0))),0),0,1))</f>
        <v>0</v>
      </c>
      <c r="M31" s="94">
        <f>IF($D$21="VDO 2021 - Final",
IF(M27=
ROUNDUP(
(INDEX(OP_TotalRates_SME_2[[Ausnet]:[United Energy]],MATCH("Anytime - supply",OP_TotalRates_SME_2[[Rate name]:[Rate name]],0),MATCH(OP_CMAB!M$24,OP_TotalRates_SME_2[[#Headers],[Ausnet]:[United Energy]],0))*DiY)+
(IFERROR((INDEX(OP_TotalRates_SME_2[[Ausnet]:[United Energy]],MATCH("Block 1",OP_TotalRates_SME_2[[Rate name]:[Rate name]],0),MATCH(OP_CMAB!M$24,OP_TotalRates_SME_2[[#Headers],[Ausnet]:[United Energy]],0))*
INDEX(Input_Usage[[F-CurrentVDO_Input]:[F-NextVDO_Input]],MATCH(OP_CMAB!$L27&amp;" - Block 1",Input_Usage[[Ref]:[Ref]],0),MATCH(OP_CMAB!$D$21,Inputs!$I$133:$M$133,0))),0)+
IFERROR((INDEX(OP_TotalRates_SME_2[[Ausnet]:[United Energy]],MATCH("Balance",OP_TotalRates_SME_2[[Rate name]:[Rate name]],0),MATCH(OP_CMAB!M$24,OP_TotalRates_SME_2[[#Headers],[Ausnet]:[United Energy]],0))*
INDEX(Input_Usage[[F-CurrentVDO_Input]:[F-NextVDO_Input]],MATCH(OP_CMAB!$L27&amp;" - Balance",Input_Usage[[Ref]:[Ref]],0),MATCH(OP_CMAB!$D$21,Inputs!$I$133:$M$133,0))),0)+
IFERROR((INDEX(OP_TotalRates_SME_2[[Ausnet]:[United Energy]],MATCH("Single rate",OP_TotalRates_SME_2[[Rate name]:[Rate name]],0),MATCH(OP_CMAB!M$24,OP_TotalRates_SME_2[[#Headers],[Ausnet]:[United Energy]],0))*
INDEX(Input_Usage[[F-CurrentVDO_Input]:[F-NextVDO_Input]],MATCH(OP_CMAB!$L27&amp;" - Annual",Input_Usage[[Ref]:[Ref]],0),MATCH(OP_CMAB!$D$21,Inputs!$I$133:$M$133,0))),0)),0),0,1),
IF(M27=
ROUNDUP(
(INDEX(OP_TotalRates_SME_2[[Ausnet]:[United Energy]],MATCH("TOU - supply",OP_TotalRates_SME_2[[Rate name]:[Rate name]],0),MATCH(OP_CMAB!M$24,OP_TotalRates_SME_2[[#Headers],[Ausnet]:[United Energy]],0))*DiY)+
(INDEX(OP_TotalRates_SME_2[[Ausnet]:[United Energy]],MATCH("Peak",OP_TotalRates_SME_2[[Rate name]:[Rate name]],0),MATCH(OP_CMAB!M$24,OP_TotalRates_SME_2[[#Headers],[Ausnet]:[United Energy]],0))*
INDEX(Input_Usage[[F-CurrentVDO_Input]:[F-NextVDO_Input]],MATCH($L27&amp;" - Peak",Input_Usage[[Ref]:[Ref]],0),MATCH($D$21,Inputs!$I$133:$M$133,0)))+
IFERROR((INDEX(OP_TotalRates_SME_2[[Ausnet]:[United Energy]],MATCH("TOU - Shoulder",OP_TotalRates_SME_2[[Rate name]:[Rate name]],0),MATCH(OP_CMAB!M$24,OP_TotalRates_SME_2[[#Headers],[Ausnet]:[United Energy]],0))*
INDEX(Input_Usage[[F-CurrentVDO_Input]:[F-NextVDO_Input]],MATCH($L27&amp;" - Shoulder",Input_Usage[[Ref]:[Ref]],0),MATCH($D$21,Inputs!$I$133:$M$133,0))),0)+
(INDEX(OP_TotalRates_SME_2[[Ausnet]:[United Energy]],MATCH("Off peak",OP_TotalRates_SME_2[[Rate name]:[Rate name]],0),MATCH(OP_CMAB!M$24,OP_TotalRates_SME_2[[#Headers],[Ausnet]:[United Energy]],0))*
INDEX(Input_Usage[[F-CurrentVDO_Input]:[F-NextVDO_Input]],MATCH($L27&amp;" - Off peak",Input_Usage[[Ref]:[Ref]],0),MATCH($D$21,Inputs!$I$133:$M$133,0))),0),0,1))</f>
        <v>0</v>
      </c>
      <c r="N31" s="94">
        <f>IF($D$21="VDO 2021 - Final",
IF(N27=
ROUNDUP(
(INDEX(OP_TotalRates_SME_2[[Ausnet]:[United Energy]],MATCH("Anytime - supply",OP_TotalRates_SME_2[[Rate name]:[Rate name]],0),MATCH(OP_CMAB!N$24,OP_TotalRates_SME_2[[#Headers],[Ausnet]:[United Energy]],0))*DiY)+
(IFERROR((INDEX(OP_TotalRates_SME_2[[Ausnet]:[United Energy]],MATCH("Block 1",OP_TotalRates_SME_2[[Rate name]:[Rate name]],0),MATCH(OP_CMAB!N$24,OP_TotalRates_SME_2[[#Headers],[Ausnet]:[United Energy]],0))*
INDEX(Input_Usage[[F-CurrentVDO_Input]:[F-NextVDO_Input]],MATCH(OP_CMAB!$L27&amp;" - Block 1",Input_Usage[[Ref]:[Ref]],0),MATCH(OP_CMAB!$D$21,Inputs!$I$133:$M$133,0))),0)+
IFERROR((INDEX(OP_TotalRates_SME_2[[Ausnet]:[United Energy]],MATCH("Balance",OP_TotalRates_SME_2[[Rate name]:[Rate name]],0),MATCH(OP_CMAB!N$24,OP_TotalRates_SME_2[[#Headers],[Ausnet]:[United Energy]],0))*
INDEX(Input_Usage[[F-CurrentVDO_Input]:[F-NextVDO_Input]],MATCH(OP_CMAB!$L27&amp;" - Balance",Input_Usage[[Ref]:[Ref]],0),MATCH(OP_CMAB!$D$21,Inputs!$I$133:$M$133,0))),0)+
IFERROR((INDEX(OP_TotalRates_SME_2[[Ausnet]:[United Energy]],MATCH("Single rate",OP_TotalRates_SME_2[[Rate name]:[Rate name]],0),MATCH(OP_CMAB!N$24,OP_TotalRates_SME_2[[#Headers],[Ausnet]:[United Energy]],0))*
INDEX(Input_Usage[[F-CurrentVDO_Input]:[F-NextVDO_Input]],MATCH(OP_CMAB!$L27&amp;" - Annual",Input_Usage[[Ref]:[Ref]],0),MATCH(OP_CMAB!$D$21,Inputs!$I$133:$M$133,0))),0)),0),0,1),
IF(N27=
ROUNDUP(
(INDEX(OP_TotalRates_SME_2[[Ausnet]:[United Energy]],MATCH("TOU - supply",OP_TotalRates_SME_2[[Rate name]:[Rate name]],0),MATCH(OP_CMAB!N$24,OP_TotalRates_SME_2[[#Headers],[Ausnet]:[United Energy]],0))*DiY)+
(INDEX(OP_TotalRates_SME_2[[Ausnet]:[United Energy]],MATCH("Peak",OP_TotalRates_SME_2[[Rate name]:[Rate name]],0),MATCH(OP_CMAB!N$24,OP_TotalRates_SME_2[[#Headers],[Ausnet]:[United Energy]],0))*
INDEX(Input_Usage[[F-CurrentVDO_Input]:[F-NextVDO_Input]],MATCH($L27&amp;" - Peak",Input_Usage[[Ref]:[Ref]],0),MATCH($D$21,Inputs!$I$133:$M$133,0)))+
IFERROR((INDEX(OP_TotalRates_SME_2[[Ausnet]:[United Energy]],MATCH("TOU - Shoulder",OP_TotalRates_SME_2[[Rate name]:[Rate name]],0),MATCH(OP_CMAB!N$24,OP_TotalRates_SME_2[[#Headers],[Ausnet]:[United Energy]],0))*
INDEX(Input_Usage[[F-CurrentVDO_Input]:[F-NextVDO_Input]],MATCH($L27&amp;" - Shoulder",Input_Usage[[Ref]:[Ref]],0),MATCH($D$21,Inputs!$I$133:$M$133,0))),0)+
(INDEX(OP_TotalRates_SME_2[[Ausnet]:[United Energy]],MATCH("Off peak",OP_TotalRates_SME_2[[Rate name]:[Rate name]],0),MATCH(OP_CMAB!N$24,OP_TotalRates_SME_2[[#Headers],[Ausnet]:[United Energy]],0))*
INDEX(Input_Usage[[F-CurrentVDO_Input]:[F-NextVDO_Input]],MATCH($L27&amp;" - Off peak",Input_Usage[[Ref]:[Ref]],0),MATCH($D$21,Inputs!$I$133:$M$133,0))),0),0,1))</f>
        <v>0</v>
      </c>
      <c r="O31" s="94">
        <f>IF($D$21="VDO 2021 - Final",
IF(O27=
ROUNDUP(
(INDEX(OP_TotalRates_SME_2[[Ausnet]:[United Energy]],MATCH("Anytime - supply",OP_TotalRates_SME_2[[Rate name]:[Rate name]],0),MATCH(OP_CMAB!O$24,OP_TotalRates_SME_2[[#Headers],[Ausnet]:[United Energy]],0))*DiY)+
(IFERROR((INDEX(OP_TotalRates_SME_2[[Ausnet]:[United Energy]],MATCH("Block 1",OP_TotalRates_SME_2[[Rate name]:[Rate name]],0),MATCH(OP_CMAB!O$24,OP_TotalRates_SME_2[[#Headers],[Ausnet]:[United Energy]],0))*
INDEX(Input_Usage[[F-CurrentVDO_Input]:[F-NextVDO_Input]],MATCH(OP_CMAB!$L27&amp;" - Block 1",Input_Usage[[Ref]:[Ref]],0),MATCH(OP_CMAB!$D$21,Inputs!$I$133:$M$133,0))),0)+
IFERROR((INDEX(OP_TotalRates_SME_2[[Ausnet]:[United Energy]],MATCH("Balance",OP_TotalRates_SME_2[[Rate name]:[Rate name]],0),MATCH(OP_CMAB!O$24,OP_TotalRates_SME_2[[#Headers],[Ausnet]:[United Energy]],0))*
INDEX(Input_Usage[[F-CurrentVDO_Input]:[F-NextVDO_Input]],MATCH(OP_CMAB!$L27&amp;" - Balance",Input_Usage[[Ref]:[Ref]],0),MATCH(OP_CMAB!$D$21,Inputs!$I$133:$M$133,0))),0)+
IFERROR((INDEX(OP_TotalRates_SME_2[[Ausnet]:[United Energy]],MATCH("Single rate",OP_TotalRates_SME_2[[Rate name]:[Rate name]],0),MATCH(OP_CMAB!O$24,OP_TotalRates_SME_2[[#Headers],[Ausnet]:[United Energy]],0))*
INDEX(Input_Usage[[F-CurrentVDO_Input]:[F-NextVDO_Input]],MATCH(OP_CMAB!$L27&amp;" - Annual",Input_Usage[[Ref]:[Ref]],0),MATCH(OP_CMAB!$D$21,Inputs!$I$133:$M$133,0))),0)),0),0,1),
IF(O27=
ROUNDUP(
(INDEX(OP_TotalRates_SME_2[[Ausnet]:[United Energy]],MATCH("TOU - supply",OP_TotalRates_SME_2[[Rate name]:[Rate name]],0),MATCH(OP_CMAB!O$24,OP_TotalRates_SME_2[[#Headers],[Ausnet]:[United Energy]],0))*DiY)+
(INDEX(OP_TotalRates_SME_2[[Ausnet]:[United Energy]],MATCH("Peak",OP_TotalRates_SME_2[[Rate name]:[Rate name]],0),MATCH(OP_CMAB!O$24,OP_TotalRates_SME_2[[#Headers],[Ausnet]:[United Energy]],0))*
INDEX(Input_Usage[[F-CurrentVDO_Input]:[F-NextVDO_Input]],MATCH($L27&amp;" - Peak",Input_Usage[[Ref]:[Ref]],0),MATCH($D$21,Inputs!$I$133:$M$133,0)))+
IFERROR((INDEX(OP_TotalRates_SME_2[[Ausnet]:[United Energy]],MATCH("TOU - Shoulder",OP_TotalRates_SME_2[[Rate name]:[Rate name]],0),MATCH(OP_CMAB!O$24,OP_TotalRates_SME_2[[#Headers],[Ausnet]:[United Energy]],0))*
INDEX(Input_Usage[[F-CurrentVDO_Input]:[F-NextVDO_Input]],MATCH($L27&amp;" - Shoulder",Input_Usage[[Ref]:[Ref]],0),MATCH($D$21,Inputs!$I$133:$M$133,0))),0)+
(INDEX(OP_TotalRates_SME_2[[Ausnet]:[United Energy]],MATCH("Off peak",OP_TotalRates_SME_2[[Rate name]:[Rate name]],0),MATCH(OP_CMAB!O$24,OP_TotalRates_SME_2[[#Headers],[Ausnet]:[United Energy]],0))*
INDEX(Input_Usage[[F-CurrentVDO_Input]:[F-NextVDO_Input]],MATCH($L27&amp;" - Off peak",Input_Usage[[Ref]:[Ref]],0),MATCH($D$21,Inputs!$I$133:$M$133,0))),0),0,1))</f>
        <v>0</v>
      </c>
      <c r="P31" s="94">
        <f>IF($D$21="VDO 2021 - Final",
IF(P27=
ROUNDUP(
(INDEX(OP_TotalRates_SME_2[[Ausnet]:[United Energy]],MATCH("Anytime - supply",OP_TotalRates_SME_2[[Rate name]:[Rate name]],0),MATCH(OP_CMAB!P$24,OP_TotalRates_SME_2[[#Headers],[Ausnet]:[United Energy]],0))*DiY)+
(IFERROR((INDEX(OP_TotalRates_SME_2[[Ausnet]:[United Energy]],MATCH("Block 1",OP_TotalRates_SME_2[[Rate name]:[Rate name]],0),MATCH(OP_CMAB!P$24,OP_TotalRates_SME_2[[#Headers],[Ausnet]:[United Energy]],0))*
INDEX(Input_Usage[[F-CurrentVDO_Input]:[F-NextVDO_Input]],MATCH(OP_CMAB!$L27&amp;" - Block 1",Input_Usage[[Ref]:[Ref]],0),MATCH(OP_CMAB!$D$21,Inputs!$I$133:$M$133,0))),0)+
IFERROR((INDEX(OP_TotalRates_SME_2[[Ausnet]:[United Energy]],MATCH("Balance",OP_TotalRates_SME_2[[Rate name]:[Rate name]],0),MATCH(OP_CMAB!P$24,OP_TotalRates_SME_2[[#Headers],[Ausnet]:[United Energy]],0))*
INDEX(Input_Usage[[F-CurrentVDO_Input]:[F-NextVDO_Input]],MATCH(OP_CMAB!$L27&amp;" - Balance",Input_Usage[[Ref]:[Ref]],0),MATCH(OP_CMAB!$D$21,Inputs!$I$133:$M$133,0))),0)+
IFERROR((INDEX(OP_TotalRates_SME_2[[Ausnet]:[United Energy]],MATCH("Single rate",OP_TotalRates_SME_2[[Rate name]:[Rate name]],0),MATCH(OP_CMAB!P$24,OP_TotalRates_SME_2[[#Headers],[Ausnet]:[United Energy]],0))*
INDEX(Input_Usage[[F-CurrentVDO_Input]:[F-NextVDO_Input]],MATCH(OP_CMAB!$L27&amp;" - Annual",Input_Usage[[Ref]:[Ref]],0),MATCH(OP_CMAB!$D$21,Inputs!$I$133:$M$133,0))),0)),0),0,1),
IF(P27=
ROUNDUP(
(INDEX(OP_TotalRates_SME_2[[Ausnet]:[United Energy]],MATCH("TOU - supply",OP_TotalRates_SME_2[[Rate name]:[Rate name]],0),MATCH(OP_CMAB!P$24,OP_TotalRates_SME_2[[#Headers],[Ausnet]:[United Energy]],0))*DiY)+
(INDEX(OP_TotalRates_SME_2[[Ausnet]:[United Energy]],MATCH("Peak",OP_TotalRates_SME_2[[Rate name]:[Rate name]],0),MATCH(OP_CMAB!P$24,OP_TotalRates_SME_2[[#Headers],[Ausnet]:[United Energy]],0))*
INDEX(Input_Usage[[F-CurrentVDO_Input]:[F-NextVDO_Input]],MATCH($L27&amp;" - Peak",Input_Usage[[Ref]:[Ref]],0),MATCH($D$21,Inputs!$I$133:$M$133,0)))+
IFERROR((INDEX(OP_TotalRates_SME_2[[Ausnet]:[United Energy]],MATCH("TOU - Shoulder",OP_TotalRates_SME_2[[Rate name]:[Rate name]],0),MATCH(OP_CMAB!P$24,OP_TotalRates_SME_2[[#Headers],[Ausnet]:[United Energy]],0))*
INDEX(Input_Usage[[F-CurrentVDO_Input]:[F-NextVDO_Input]],MATCH($L27&amp;" - Shoulder",Input_Usage[[Ref]:[Ref]],0),MATCH($D$21,Inputs!$I$133:$M$133,0))),0)+
(INDEX(OP_TotalRates_SME_2[[Ausnet]:[United Energy]],MATCH("Off peak",OP_TotalRates_SME_2[[Rate name]:[Rate name]],0),MATCH(OP_CMAB!P$24,OP_TotalRates_SME_2[[#Headers],[Ausnet]:[United Energy]],0))*
INDEX(Input_Usage[[F-CurrentVDO_Input]:[F-NextVDO_Input]],MATCH($L27&amp;" - Off peak",Input_Usage[[Ref]:[Ref]],0),MATCH($D$21,Inputs!$I$133:$M$133,0))),0),0,1))</f>
        <v>0</v>
      </c>
      <c r="Q31" s="94">
        <f>IF($D$21="VDO 2021 - Final",
IF(Q27=
ROUNDUP(
(INDEX(OP_TotalRates_SME_2[[Ausnet]:[United Energy]],MATCH("Anytime - supply",OP_TotalRates_SME_2[[Rate name]:[Rate name]],0),MATCH(OP_CMAB!Q$24,OP_TotalRates_SME_2[[#Headers],[Ausnet]:[United Energy]],0))*DiY)+
(IFERROR((INDEX(OP_TotalRates_SME_2[[Ausnet]:[United Energy]],MATCH("Block 1",OP_TotalRates_SME_2[[Rate name]:[Rate name]],0),MATCH(OP_CMAB!Q$24,OP_TotalRates_SME_2[[#Headers],[Ausnet]:[United Energy]],0))*
INDEX(Input_Usage[[F-CurrentVDO_Input]:[F-NextVDO_Input]],MATCH(OP_CMAB!$L27&amp;" - Block 1",Input_Usage[[Ref]:[Ref]],0),MATCH(OP_CMAB!$D$21,Inputs!$I$133:$M$133,0))),0)+
IFERROR((INDEX(OP_TotalRates_SME_2[[Ausnet]:[United Energy]],MATCH("Balance",OP_TotalRates_SME_2[[Rate name]:[Rate name]],0),MATCH(OP_CMAB!Q$24,OP_TotalRates_SME_2[[#Headers],[Ausnet]:[United Energy]],0))*
INDEX(Input_Usage[[F-CurrentVDO_Input]:[F-NextVDO_Input]],MATCH(OP_CMAB!$L27&amp;" - Balance",Input_Usage[[Ref]:[Ref]],0),MATCH(OP_CMAB!$D$21,Inputs!$I$133:$M$133,0))),0)+
IFERROR((INDEX(OP_TotalRates_SME_2[[Ausnet]:[United Energy]],MATCH("Single rate",OP_TotalRates_SME_2[[Rate name]:[Rate name]],0),MATCH(OP_CMAB!Q$24,OP_TotalRates_SME_2[[#Headers],[Ausnet]:[United Energy]],0))*
INDEX(Input_Usage[[F-CurrentVDO_Input]:[F-NextVDO_Input]],MATCH(OP_CMAB!$L27&amp;" - Annual",Input_Usage[[Ref]:[Ref]],0),MATCH(OP_CMAB!$D$21,Inputs!$I$133:$M$133,0))),0)),0),0,1),
IF(Q27=
ROUNDUP(
(INDEX(OP_TotalRates_SME_2[[Ausnet]:[United Energy]],MATCH("TOU - supply",OP_TotalRates_SME_2[[Rate name]:[Rate name]],0),MATCH(OP_CMAB!Q$24,OP_TotalRates_SME_2[[#Headers],[Ausnet]:[United Energy]],0))*DiY)+
(INDEX(OP_TotalRates_SME_2[[Ausnet]:[United Energy]],MATCH("Peak",OP_TotalRates_SME_2[[Rate name]:[Rate name]],0),MATCH(OP_CMAB!Q$24,OP_TotalRates_SME_2[[#Headers],[Ausnet]:[United Energy]],0))*
INDEX(Input_Usage[[F-CurrentVDO_Input]:[F-NextVDO_Input]],MATCH($L27&amp;" - Peak",Input_Usage[[Ref]:[Ref]],0),MATCH($D$21,Inputs!$I$133:$M$133,0)))+
IFERROR((INDEX(OP_TotalRates_SME_2[[Ausnet]:[United Energy]],MATCH("TOU - Shoulder",OP_TotalRates_SME_2[[Rate name]:[Rate name]],0),MATCH(OP_CMAB!Q$24,OP_TotalRates_SME_2[[#Headers],[Ausnet]:[United Energy]],0))*
INDEX(Input_Usage[[F-CurrentVDO_Input]:[F-NextVDO_Input]],MATCH($L27&amp;" - Shoulder",Input_Usage[[Ref]:[Ref]],0),MATCH($D$21,Inputs!$I$133:$M$133,0))),0)+
(INDEX(OP_TotalRates_SME_2[[Ausnet]:[United Energy]],MATCH("Off peak",OP_TotalRates_SME_2[[Rate name]:[Rate name]],0),MATCH(OP_CMAB!Q$24,OP_TotalRates_SME_2[[#Headers],[Ausnet]:[United Energy]],0))*
INDEX(Input_Usage[[F-CurrentVDO_Input]:[F-NextVDO_Input]],MATCH($L27&amp;" - Off peak",Input_Usage[[Ref]:[Ref]],0),MATCH($D$21,Inputs!$I$133:$M$133,0))),0),0,1))</f>
        <v>0</v>
      </c>
    </row>
    <row r="33" spans="1:18" ht="16.5" hidden="1" thickBot="1" x14ac:dyDescent="0.3">
      <c r="A33" s="1" t="s">
        <v>30</v>
      </c>
      <c r="B33" s="9">
        <f ca="1">MAX(B$3:B32)+0.1</f>
        <v>16.300000000000004</v>
      </c>
      <c r="C33" s="29" t="s">
        <v>392</v>
      </c>
      <c r="D33" s="29"/>
      <c r="E33" s="29"/>
      <c r="F33" s="29"/>
      <c r="G33" s="29"/>
      <c r="H33" s="29"/>
      <c r="I33" s="29"/>
      <c r="J33" s="29"/>
      <c r="K33" s="29"/>
      <c r="L33" s="29"/>
      <c r="M33" s="29"/>
      <c r="N33" s="29"/>
      <c r="O33" s="29"/>
      <c r="P33" s="29"/>
      <c r="Q33" s="29"/>
      <c r="R33" s="29"/>
    </row>
    <row r="34" spans="1:18" hidden="1" x14ac:dyDescent="0.25"/>
    <row r="35" spans="1:18" ht="15.75" hidden="1" x14ac:dyDescent="0.25">
      <c r="C35" s="43" t="s">
        <v>99</v>
      </c>
      <c r="D35" s="43" t="s">
        <v>98</v>
      </c>
      <c r="E35" s="51" t="s">
        <v>277</v>
      </c>
      <c r="F35" s="51" t="s">
        <v>278</v>
      </c>
      <c r="G35" s="51" t="s">
        <v>279</v>
      </c>
      <c r="H35" s="51" t="s">
        <v>280</v>
      </c>
      <c r="I35" s="51" t="s">
        <v>281</v>
      </c>
      <c r="K35" s="43" t="s">
        <v>99</v>
      </c>
      <c r="L35" s="43" t="s">
        <v>98</v>
      </c>
      <c r="M35" s="51" t="s">
        <v>277</v>
      </c>
      <c r="N35" s="51" t="s">
        <v>278</v>
      </c>
      <c r="O35" s="51" t="s">
        <v>279</v>
      </c>
      <c r="P35" s="51" t="s">
        <v>280</v>
      </c>
      <c r="Q35" s="51" t="s">
        <v>281</v>
      </c>
    </row>
    <row r="36" spans="1:18" hidden="1" x14ac:dyDescent="0.25">
      <c r="C36" s="24" t="str" cm="1">
        <f t="array" ref="C36:C38">INDEX($C$25:$D$27,0,1)</f>
        <v>Residential</v>
      </c>
      <c r="D36" s="24" t="str" cm="1">
        <f t="array" ref="D36:D38">INDEX($C$25:$D$27,0,2)</f>
        <v>Residential - small</v>
      </c>
      <c r="E36" s="115">
        <f t="shared" ref="E36:I38" si="0">IFERROR((E25-E11)/E11,"-")</f>
        <v>-4.5881126173096975E-2</v>
      </c>
      <c r="F36" s="115">
        <f t="shared" si="0"/>
        <v>0</v>
      </c>
      <c r="G36" s="115">
        <f t="shared" si="0"/>
        <v>-5.1643192488262914E-2</v>
      </c>
      <c r="H36" s="115">
        <f t="shared" si="0"/>
        <v>-1.1727078891257996E-2</v>
      </c>
      <c r="I36" s="115">
        <f t="shared" si="0"/>
        <v>-3.3720930232558143E-2</v>
      </c>
      <c r="K36" s="60" t="str" cm="1">
        <f t="array" ref="K36:K38">INDEX($K$25:$L$27,0,1)</f>
        <v>Small business</v>
      </c>
      <c r="L36" s="60" t="str" cm="1">
        <f t="array" ref="L36:L38">INDEX($K$25:$L$27,0,2)</f>
        <v>Small business - small</v>
      </c>
      <c r="M36" s="126">
        <f t="shared" ref="M36:Q38" si="1">IFERROR((M25-M11)/M11,"-")</f>
        <v>-7.5573167279932074E-2</v>
      </c>
      <c r="N36" s="126">
        <f t="shared" si="1"/>
        <v>-5.5746946445349201E-2</v>
      </c>
      <c r="O36" s="126">
        <f t="shared" si="1"/>
        <v>-4.3763024709735039E-2</v>
      </c>
      <c r="P36" s="126">
        <f t="shared" si="1"/>
        <v>-4.3674698795180725E-2</v>
      </c>
      <c r="Q36" s="126">
        <f t="shared" si="1"/>
        <v>-6.3908613769682002E-2</v>
      </c>
    </row>
    <row r="37" spans="1:18" hidden="1" x14ac:dyDescent="0.25">
      <c r="C37" s="24" t="str">
        <v>Residential</v>
      </c>
      <c r="D37" s="24" t="str">
        <v>Residential - medium</v>
      </c>
      <c r="E37" s="115">
        <f t="shared" si="0"/>
        <v>-5.1921780175320294E-2</v>
      </c>
      <c r="F37" s="115">
        <f t="shared" si="0"/>
        <v>-2.3308270676691729E-2</v>
      </c>
      <c r="G37" s="115">
        <f t="shared" si="0"/>
        <v>-6.097560975609756E-2</v>
      </c>
      <c r="H37" s="115">
        <f t="shared" si="0"/>
        <v>-3.1847133757961783E-2</v>
      </c>
      <c r="I37" s="115">
        <f t="shared" si="0"/>
        <v>-5.0595238095238096E-2</v>
      </c>
      <c r="K37" s="60" t="str">
        <v>Small business</v>
      </c>
      <c r="L37" s="60" t="str">
        <v>Small business - medium</v>
      </c>
      <c r="M37" s="126">
        <f t="shared" si="1"/>
        <v>-6.5213507236019291E-2</v>
      </c>
      <c r="N37" s="126">
        <f t="shared" si="1"/>
        <v>-6.063638182909746E-2</v>
      </c>
      <c r="O37" s="126">
        <f t="shared" si="1"/>
        <v>-4.9673954737245875E-2</v>
      </c>
      <c r="P37" s="126">
        <f t="shared" si="1"/>
        <v>-4.7756595416907376E-2</v>
      </c>
      <c r="Q37" s="126">
        <f t="shared" si="1"/>
        <v>-6.5676309616888195E-2</v>
      </c>
    </row>
    <row r="38" spans="1:18" hidden="1" x14ac:dyDescent="0.25">
      <c r="C38" s="24" t="str">
        <v>Residential</v>
      </c>
      <c r="D38" s="24" t="str">
        <v>Residential - large</v>
      </c>
      <c r="E38" s="115">
        <f t="shared" si="0"/>
        <v>-5.575326215895611E-2</v>
      </c>
      <c r="F38" s="115">
        <f t="shared" si="0"/>
        <v>-4.0816326530612242E-2</v>
      </c>
      <c r="G38" s="115">
        <f t="shared" si="0"/>
        <v>-6.8517689207344384E-2</v>
      </c>
      <c r="H38" s="115">
        <f t="shared" si="0"/>
        <v>-4.8243757934828609E-2</v>
      </c>
      <c r="I38" s="115">
        <f t="shared" si="0"/>
        <v>-6.3121487246000862E-2</v>
      </c>
      <c r="K38" s="60" t="str">
        <v>Small business</v>
      </c>
      <c r="L38" s="60" t="str">
        <v>Small business - large</v>
      </c>
      <c r="M38" s="126">
        <f t="shared" si="1"/>
        <v>-5.6701989217326644E-2</v>
      </c>
      <c r="N38" s="126">
        <f t="shared" si="1"/>
        <v>-6.4492372435560233E-2</v>
      </c>
      <c r="O38" s="126">
        <f t="shared" si="1"/>
        <v>-5.4726368159203981E-2</v>
      </c>
      <c r="P38" s="126">
        <f t="shared" si="1"/>
        <v>-5.1437829080599434E-2</v>
      </c>
      <c r="Q38" s="126">
        <f t="shared" si="1"/>
        <v>-6.7380224260958202E-2</v>
      </c>
    </row>
    <row r="39" spans="1:18" hidden="1" x14ac:dyDescent="0.25"/>
    <row r="44" spans="1:18" x14ac:dyDescent="0.25">
      <c r="H44" s="88"/>
    </row>
  </sheetData>
  <sheetProtection algorithmName="SHA-512" hashValue="QJcYvbCJ88v8+F3orA+dJ2iX58xHh+N5RuTHMQBwQkD6hMztQnKrB39dU6hGUHhCriYl4m+n1hO/hUlYPHiO2Q==" saltValue="CyHCnXzsvz+9Vsq8X1+kqQ==" spinCount="100000" sheet="1" objects="1" scenarios="1"/>
  <mergeCells count="1">
    <mergeCell ref="A2:A3"/>
  </mergeCells>
  <pageMargins left="0.7" right="0.7" top="0.75" bottom="0.75" header="0.3" footer="0.3"/>
  <tableParts count="4">
    <tablePart r:id="rId1"/>
    <tablePart r:id="rId2"/>
    <tablePart r:id="rId3"/>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B7840FAA-381E-4BFC-8632-0963076DE389}">
          <x14:formula1>
            <xm:f>'Lookup refs'!$G$8:$G$10</xm:f>
          </x14:formula1>
          <xm:sqref>K11:K13 C11:C13 K25:K27 C25:C32</xm:sqref>
        </x14:dataValidation>
        <x14:dataValidation type="list" allowBlank="1" showInputMessage="1" showErrorMessage="1" xr:uid="{63AEA5C8-119D-41ED-8ABB-2707A0C4A19F}">
          <x14:formula1>
            <xm:f>'Lookup refs'!$I$8:$I$13</xm:f>
          </x14:formula1>
          <xm:sqref>D11:D13 L11:L13 L25:L27 D25:D32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463A0-A632-4C6A-AD23-D09871669E5A}">
  <sheetPr>
    <tabColor rgb="FFFFB13F"/>
  </sheetPr>
  <dimension ref="A1:X108"/>
  <sheetViews>
    <sheetView showGridLines="0" topLeftCell="B1" zoomScale="70" zoomScaleNormal="70" workbookViewId="0">
      <pane ySplit="3" topLeftCell="A4" activePane="bottomLeft" state="frozen"/>
      <selection pane="bottomLeft" activeCell="P32" sqref="P32"/>
    </sheetView>
  </sheetViews>
  <sheetFormatPr defaultColWidth="9.140625" defaultRowHeight="15" outlineLevelCol="1" x14ac:dyDescent="0.25"/>
  <cols>
    <col min="1" max="1" width="100.7109375" hidden="1" customWidth="1" outlineLevel="1"/>
    <col min="2" max="2" width="10.7109375" style="6" customWidth="1" collapsed="1"/>
    <col min="3" max="17" width="25.5703125" customWidth="1"/>
    <col min="18" max="18" width="5.5703125" customWidth="1"/>
    <col min="19" max="19" width="11.140625" bestFit="1" customWidth="1"/>
    <col min="22" max="22" width="13.140625" bestFit="1" customWidth="1"/>
  </cols>
  <sheetData>
    <row r="1" spans="1:18" ht="15" customHeight="1" x14ac:dyDescent="0.25">
      <c r="A1" s="1" t="s">
        <v>27</v>
      </c>
      <c r="B1" s="22"/>
      <c r="C1" s="23"/>
      <c r="D1" s="23"/>
      <c r="E1" s="23"/>
      <c r="F1" s="125" t="s">
        <v>422</v>
      </c>
      <c r="G1" s="97"/>
      <c r="H1" s="23"/>
      <c r="I1" s="23"/>
      <c r="J1" s="23"/>
      <c r="K1" s="23"/>
      <c r="L1" s="23"/>
      <c r="M1" s="23"/>
      <c r="N1" s="23"/>
      <c r="O1" s="23"/>
      <c r="P1" s="23"/>
      <c r="Q1" s="23"/>
      <c r="R1" s="23"/>
    </row>
    <row r="2" spans="1:18" s="4" customFormat="1" ht="50.1" customHeight="1" x14ac:dyDescent="0.25">
      <c r="A2" s="293" t="s">
        <v>28</v>
      </c>
      <c r="B2" s="26"/>
      <c r="C2" s="26" t="str">
        <f>Disclaimer!$B$1</f>
        <v>VDO calculation model</v>
      </c>
      <c r="D2" s="26"/>
      <c r="E2" s="26"/>
      <c r="F2" s="202" t="str">
        <f>Calc_Rates!$D$5</f>
        <v>VDO 2021 - Variation final</v>
      </c>
      <c r="G2" s="202" t="str">
        <f>Calc_Rates!$D$251</f>
        <v>VDO 2022 - Final</v>
      </c>
      <c r="H2" s="26"/>
      <c r="I2" s="26"/>
      <c r="J2" s="26"/>
      <c r="K2" s="26"/>
      <c r="L2" s="26"/>
      <c r="M2" s="26"/>
      <c r="N2" s="26"/>
      <c r="O2" s="26"/>
      <c r="P2" s="26"/>
      <c r="Q2" s="26"/>
      <c r="R2" s="26"/>
    </row>
    <row r="3" spans="1:18" s="4" customFormat="1" ht="30" customHeight="1" x14ac:dyDescent="0.25">
      <c r="A3" s="294"/>
      <c r="B3" s="28">
        <f ca="1">_xlfn.SHEET()</f>
        <v>17</v>
      </c>
      <c r="C3" s="27" t="s">
        <v>342</v>
      </c>
      <c r="D3" s="27"/>
      <c r="E3" s="27"/>
      <c r="F3" s="96">
        <f>SUM(D69:H69,M34)</f>
        <v>0</v>
      </c>
      <c r="G3" s="96">
        <f>SUM(L69:P69,M35)</f>
        <v>0</v>
      </c>
      <c r="H3" s="27"/>
      <c r="I3" s="27"/>
      <c r="J3" s="27"/>
      <c r="K3" s="27"/>
      <c r="L3" s="27"/>
      <c r="M3" s="27"/>
      <c r="N3" s="27"/>
      <c r="O3" s="27"/>
      <c r="P3" s="27"/>
      <c r="Q3" s="27"/>
      <c r="R3" s="27"/>
    </row>
    <row r="4" spans="1:18" x14ac:dyDescent="0.25">
      <c r="B4"/>
    </row>
    <row r="5" spans="1:18" ht="16.5" thickBot="1" x14ac:dyDescent="0.3">
      <c r="A5" s="1" t="s">
        <v>30</v>
      </c>
      <c r="B5" s="9">
        <f ca="1">MAX(B$3:B4)+0.1</f>
        <v>17.100000000000001</v>
      </c>
      <c r="C5" s="29" t="str">
        <f>"VDO cost stack chart - Flat VDO - "&amp;IF(ISNUMBER(SEARCH("Residential",$C$47)),"Residential","Small business")</f>
        <v>VDO cost stack chart - Flat VDO - Residential</v>
      </c>
      <c r="D5" s="29"/>
      <c r="E5" s="29"/>
      <c r="F5" s="29"/>
      <c r="G5" s="29"/>
      <c r="H5" s="29"/>
      <c r="I5" s="29"/>
      <c r="J5" s="29"/>
      <c r="K5" s="29"/>
      <c r="L5" s="29"/>
      <c r="M5" s="29"/>
      <c r="N5" s="29"/>
      <c r="O5" s="29"/>
      <c r="P5" s="29"/>
      <c r="Q5" s="29"/>
      <c r="R5" s="29"/>
    </row>
    <row r="6" spans="1:18" x14ac:dyDescent="0.25">
      <c r="B6"/>
    </row>
    <row r="7" spans="1:18" x14ac:dyDescent="0.25">
      <c r="B7"/>
    </row>
    <row r="8" spans="1:18" x14ac:dyDescent="0.25">
      <c r="B8"/>
    </row>
    <row r="9" spans="1:18" x14ac:dyDescent="0.25">
      <c r="B9"/>
    </row>
    <row r="10" spans="1:18" x14ac:dyDescent="0.25">
      <c r="B10"/>
    </row>
    <row r="11" spans="1:18" x14ac:dyDescent="0.25">
      <c r="B11"/>
    </row>
    <row r="12" spans="1:18" x14ac:dyDescent="0.25">
      <c r="B12"/>
    </row>
    <row r="13" spans="1:18" x14ac:dyDescent="0.25">
      <c r="B13"/>
    </row>
    <row r="14" spans="1:18" x14ac:dyDescent="0.25">
      <c r="B14"/>
    </row>
    <row r="15" spans="1:18" x14ac:dyDescent="0.25">
      <c r="B15"/>
    </row>
    <row r="16" spans="1:18" x14ac:dyDescent="0.25">
      <c r="B16"/>
    </row>
    <row r="17" spans="2:4" x14ac:dyDescent="0.25">
      <c r="B17"/>
    </row>
    <row r="18" spans="2:4" x14ac:dyDescent="0.25">
      <c r="B18"/>
    </row>
    <row r="19" spans="2:4" x14ac:dyDescent="0.25">
      <c r="B19"/>
    </row>
    <row r="20" spans="2:4" x14ac:dyDescent="0.25">
      <c r="B20"/>
    </row>
    <row r="21" spans="2:4" x14ac:dyDescent="0.25">
      <c r="B21"/>
    </row>
    <row r="22" spans="2:4" x14ac:dyDescent="0.25">
      <c r="B22"/>
    </row>
    <row r="23" spans="2:4" x14ac:dyDescent="0.25">
      <c r="B23"/>
    </row>
    <row r="24" spans="2:4" x14ac:dyDescent="0.25">
      <c r="B24"/>
    </row>
    <row r="25" spans="2:4" x14ac:dyDescent="0.25">
      <c r="B25"/>
    </row>
    <row r="26" spans="2:4" x14ac:dyDescent="0.25">
      <c r="B26"/>
    </row>
    <row r="27" spans="2:4" x14ac:dyDescent="0.25">
      <c r="B27"/>
    </row>
    <row r="28" spans="2:4" x14ac:dyDescent="0.25">
      <c r="B28"/>
    </row>
    <row r="29" spans="2:4" x14ac:dyDescent="0.25">
      <c r="B29"/>
    </row>
    <row r="30" spans="2:4" x14ac:dyDescent="0.25">
      <c r="B30"/>
    </row>
    <row r="31" spans="2:4" ht="15.75" x14ac:dyDescent="0.25">
      <c r="B31"/>
      <c r="C31" s="43" t="s">
        <v>387</v>
      </c>
      <c r="D31" s="105" t="s">
        <v>383</v>
      </c>
    </row>
    <row r="32" spans="2:4" x14ac:dyDescent="0.25">
      <c r="B32"/>
    </row>
    <row r="33" spans="1:22" ht="15.75" x14ac:dyDescent="0.25">
      <c r="B33"/>
      <c r="C33" s="43" t="s">
        <v>386</v>
      </c>
      <c r="D33" s="43" t="s">
        <v>137</v>
      </c>
      <c r="E33" s="43" t="s">
        <v>130</v>
      </c>
      <c r="F33" s="43" t="s">
        <v>115</v>
      </c>
      <c r="G33" s="43" t="s">
        <v>160</v>
      </c>
      <c r="H33" s="43" t="s">
        <v>282</v>
      </c>
      <c r="I33" s="43" t="s">
        <v>211</v>
      </c>
      <c r="J33" s="43" t="s">
        <v>286</v>
      </c>
      <c r="K33" s="43" t="s">
        <v>384</v>
      </c>
    </row>
    <row r="34" spans="1:22" ht="15.75" x14ac:dyDescent="0.25">
      <c r="B34"/>
      <c r="C34" s="83" t="str">
        <f>$D$44</f>
        <v>VDO 2021 - Variation final</v>
      </c>
      <c r="D34" s="106">
        <f>INDEX(CostStackCalcs_RES_1[[Ausnet]:[Average]],MATCH(D$33,CostStackCalcs_RES_1[Labels],0),MATCH($D$31,CostStackCalcs_RES_1[[#Headers],[Ausnet]:[Average]],0))</f>
        <v>399.43883000330271</v>
      </c>
      <c r="E34" s="106">
        <f>INDEX(CostStackCalcs_RES_1[[Ausnet]:[Average]],MATCH(E$33,CostStackCalcs_RES_1[[Labels]:[Labels]],0),MATCH($D$31,CostStackCalcs_RES_1[[#Headers],[Ausnet]:[Average]],0))+
IF(INDEX(CostStackCalcs_RES_1[[Ausnet]:[Average]],MATCH("Network true up",CostStackCalcs_RES_1[[Labels]:[Labels]],0),MATCH($D$31,CostStackCalcs_RES_1[[#Headers],[Ausnet]:[Average]],0))="-",0,
INDEX(CostStackCalcs_RES_1[[Ausnet]:[Average]],MATCH("Network true up",CostStackCalcs_RES_1[[Labels]:[Labels]],0),MATCH($D$31,CostStackCalcs_RES_1[[#Headers],[Ausnet]:[Average]],0)))</f>
        <v>510.78450000000009</v>
      </c>
      <c r="F34" s="106">
        <f>INDEX(CostStackCalcs_RES_1[[Ausnet]:[Average]],MATCH(F$33,CostStackCalcs_RES_1[[Labels]:[Labels]],0),MATCH($D$31,CostStackCalcs_RES_1[[#Headers],[Ausnet]:[Average]],0))</f>
        <v>181.75878095302619</v>
      </c>
      <c r="G34" s="106">
        <f>INDEX(CostStackCalcs_RES_1[[Ausnet]:[Average]],MATCH("Environmental schemes",CostStackCalcs_RES_1[[Labels]:[Labels]],0),MATCH($D$31,CostStackCalcs_RES_1[[#Headers],[Ausnet]:[Average]],0))+
INDEX(CostStackCalcs_RES_1[[Ausnet]:[Average]],MATCH("FiT",CostStackCalcs_RES_1[[Labels]:[Labels]],0),MATCH($D$31,CostStackCalcs_RES_1[[#Headers],[Ausnet]:[Average]],0))+
IF(INDEX(CostStackCalcs_RES_1[[Ausnet]:[Average]],MATCH("Environmental true up",CostStackCalcs_RES_1[[Labels]:[Labels]],0),MATCH($D$31,CostStackCalcs_RES_1[[#Headers],[Ausnet]:[Average]],0))="-",0,
INDEX(CostStackCalcs_RES_1[[Ausnet]:[Average]],MATCH("Environmental true up",CostStackCalcs_RES_1[[Labels]:[Labels]],0),MATCH($D$31,CostStackCalcs_RES_1[[#Headers],[Ausnet]:[Average]],0)))</f>
        <v>108.77734143940907</v>
      </c>
      <c r="H34" s="106">
        <f>INDEX(CostStackCalcs_RES_1[[Ausnet]:[Average]],MATCH(H$33,CostStackCalcs_RES_1[[Labels]:[Labels]],0),MATCH($D$31,CostStackCalcs_RES_1[[#Headers],[Ausnet]:[Average]],0))</f>
        <v>9.2255887062436805</v>
      </c>
      <c r="I34" s="106">
        <f>INDEX(CostStackCalcs_RES_1[[Ausnet]:[Average]],MATCH(I$33,CostStackCalcs_RES_1[[Labels]:[Labels]],0),MATCH($D$31,CostStackCalcs_RES_1[[#Headers],[Ausnet]:[Average]],0))</f>
        <v>73.083096482559682</v>
      </c>
      <c r="J34" s="106">
        <f>INDEX(CostStackCalcs_RES_1[[Ausnet]:[Average]],MATCH(J$33,CostStackCalcs_RES_1[[Labels]:[Labels]],0),MATCH($D$31,CostStackCalcs_RES_1[[#Headers],[Ausnet]:[Average]],0))</f>
        <v>128.30681375845413</v>
      </c>
      <c r="K34" s="106">
        <f>INDEX(CostStackCalcs_RES_1[[Ausnet]:[Average]],MATCH(K$33,CostStackCalcs_RES_1[[Labels]:[Labels]],0),MATCH($D$31,CostStackCalcs_RES_1[[#Headers],[Ausnet]:[Average]],0))</f>
        <v>1412</v>
      </c>
      <c r="M34" s="25">
        <f>IF(OR(ROUNDUP(SUM(D34:J34),0)-K34&lt;1,ROUNDUP(SUM(D34:J34),0)-K34&gt;-1),0,1)</f>
        <v>0</v>
      </c>
      <c r="O34" s="244"/>
    </row>
    <row r="35" spans="1:22" ht="15.75" x14ac:dyDescent="0.25">
      <c r="B35"/>
      <c r="C35" s="83" t="str">
        <f>$L$44</f>
        <v>VDO 2022 - Final</v>
      </c>
      <c r="D35" s="106">
        <f>INDEX(CostStackCalcs_RES_2[[Ausnet]:[Average]],MATCH(D$33,CostStackCalcs_RES_2[[Labels]:[Labels]],0),MATCH($D$31,CostStackCalcs_RES_2[[#Headers],[Ausnet]:[Average]],0))</f>
        <v>303.14242733766685</v>
      </c>
      <c r="E35" s="106">
        <f>INDEX(CostStackCalcs_RES_2[[Ausnet]:[Average]],MATCH(E$33,CostStackCalcs_RES_2[[Labels]:[Labels]],0),MATCH($D$31,CostStackCalcs_RES_2[[#Headers],[Ausnet]:[Average]],0))+
IF(INDEX(CostStackCalcs_RES_2[[Ausnet]:[Average]],MATCH("Network true up",CostStackCalcs_RES_2[[Labels]:[Labels]],0),MATCH($D$31,CostStackCalcs_RES_2[[#Headers],[Ausnet]:[Average]],0))="-",0,
INDEX(CostStackCalcs_RES_2[[Ausnet]:[Average]],MATCH("Network true up",CostStackCalcs_RES_2[[Labels]:[Labels]],0),MATCH($D$31,CostStackCalcs_RES_2[[#Headers],[Ausnet]:[Average]],0)))</f>
        <v>523.31517955598554</v>
      </c>
      <c r="F35" s="106">
        <f>INDEX(CostStackCalcs_RES_2[[Ausnet]:[Average]],MATCH(F$33,CostStackCalcs_RES_2[[Labels]:[Labels]],0),MATCH($D$31,CostStackCalcs_RES_2[[#Headers],[Ausnet]:[Average]],0))</f>
        <v>181.37562065040649</v>
      </c>
      <c r="G35" s="106">
        <f>INDEX(CostStackCalcs_RES_2[[Ausnet]:[Average]],MATCH("Environmental schemes",CostStackCalcs_RES_2[[Labels]:[Labels]],0),MATCH($D$31,CostStackCalcs_RES_2[[#Headers],[Ausnet]:[Average]],0))+
INDEX(CostStackCalcs_RES_2[[Ausnet]:[Average]],MATCH("FiT",CostStackCalcs_RES_2[[Labels]:[Labels]],0),MATCH($D$31,CostStackCalcs_RES_2[[#Headers],[Ausnet]:[Average]],0))+
IF(INDEX(CostStackCalcs_RES_2[[Ausnet]:[Average]],MATCH("Environmental true up",CostStackCalcs_RES_2[[Labels]:[Labels]],0),MATCH($D$31,CostStackCalcs_RES_2[[#Headers],[Ausnet]:[Average]],0))="-",0,
INDEX(CostStackCalcs_RES_2[[Ausnet]:[Average]],MATCH("Environmental true up",CostStackCalcs_RES_2[[Labels]:[Labels]],0),MATCH($D$31,CostStackCalcs_RES_2[[#Headers],[Ausnet]:[Average]],0)))</f>
        <v>138.33283035239262</v>
      </c>
      <c r="H35" s="106">
        <f>INDEX(CostStackCalcs_RES_2[[Ausnet]:[Average]],MATCH(H$33,CostStackCalcs_RES_2[[Labels]:[Labels]],0),MATCH($D$31,CostStackCalcs_RES_2[[#Headers],[Ausnet]:[Average]],0))</f>
        <v>7.8241710885950742</v>
      </c>
      <c r="I35" s="106">
        <f>INDEX(CostStackCalcs_RES_2[[Ausnet]:[Average]],MATCH(I$33,CostStackCalcs_RES_2[[Labels]:[Labels]],0),MATCH($D$31,CostStackCalcs_RES_2[[#Headers],[Ausnet]:[Average]],0))</f>
        <v>68.154132580602891</v>
      </c>
      <c r="J35" s="106">
        <f>INDEX(CostStackCalcs_RES_2[[Ausnet]:[Average]],MATCH(J$33,CostStackCalcs_RES_2[[Labels]:[Labels]],0),MATCH($D$31,CostStackCalcs_RES_2[[#Headers],[Ausnet]:[Average]],0))</f>
        <v>119.65338110674058</v>
      </c>
      <c r="K35" s="106">
        <f>INDEX(CostStackCalcs_RES_2[[Ausnet]:[Average]],MATCH(K$33,CostStackCalcs_RES_2[[Labels]:[Labels]],0),MATCH($D$31,CostStackCalcs_RES_2[[#Headers],[Ausnet]:[Average]],0))</f>
        <v>1342</v>
      </c>
      <c r="M35" s="25">
        <f>IF(OR(ROUNDUP(SUM(D35:J35),0)-K35&lt;1,ROUNDUP(SUM(D35:J35),0)-K35&gt;-1),0,1)</f>
        <v>0</v>
      </c>
      <c r="O35" s="244"/>
    </row>
    <row r="36" spans="1:22" x14ac:dyDescent="0.25">
      <c r="B36"/>
    </row>
    <row r="37" spans="1:22" x14ac:dyDescent="0.25">
      <c r="B37"/>
      <c r="C37" s="83" t="str">
        <f>$D$44</f>
        <v>VDO 2021 - Variation final</v>
      </c>
      <c r="D37" s="120">
        <f>D34/$K34</f>
        <v>0.28288868980403875</v>
      </c>
      <c r="E37" s="120">
        <f t="shared" ref="E37:K38" si="0">E34/$K34</f>
        <v>0.36174539660056665</v>
      </c>
      <c r="F37" s="120">
        <f t="shared" si="0"/>
        <v>0.12872434911687408</v>
      </c>
      <c r="G37" s="120">
        <f t="shared" si="0"/>
        <v>7.7037777223377527E-2</v>
      </c>
      <c r="H37" s="120">
        <f t="shared" si="0"/>
        <v>6.5337030497476488E-3</v>
      </c>
      <c r="I37" s="120">
        <f t="shared" si="0"/>
        <v>5.1758566913994108E-2</v>
      </c>
      <c r="J37" s="120">
        <f t="shared" si="0"/>
        <v>9.0868848270859864E-2</v>
      </c>
      <c r="K37" s="120">
        <f t="shared" si="0"/>
        <v>1</v>
      </c>
    </row>
    <row r="38" spans="1:22" x14ac:dyDescent="0.25">
      <c r="B38"/>
      <c r="C38" s="83" t="str">
        <f>$L$44</f>
        <v>VDO 2022 - Final</v>
      </c>
      <c r="D38" s="120">
        <f>D35/$K35</f>
        <v>0.22588854496100361</v>
      </c>
      <c r="E38" s="120">
        <f>E35/$K35</f>
        <v>0.38995169862592066</v>
      </c>
      <c r="F38" s="120">
        <f t="shared" si="0"/>
        <v>0.13515321956066056</v>
      </c>
      <c r="G38" s="120">
        <f>G35/$K35</f>
        <v>0.10307960532965173</v>
      </c>
      <c r="H38" s="120">
        <f t="shared" si="0"/>
        <v>5.8302318096833637E-3</v>
      </c>
      <c r="I38" s="120">
        <f t="shared" si="0"/>
        <v>5.0785493726231659E-2</v>
      </c>
      <c r="J38" s="120">
        <f t="shared" si="0"/>
        <v>8.9160492627973612E-2</v>
      </c>
      <c r="K38" s="120">
        <f t="shared" si="0"/>
        <v>1</v>
      </c>
    </row>
    <row r="39" spans="1:22" ht="15.75" x14ac:dyDescent="0.25">
      <c r="B39"/>
      <c r="C39" s="30" t="s">
        <v>652</v>
      </c>
      <c r="D39" s="120">
        <f>(D35-D34)/D34</f>
        <v>-0.24107922273064852</v>
      </c>
      <c r="E39" s="120">
        <f t="shared" ref="E39:K39" si="1">(E35-E34)/E34</f>
        <v>2.4532223581540634E-2</v>
      </c>
      <c r="F39" s="120">
        <f t="shared" si="1"/>
        <v>-2.1080703810327835E-3</v>
      </c>
      <c r="G39" s="120">
        <f>(G35-G34)/G34</f>
        <v>0.27170629950950298</v>
      </c>
      <c r="H39" s="120">
        <f t="shared" si="1"/>
        <v>-0.15190549484393956</v>
      </c>
      <c r="I39" s="120">
        <f t="shared" si="1"/>
        <v>-6.7443282225090495E-2</v>
      </c>
      <c r="J39" s="120">
        <f t="shared" si="1"/>
        <v>-6.7443282225090481E-2</v>
      </c>
      <c r="K39" s="120">
        <f t="shared" si="1"/>
        <v>-4.9575070821529746E-2</v>
      </c>
    </row>
    <row r="40" spans="1:22" x14ac:dyDescent="0.25">
      <c r="B40"/>
      <c r="D40" s="120"/>
    </row>
    <row r="41" spans="1:22" x14ac:dyDescent="0.25">
      <c r="B41"/>
      <c r="K41" s="123"/>
      <c r="L41" s="124"/>
    </row>
    <row r="42" spans="1:22" ht="16.5" thickBot="1" x14ac:dyDescent="0.3">
      <c r="A42" s="1" t="s">
        <v>30</v>
      </c>
      <c r="B42" s="9">
        <f ca="1">MAX(B$3:B36)+0.1</f>
        <v>17.200000000000003</v>
      </c>
      <c r="C42" s="29" t="str">
        <f>"VDO cost stack calcs - Flat VDO - "&amp;IF(ISNUMBER(SEARCH("Residential",$C$47)),"Residential","Small business")</f>
        <v>VDO cost stack calcs - Flat VDO - Residential</v>
      </c>
      <c r="D42" s="29"/>
      <c r="E42" s="29"/>
      <c r="F42" s="29"/>
      <c r="G42" s="29"/>
      <c r="H42" s="29"/>
      <c r="I42" s="29"/>
      <c r="J42" s="29"/>
      <c r="K42" s="29"/>
      <c r="L42" s="29"/>
      <c r="M42" s="29"/>
      <c r="N42" s="29"/>
      <c r="O42" s="29"/>
      <c r="P42" s="29"/>
      <c r="Q42" s="29"/>
      <c r="R42" s="29"/>
    </row>
    <row r="43" spans="1:22" x14ac:dyDescent="0.25">
      <c r="V43" s="120"/>
    </row>
    <row r="44" spans="1:22" ht="15.75" x14ac:dyDescent="0.25">
      <c r="C44" s="55" t="s">
        <v>109</v>
      </c>
      <c r="D44" s="42" t="str">
        <f>Calc_Rates!$D$5</f>
        <v>VDO 2021 - Variation final</v>
      </c>
      <c r="F44" s="55" t="s">
        <v>513</v>
      </c>
      <c r="G44" s="83" t="str">
        <f>INDEX(Inputs!$H$10:$Q$10,1,MATCH($D$44,Inputs!$H$8:$Q$8,0))</f>
        <v>VF-CurrentVDO_Input</v>
      </c>
      <c r="H44" s="189" t="str">
        <f>INDEX(Input_TUNet_Dates[[F-CurrentVDO_Input]:[F-NextVDO_Input]],MATCH(F44,Input_TUNet_Dates[Item],0),MATCH(G44,Input_TUNet_Dates[[#Headers],[F-CurrentVDO_Input]:[F-NextVDO_Input]],0))</f>
        <v>-</v>
      </c>
      <c r="K44" s="55" t="s">
        <v>109</v>
      </c>
      <c r="L44" s="42" t="str">
        <f>Calc_Rates!$D$251</f>
        <v>VDO 2022 - Final</v>
      </c>
      <c r="N44" s="55" t="s">
        <v>513</v>
      </c>
      <c r="O44" s="83" t="str">
        <f>INDEX(Inputs!$H$10:$Q$10,1,MATCH($L$44,Inputs!$H$8:$Q$8,0))</f>
        <v>F-NextVDO_Input</v>
      </c>
      <c r="P44" s="189">
        <f>INDEX(Input_TUNet_Dates[[F-CurrentVDO_Input]:[F-NextVDO_Input]],MATCH(N44,Input_TUNet_Dates[Item],0),MATCH(O44,Input_TUNet_Dates[[#Headers],[F-CurrentVDO_Input]:[F-NextVDO_Input]],0))</f>
        <v>44562</v>
      </c>
    </row>
    <row r="45" spans="1:22" ht="15.75" x14ac:dyDescent="0.25">
      <c r="C45" s="30"/>
      <c r="F45" s="55" t="s">
        <v>514</v>
      </c>
      <c r="G45" s="83" t="str">
        <f>INDEX(Inputs!$H$10:$Q$10,1,MATCH($D$44,Inputs!$H$8:$Q$8,0))</f>
        <v>VF-CurrentVDO_Input</v>
      </c>
      <c r="H45" s="189" t="str">
        <f>INDEX(Input_TUNet_Dates[[F-CurrentVDO_Input]:[F-NextVDO_Input]],MATCH(F45,Input_TUNet_Dates[Item],0),MATCH(G45,Input_TUNet_Dates[[#Headers],[F-CurrentVDO_Input]:[F-NextVDO_Input]],0))</f>
        <v>-</v>
      </c>
      <c r="K45" s="30"/>
      <c r="N45" s="55" t="s">
        <v>514</v>
      </c>
      <c r="O45" s="83" t="str">
        <f>INDEX(Inputs!$H$10:$Q$10,1,MATCH($L$44,Inputs!$H$8:$Q$8,0))</f>
        <v>F-NextVDO_Input</v>
      </c>
      <c r="P45" s="189">
        <f>INDEX(Input_TUNet_Dates[[F-CurrentVDO_Input]:[F-NextVDO_Input]],MATCH(N45,Input_TUNet_Dates[Item],0),MATCH(O45,Input_TUNet_Dates[[#Headers],[F-CurrentVDO_Input]:[F-NextVDO_Input]],0))</f>
        <v>44742</v>
      </c>
    </row>
    <row r="46" spans="1:22" ht="15.75" x14ac:dyDescent="0.25">
      <c r="C46" s="43" t="s">
        <v>98</v>
      </c>
      <c r="D46" s="51" t="s">
        <v>343</v>
      </c>
      <c r="F46" s="30"/>
      <c r="K46" s="43" t="s">
        <v>98</v>
      </c>
      <c r="L46" s="51" t="s">
        <v>343</v>
      </c>
      <c r="N46" s="30"/>
    </row>
    <row r="47" spans="1:22" ht="15.75" x14ac:dyDescent="0.25">
      <c r="C47" s="24" t="s">
        <v>232</v>
      </c>
      <c r="D47" s="77">
        <f>INDEX(Input_Usage[[F-CurrentVDO_Input]:[F-NextVDO_Input]],MATCH(CH_CostStack_RES!C47&amp;" - Annual",Input_Usage[Ref],0),MATCH(CH_CostStack_RES!$D$44,Inputs!$I$133:$M$133,0))</f>
        <v>4000</v>
      </c>
      <c r="F47" s="55" t="s">
        <v>574</v>
      </c>
      <c r="H47" s="229" t="str">
        <f>IFERROR(_xlfn.DAYS(H45,H44)+1,"-")</f>
        <v>-</v>
      </c>
      <c r="K47" s="83" t="str">
        <f>$C$47</f>
        <v>Residential - medium</v>
      </c>
      <c r="L47" s="77">
        <f>INDEX(Input_Usage[[F-CurrentVDO_Input]:[F-NextVDO_Input]],MATCH(CH_CostStack_RES!K47&amp;" - Annual",Input_Usage[Ref],0),MATCH(CH_CostStack_RES!$L$44,Inputs!$I$133:$M$133,0))</f>
        <v>4000</v>
      </c>
      <c r="N47" s="55" t="s">
        <v>574</v>
      </c>
      <c r="P47" s="229">
        <f>IFERROR(_xlfn.DAYS(P45,P44)+1,"-")</f>
        <v>181</v>
      </c>
    </row>
    <row r="48" spans="1:22" ht="15.75" x14ac:dyDescent="0.25">
      <c r="C48" s="30"/>
      <c r="K48" s="30"/>
    </row>
    <row r="49" spans="3:24" ht="15.75" x14ac:dyDescent="0.25">
      <c r="C49" s="43" t="s">
        <v>230</v>
      </c>
      <c r="D49" s="77">
        <f>INDEX(Input_Usage[[F-CurrentVDO_Input]:[F-NextVDO_Input]],MATCH(CH_CostStack_RES!$C$47&amp;" - "&amp;CH_CostStack_RES!$C49,Input_Usage[Ref],0),MATCH(CH_CostStack_RES!$D$44,Inputs!$I$133:$M$133,0))</f>
        <v>4000</v>
      </c>
      <c r="F49" s="55" t="s">
        <v>658</v>
      </c>
      <c r="G49" t="s">
        <v>525</v>
      </c>
      <c r="H49" s="83" t="str">
        <f>INDEX(Input_DecisionActual[Decision],MATCH(H50,Input_DecisionActual[Actual],0),1)</f>
        <v>VDO 2021 - Final</v>
      </c>
      <c r="I49" s="77">
        <f>INDEX(Input_TU_Periods[[F-CurrentVDO_Input]:[F-NextVDO_Input]],1,MATCH(H49,Inputs!$F$237:$J$237,0))</f>
        <v>365</v>
      </c>
      <c r="K49" s="43" t="s">
        <v>230</v>
      </c>
      <c r="L49" s="77">
        <f>INDEX(Input_Usage[[F-CurrentVDO_Input]:[F-NextVDO_Input]],MATCH(CH_CostStack_RES!$K$47&amp;" - "&amp;CH_CostStack_RES!$K49,Input_Usage[Ref],0),MATCH(CH_CostStack_RES!$L$44,Inputs!$I$133:$M$133,0))</f>
        <v>4000</v>
      </c>
      <c r="N49" s="55" t="s">
        <v>658</v>
      </c>
      <c r="O49" t="s">
        <v>525</v>
      </c>
      <c r="P49" s="83" t="str">
        <f>INDEX(Input_DecisionActual[Decision],MATCH(P50,Input_DecisionActual[Actual],0),1)</f>
        <v>VDO 2021 - Final</v>
      </c>
      <c r="Q49" s="77">
        <f>INDEX(Input_TU_Periods[[F-CurrentVDO_Input]:[F-NextVDO_Input]],1,MATCH(P49,Inputs!$F$237:$J$237,0))</f>
        <v>365</v>
      </c>
    </row>
    <row r="50" spans="3:24" ht="15.75" x14ac:dyDescent="0.25">
      <c r="C50" s="43" t="s">
        <v>237</v>
      </c>
      <c r="D50" s="77">
        <f>INDEX(Input_Usage[[F-CurrentVDO_Input]:[F-NextVDO_Input]],MATCH(CH_CostStack_RES!$C$47&amp;" - "&amp;CH_CostStack_RES!$C50,Input_Usage[Ref],0),MATCH(CH_CostStack_RES!$D$44,Inputs!$I$133:$M$133,0))</f>
        <v>0</v>
      </c>
      <c r="F50" s="55" t="s">
        <v>658</v>
      </c>
      <c r="G50" t="s">
        <v>524</v>
      </c>
      <c r="H50" s="83" t="str">
        <f>D44</f>
        <v>VDO 2021 - Variation final</v>
      </c>
      <c r="I50" s="77">
        <f>INDEX(Input_TU_Periods[[F-CurrentVDO_Input]:[F-NextVDO_Input]],1,MATCH(H50,Inputs!$F$237:$J$237,0))</f>
        <v>62</v>
      </c>
      <c r="K50" s="43" t="s">
        <v>237</v>
      </c>
      <c r="L50" s="77">
        <f>INDEX(Input_Usage[[F-CurrentVDO_Input]:[F-NextVDO_Input]],MATCH(CH_CostStack_RES!$K$47&amp;" - "&amp;CH_CostStack_RES!$K50,Input_Usage[Ref],0),MATCH(CH_CostStack_RES!$L$44,Inputs!$I$133:$M$133,0))</f>
        <v>0</v>
      </c>
      <c r="N50" s="55" t="s">
        <v>658</v>
      </c>
      <c r="O50" t="s">
        <v>524</v>
      </c>
      <c r="P50" s="83" t="str">
        <f>L44</f>
        <v>VDO 2022 - Final</v>
      </c>
      <c r="Q50" s="77">
        <f>INDEX(Input_TU_Periods[[F-CurrentVDO_Input]:[F-NextVDO_Input]],1,MATCH(P50,Inputs!$F$237:$J$237,0))</f>
        <v>181</v>
      </c>
    </row>
    <row r="51" spans="3:24" ht="15.75" x14ac:dyDescent="0.25">
      <c r="C51" s="30"/>
      <c r="D51" s="114"/>
      <c r="F51" s="55" t="s">
        <v>657</v>
      </c>
      <c r="I51" s="241">
        <f>I49/I50</f>
        <v>5.887096774193548</v>
      </c>
      <c r="K51" s="30"/>
      <c r="N51" s="55" t="s">
        <v>657</v>
      </c>
      <c r="Q51" s="241">
        <f>Q49/Q50</f>
        <v>2.0165745856353592</v>
      </c>
    </row>
    <row r="52" spans="3:24" ht="15.75" x14ac:dyDescent="0.25">
      <c r="C52" s="30"/>
      <c r="D52" s="114"/>
      <c r="K52" s="30"/>
    </row>
    <row r="53" spans="3:24" ht="15.75" x14ac:dyDescent="0.25">
      <c r="C53" s="44" t="s">
        <v>344</v>
      </c>
      <c r="D53" s="61" t="s">
        <v>277</v>
      </c>
      <c r="E53" s="61" t="s">
        <v>278</v>
      </c>
      <c r="F53" s="61" t="s">
        <v>279</v>
      </c>
      <c r="G53" s="61" t="s">
        <v>280</v>
      </c>
      <c r="H53" s="61" t="s">
        <v>281</v>
      </c>
      <c r="I53" s="61" t="s">
        <v>383</v>
      </c>
      <c r="K53" s="44" t="s">
        <v>344</v>
      </c>
      <c r="L53" s="61" t="s">
        <v>277</v>
      </c>
      <c r="M53" s="61" t="s">
        <v>278</v>
      </c>
      <c r="N53" s="61" t="s">
        <v>279</v>
      </c>
      <c r="O53" s="61" t="s">
        <v>280</v>
      </c>
      <c r="P53" s="61" t="s">
        <v>281</v>
      </c>
      <c r="Q53" s="61" t="s">
        <v>383</v>
      </c>
      <c r="U53" s="226"/>
    </row>
    <row r="54" spans="3:24" x14ac:dyDescent="0.25">
      <c r="C54" s="24" t="s">
        <v>137</v>
      </c>
      <c r="D54" s="103">
        <f>D$87*($D$47*(1+D$73))</f>
        <v>403.34196766499991</v>
      </c>
      <c r="E54" s="103">
        <f>E$87*($D$47*(1+E$73))</f>
        <v>374.60133849995998</v>
      </c>
      <c r="F54" s="103">
        <f>F$87*($D$47*(1+F$73))</f>
        <v>407.79431557333345</v>
      </c>
      <c r="G54" s="103">
        <f>G$87*($D$47*(1+G$73))</f>
        <v>396.08606905449994</v>
      </c>
      <c r="H54" s="103">
        <f>H$87*($D$47*(1+H$73))</f>
        <v>415.37045922372005</v>
      </c>
      <c r="I54" s="104">
        <f>AVERAGE(D54:H54)</f>
        <v>399.43883000330271</v>
      </c>
      <c r="K54" s="24" t="s">
        <v>137</v>
      </c>
      <c r="L54" s="103">
        <f>L$87*($L$47*(1+L$73))</f>
        <v>309.54390613097502</v>
      </c>
      <c r="M54" s="103">
        <f>M$87*($L$47*(1+M$73))</f>
        <v>285.3291802666667</v>
      </c>
      <c r="N54" s="103">
        <f>N$87*($L$47*(1+N$73))</f>
        <v>308.31114940500004</v>
      </c>
      <c r="O54" s="103">
        <f>O$87*($L$47*(1+O$73))</f>
        <v>300.28489709751079</v>
      </c>
      <c r="P54" s="103">
        <f>P$87*($L$47*(1+P$73))</f>
        <v>312.2430037881818</v>
      </c>
      <c r="Q54" s="104">
        <f>AVERAGE(L54:P54)</f>
        <v>303.14242733766685</v>
      </c>
      <c r="U54" s="227"/>
      <c r="V54" s="225"/>
    </row>
    <row r="55" spans="3:24" x14ac:dyDescent="0.25">
      <c r="C55" s="24" t="s">
        <v>130</v>
      </c>
      <c r="D55" s="103">
        <f>D$78+(D$92*$D$49)+(D$93*$D$50)+(D$94*$D$47)</f>
        <v>632.82200000000012</v>
      </c>
      <c r="E55" s="103">
        <f>E$78+(E$92*$D$49)+(E$93*$D$50)+(E$94*$D$47)</f>
        <v>471.40899999999999</v>
      </c>
      <c r="F55" s="103">
        <f>F$78+(F$92*$D$49)+(F$93*$D$50)+(F$94*$D$47)</f>
        <v>483.18600000000004</v>
      </c>
      <c r="G55" s="103">
        <f>G$78+(G$92*$D$49)+(G$93*$D$50)+(G$94*$D$47)</f>
        <v>523.97749999999996</v>
      </c>
      <c r="H55" s="103">
        <f>H$78+(H$92*$D$49)+(H$93*$D$50)+(H$94*$D$47)</f>
        <v>442.52800000000002</v>
      </c>
      <c r="I55" s="104">
        <f t="shared" ref="I55:I61" si="2">AVERAGE(D55:H55)</f>
        <v>510.78450000000009</v>
      </c>
      <c r="K55" s="24" t="s">
        <v>130</v>
      </c>
      <c r="L55" s="103">
        <f>L$78+(L$92*$L$49)+(L$93*$L$50)+(L$94*$L$47)</f>
        <v>632.82200000000012</v>
      </c>
      <c r="M55" s="103">
        <f>M$78+(M$92*$L$49)+(M$93*$L$50)+(M$94*$L$47)</f>
        <v>471.40899999999999</v>
      </c>
      <c r="N55" s="103">
        <f>N$78+(N$92*$L$49)+(N$93*$L$50)+(N$94*$L$47)</f>
        <v>483.18600000000004</v>
      </c>
      <c r="O55" s="103">
        <f>O$78+(O$92*$L$49)+(O$93*$L$50)+(O$94*$L$47)</f>
        <v>523.97749999999996</v>
      </c>
      <c r="P55" s="103">
        <f>P$78+(P$92*$L$49)+(P$93*$L$50)+(P$94*$L$47)</f>
        <v>442.52800000000002</v>
      </c>
      <c r="Q55" s="104">
        <f t="shared" ref="Q55:Q63" si="3">AVERAGE(L55:P55)</f>
        <v>510.78450000000009</v>
      </c>
      <c r="T55" s="123"/>
      <c r="U55" s="227"/>
      <c r="V55" s="225"/>
      <c r="X55" s="88"/>
    </row>
    <row r="56" spans="3:24" x14ac:dyDescent="0.25">
      <c r="C56" s="24" t="s">
        <v>115</v>
      </c>
      <c r="D56" s="103">
        <f>D$76</f>
        <v>181.75878095302619</v>
      </c>
      <c r="E56" s="103">
        <f>E$76</f>
        <v>181.75878095302619</v>
      </c>
      <c r="F56" s="103">
        <f>F$76</f>
        <v>181.75878095302619</v>
      </c>
      <c r="G56" s="103">
        <f>G$76</f>
        <v>181.75878095302619</v>
      </c>
      <c r="H56" s="103">
        <f>H$76</f>
        <v>181.75878095302619</v>
      </c>
      <c r="I56" s="104">
        <f t="shared" si="2"/>
        <v>181.75878095302619</v>
      </c>
      <c r="K56" s="24" t="s">
        <v>115</v>
      </c>
      <c r="L56" s="103">
        <f>L$76</f>
        <v>181.37562065040649</v>
      </c>
      <c r="M56" s="103">
        <f>M$76</f>
        <v>181.37562065040649</v>
      </c>
      <c r="N56" s="103">
        <f>N$76</f>
        <v>181.37562065040649</v>
      </c>
      <c r="O56" s="103">
        <f>O$76</f>
        <v>181.37562065040649</v>
      </c>
      <c r="P56" s="103">
        <f>P$76</f>
        <v>181.37562065040649</v>
      </c>
      <c r="Q56" s="104">
        <f t="shared" si="3"/>
        <v>181.37562065040649</v>
      </c>
      <c r="U56" s="227"/>
      <c r="V56" s="225"/>
      <c r="X56" s="88"/>
    </row>
    <row r="57" spans="3:24" x14ac:dyDescent="0.25">
      <c r="C57" s="24" t="s">
        <v>611</v>
      </c>
      <c r="D57" s="103">
        <f>(D$85*($D$47*(1+D$73)))</f>
        <v>99.012279151499143</v>
      </c>
      <c r="E57" s="103">
        <f>(E$85*($D$47*(1+E$73)))</f>
        <v>97.300862267596088</v>
      </c>
      <c r="F57" s="103">
        <f>(F$85*($D$47*(1+F$73)))</f>
        <v>96.284429634343809</v>
      </c>
      <c r="G57" s="103">
        <f>(G$85*($D$47*(1+G$73)))</f>
        <v>99.387119975088339</v>
      </c>
      <c r="H57" s="103">
        <f>(H$85*($D$47*(1+H$73)))</f>
        <v>97.655775223080724</v>
      </c>
      <c r="I57" s="104">
        <f t="shared" si="2"/>
        <v>97.928093250321623</v>
      </c>
      <c r="K57" s="24" t="s">
        <v>611</v>
      </c>
      <c r="L57" s="103">
        <f>(L$85*($L$47*(1+L$73)))</f>
        <v>114.20635313207585</v>
      </c>
      <c r="M57" s="103">
        <f>(M$85*($L$47*(1+M$73)))</f>
        <v>110.85447438605942</v>
      </c>
      <c r="N57" s="103">
        <f>(N$85*($L$47*(1+N$73)))</f>
        <v>110.27514499501036</v>
      </c>
      <c r="O57" s="103">
        <f>(O$85*($L$47*(1+O$73)))</f>
        <v>113.36785832784992</v>
      </c>
      <c r="P57" s="103">
        <f>(P$85*($L$47*(1+P$73)))</f>
        <v>110.87185848457094</v>
      </c>
      <c r="Q57" s="104">
        <f>AVERAGE(L57:P57)</f>
        <v>111.91513786511329</v>
      </c>
      <c r="U57" s="227"/>
      <c r="V57" s="225"/>
      <c r="X57" s="88"/>
    </row>
    <row r="58" spans="3:24" x14ac:dyDescent="0.25">
      <c r="C58" s="128" t="s">
        <v>607</v>
      </c>
      <c r="D58" s="210">
        <f>D82</f>
        <v>10.849248189087444</v>
      </c>
      <c r="E58" s="210">
        <f>E82</f>
        <v>10.849248189087444</v>
      </c>
      <c r="F58" s="210">
        <f>F82</f>
        <v>10.849248189087444</v>
      </c>
      <c r="G58" s="210">
        <f>G82</f>
        <v>10.849248189087444</v>
      </c>
      <c r="H58" s="210">
        <f>H82</f>
        <v>10.849248189087444</v>
      </c>
      <c r="I58" s="211">
        <f>AVERAGE(D58:H58)</f>
        <v>10.849248189087444</v>
      </c>
      <c r="K58" s="128" t="s">
        <v>607</v>
      </c>
      <c r="L58" s="210">
        <f>L82</f>
        <v>13.337821545021233</v>
      </c>
      <c r="M58" s="210">
        <f t="shared" ref="M58:P58" si="4">M82</f>
        <v>13.337821545021233</v>
      </c>
      <c r="N58" s="210">
        <f t="shared" si="4"/>
        <v>13.337821545021233</v>
      </c>
      <c r="O58" s="210">
        <f t="shared" si="4"/>
        <v>13.337821545021233</v>
      </c>
      <c r="P58" s="210">
        <f t="shared" si="4"/>
        <v>13.337821545021233</v>
      </c>
      <c r="Q58" s="211">
        <f>AVERAGE(L58:P58)</f>
        <v>13.337821545021233</v>
      </c>
      <c r="U58" s="227"/>
      <c r="V58" s="225"/>
    </row>
    <row r="59" spans="3:24" x14ac:dyDescent="0.25">
      <c r="C59" s="24" t="s">
        <v>282</v>
      </c>
      <c r="D59" s="103">
        <f>D$80+(D$89*($D$47*(1+D$73)))</f>
        <v>9.2598973434295004</v>
      </c>
      <c r="E59" s="103">
        <f>E$80+(E$89*($D$47*(1+E$73)))</f>
        <v>9.2057402280494305</v>
      </c>
      <c r="F59" s="103">
        <f>F$80+(F$89*($D$47*(1+F$73)))</f>
        <v>9.1735756164268238</v>
      </c>
      <c r="G59" s="103">
        <f>G$80+(G$89*($D$47*(1+G$73)))</f>
        <v>9.2717590341275518</v>
      </c>
      <c r="H59" s="103">
        <f>H$80+(H$89*($D$47*(1+H$73)))</f>
        <v>9.2169713091850962</v>
      </c>
      <c r="I59" s="104">
        <f t="shared" si="2"/>
        <v>9.2255887062436805</v>
      </c>
      <c r="K59" s="24" t="s">
        <v>282</v>
      </c>
      <c r="L59" s="103">
        <f>L$80+(L$89*($L$47*(1+L$73)))</f>
        <v>7.9000088300461737</v>
      </c>
      <c r="M59" s="103">
        <f>M$80+(M$89*($L$47*(1+M$73)))</f>
        <v>7.7890638143677391</v>
      </c>
      <c r="N59" s="103">
        <f>N$80+(N$89*($L$47*(1+N$73)))</f>
        <v>7.7698883867215862</v>
      </c>
      <c r="O59" s="103">
        <f>O$80+(O$89*($L$47*(1+O$73)))</f>
        <v>7.8722551950700606</v>
      </c>
      <c r="P59" s="103">
        <f>P$80+(P$89*($L$47*(1+P$73)))</f>
        <v>7.7896392167698121</v>
      </c>
      <c r="Q59" s="104">
        <f t="shared" si="3"/>
        <v>7.8241710885950742</v>
      </c>
      <c r="U59" s="227"/>
      <c r="V59" s="225"/>
    </row>
    <row r="60" spans="3:24" x14ac:dyDescent="0.25">
      <c r="C60" s="24" t="s">
        <v>211</v>
      </c>
      <c r="D60" s="103">
        <f>SUM(D54:D59)*D$71</f>
        <v>80.757468067443341</v>
      </c>
      <c r="E60" s="103">
        <f>SUM(E54:E59)*E$71</f>
        <v>69.165548196318241</v>
      </c>
      <c r="F60" s="103">
        <f>SUM(F54:F59)*F$71</f>
        <v>71.81839953795955</v>
      </c>
      <c r="G60" s="103">
        <f>SUM(G54:G59)*G$71</f>
        <v>73.768360823232086</v>
      </c>
      <c r="H60" s="103">
        <f>SUM(H54:H59)*H$71</f>
        <v>69.905705787845207</v>
      </c>
      <c r="I60" s="104">
        <f t="shared" si="2"/>
        <v>73.083096482559682</v>
      </c>
      <c r="K60" s="24" t="s">
        <v>211</v>
      </c>
      <c r="L60" s="103">
        <f>SUM(L54:L59)*L$71</f>
        <v>76.054816901426904</v>
      </c>
      <c r="M60" s="103">
        <f>SUM(M54:M59)*M$71</f>
        <v>64.633747704016287</v>
      </c>
      <c r="N60" s="103">
        <f>SUM(N54:N59)*N$71</f>
        <v>66.697039748922435</v>
      </c>
      <c r="O60" s="103">
        <f>SUM(O54:O59)*O$71</f>
        <v>68.869043550077848</v>
      </c>
      <c r="P60" s="103">
        <f>SUM(P54:P59)*P$71</f>
        <v>64.516014998570995</v>
      </c>
      <c r="Q60" s="104">
        <f t="shared" si="3"/>
        <v>68.154132580602891</v>
      </c>
      <c r="U60" s="227"/>
      <c r="V60" s="225"/>
    </row>
    <row r="61" spans="3:24" x14ac:dyDescent="0.25">
      <c r="C61" s="24" t="s">
        <v>286</v>
      </c>
      <c r="D61" s="103">
        <f>SUM(D54:D60)*GST</f>
        <v>141.78016413694854</v>
      </c>
      <c r="E61" s="103">
        <f>SUM(E54:E60)*GST</f>
        <v>121.42905183340375</v>
      </c>
      <c r="F61" s="103">
        <f>SUM(F54:F60)*GST</f>
        <v>126.08647495041771</v>
      </c>
      <c r="G61" s="103">
        <f>SUM(G54:G60)*GST</f>
        <v>129.50988380290616</v>
      </c>
      <c r="H61" s="103">
        <f>SUM(H54:H60)*GST</f>
        <v>122.72849406859446</v>
      </c>
      <c r="I61" s="104">
        <f t="shared" si="2"/>
        <v>128.30681375845413</v>
      </c>
      <c r="K61" s="24" t="s">
        <v>286</v>
      </c>
      <c r="L61" s="103">
        <f>SUM(L54:L60)*GST</f>
        <v>133.52405271899519</v>
      </c>
      <c r="M61" s="103">
        <f>SUM(M54:M60)*GST</f>
        <v>113.47289083665376</v>
      </c>
      <c r="N61" s="103">
        <f>SUM(N54:N60)*GST</f>
        <v>117.09526647310821</v>
      </c>
      <c r="O61" s="103">
        <f>SUM(O54:O60)*GST</f>
        <v>120.90849963659362</v>
      </c>
      <c r="P61" s="103">
        <f>SUM(P54:P60)*GST</f>
        <v>113.26619586835214</v>
      </c>
      <c r="Q61" s="104">
        <f t="shared" si="3"/>
        <v>119.65338110674058</v>
      </c>
      <c r="U61" s="227"/>
      <c r="V61" s="225"/>
    </row>
    <row r="62" spans="3:24" x14ac:dyDescent="0.25">
      <c r="C62" s="24" t="s">
        <v>552</v>
      </c>
      <c r="D62" s="135" t="str">
        <f>IFERROR((D$97*$H$47),"-")</f>
        <v>-</v>
      </c>
      <c r="E62" s="135" t="str">
        <f>IFERROR((E$97*$H$47),"-")</f>
        <v>-</v>
      </c>
      <c r="F62" s="135" t="str">
        <f>IFERROR((F$97*$H$47),"-")</f>
        <v>-</v>
      </c>
      <c r="G62" s="135" t="str">
        <f>IFERROR((G$97*$H$47),"-")</f>
        <v>-</v>
      </c>
      <c r="H62" s="135" t="str">
        <f>IFERROR((H$97*$H$47),"-")</f>
        <v>-</v>
      </c>
      <c r="I62" s="104" t="str">
        <f>IFERROR(AVERAGE(D62:H62),"-")</f>
        <v>-</v>
      </c>
      <c r="K62" s="24" t="s">
        <v>552</v>
      </c>
      <c r="L62" s="135">
        <f>IFERROR((L$97*$P$47),"-")</f>
        <v>11.935672304856654</v>
      </c>
      <c r="M62" s="135">
        <f>IFERROR((M$97*$P$47),"-")</f>
        <v>16.187167340424587</v>
      </c>
      <c r="N62" s="135">
        <f>IFERROR((N$97*$P$47),"-")</f>
        <v>14.087579955431812</v>
      </c>
      <c r="O62" s="135">
        <f>IFERROR((O$97*$P$47),"-")</f>
        <v>14.085074916598433</v>
      </c>
      <c r="P62" s="135">
        <f>IFERROR((P$97*$P$47),"-")</f>
        <v>6.3579032626155501</v>
      </c>
      <c r="Q62" s="104">
        <f>IFERROR(AVERAGE(L62:P62),"-")</f>
        <v>12.530679555985406</v>
      </c>
      <c r="U62" s="227"/>
      <c r="V62" s="225"/>
    </row>
    <row r="63" spans="3:24" x14ac:dyDescent="0.25">
      <c r="C63" s="24" t="s">
        <v>553</v>
      </c>
      <c r="D63" s="135">
        <f>(D$100*($D$49/$I$51))+(D$101*($D$50/$I$51))+(D$102*($D$47/$I$51))</f>
        <v>0</v>
      </c>
      <c r="E63" s="135">
        <f t="shared" ref="E63:H63" si="5">(E$100*($D$49/$I$51))+(E$101*($D$50/$I$51))+(E$102*($D$47/$I$51))</f>
        <v>0</v>
      </c>
      <c r="F63" s="135">
        <f t="shared" si="5"/>
        <v>0</v>
      </c>
      <c r="G63" s="135">
        <f t="shared" si="5"/>
        <v>0</v>
      </c>
      <c r="H63" s="135">
        <f t="shared" si="5"/>
        <v>0</v>
      </c>
      <c r="I63" s="104">
        <f t="shared" ref="I63" si="6">AVERAGE(D63:H63)</f>
        <v>0</v>
      </c>
      <c r="K63" s="24" t="s">
        <v>553</v>
      </c>
      <c r="L63" s="135">
        <f>(L$100*($L$49/$Q$51))+(L$101*($L$50/$Q$51))+(L$102*($L$47/$Q$51))</f>
        <v>13.224681396481557</v>
      </c>
      <c r="M63" s="135">
        <f t="shared" ref="M63:N63" si="7">(M$100*($L$49/$Q$51))+(M$101*($L$50/$Q$51))+(M$102*($L$47/$Q$51))</f>
        <v>12.996094162452266</v>
      </c>
      <c r="N63" s="135">
        <f t="shared" si="7"/>
        <v>12.860333246221057</v>
      </c>
      <c r="O63" s="135">
        <f>(O$100*($L$49/$Q$51))+(O$101*($L$50/$Q$51))+(O$102*($L$47/$Q$51))</f>
        <v>13.274747413634611</v>
      </c>
      <c r="P63" s="135">
        <f>(P$100*($L$49/$Q$51))+(P$101*($L$50/$Q$51))+(P$102*($L$47/$Q$51))</f>
        <v>13.04349849250093</v>
      </c>
      <c r="Q63" s="104">
        <f t="shared" si="3"/>
        <v>13.079870942258086</v>
      </c>
      <c r="T63" s="114"/>
      <c r="U63" s="227"/>
      <c r="V63" s="225"/>
      <c r="X63" s="88"/>
    </row>
    <row r="64" spans="3:24" x14ac:dyDescent="0.25">
      <c r="C64" s="128"/>
      <c r="D64" s="210"/>
      <c r="E64" s="210"/>
      <c r="F64" s="210"/>
      <c r="G64" s="210"/>
      <c r="H64" s="210"/>
      <c r="I64" s="211"/>
      <c r="K64" s="128"/>
      <c r="L64" s="210"/>
      <c r="M64" s="210"/>
      <c r="N64" s="210"/>
      <c r="O64" s="210"/>
      <c r="P64" s="210"/>
      <c r="Q64" s="211"/>
      <c r="S64" s="109"/>
      <c r="V64" s="225"/>
    </row>
    <row r="65" spans="3:24" x14ac:dyDescent="0.25">
      <c r="C65" s="45" t="s">
        <v>649</v>
      </c>
      <c r="D65" s="230">
        <f>ROUNDUP(SUM(D54:D63),0)</f>
        <v>1560</v>
      </c>
      <c r="E65" s="230">
        <f t="shared" ref="E65:H65" si="8">ROUNDUP(SUM(E54:E63),0)</f>
        <v>1336</v>
      </c>
      <c r="F65" s="230">
        <f>ROUNDUP(SUM(F54:F63),0)</f>
        <v>1387</v>
      </c>
      <c r="G65" s="230">
        <f t="shared" si="8"/>
        <v>1425</v>
      </c>
      <c r="H65" s="230">
        <f t="shared" si="8"/>
        <v>1351</v>
      </c>
      <c r="I65" s="104">
        <f>AVERAGE(D65:H65)</f>
        <v>1411.8</v>
      </c>
      <c r="K65" s="45" t="s">
        <v>649</v>
      </c>
      <c r="L65" s="230">
        <f>ROUNDUP(SUM(L54:L63),0)</f>
        <v>1494</v>
      </c>
      <c r="M65" s="230">
        <f t="shared" ref="M65" si="9">ROUNDUP(SUM(M54:M63),0)</f>
        <v>1278</v>
      </c>
      <c r="N65" s="230">
        <f t="shared" ref="N65" si="10">ROUNDUP(SUM(N54:N63),0)</f>
        <v>1315</v>
      </c>
      <c r="O65" s="230">
        <f t="shared" ref="O65" si="11">ROUNDUP(SUM(O54:O63),0)</f>
        <v>1358</v>
      </c>
      <c r="P65" s="230">
        <f t="shared" ref="P65" si="12">ROUNDUP(SUM(P54:P63),0)</f>
        <v>1266</v>
      </c>
      <c r="Q65" s="104">
        <f>AVERAGE(L65:P65)</f>
        <v>1342.2</v>
      </c>
    </row>
    <row r="66" spans="3:24" x14ac:dyDescent="0.25">
      <c r="C66" s="128"/>
      <c r="D66" s="210"/>
      <c r="E66" s="210"/>
      <c r="F66" s="210"/>
      <c r="G66" s="210"/>
      <c r="H66" s="210"/>
      <c r="I66" s="211"/>
      <c r="K66" s="128"/>
      <c r="L66" s="210"/>
      <c r="M66" s="210"/>
      <c r="N66" s="210"/>
      <c r="O66" s="210"/>
      <c r="P66" s="210"/>
      <c r="Q66" s="211"/>
    </row>
    <row r="67" spans="3:24" x14ac:dyDescent="0.25">
      <c r="C67" s="128" t="s">
        <v>384</v>
      </c>
      <c r="D67" s="210">
        <f>ROUNDUP(
(INDEX(OP_Rates_RES_1[[Ausnet]:[United Energy]],MATCH("Anytime - supply",OP_Rates_RES_1[[Rate name]:[Rate name]],0),MATCH(CostStackCalcs_RES_1[[#Headers],[Ausnet]],OP_Rates_RES_1[[#Headers],[Ausnet]:[United Energy]],0))*DiY)+
(IFERROR(INDEX(OP_RatesTU_RES_1[[Ausnet]:[United Energy]],MATCH("Anytime",OP_RatesTU_RES_1[[Rate name]:[Rate name]],0),MATCH(CostStackCalcs_RES_1[[#Headers],[Ausnet]],OP_RatesTU_RES_1[[#Headers],[Ausnet]:[United Energy]],0))*$H$47,0))
+
(IFERROR((INDEX(OP_Rates_RES_1[[Ausnet]:[United Energy]],MATCH("Block 1",OP_Rates_RES_1[[Rate name]:[Rate name]],0),MATCH(CostStackCalcs_RES_1[[#Headers],[Ausnet]],OP_Rates_RES_1[[#Headers],[Ausnet]:[United Energy]],0))*$D$49),0)+
IFERROR((INDEX(OP_Rates_RES_1[[Ausnet]:[United Energy]],MATCH("Balance",OP_Rates_RES_1[[Rate name]:[Rate name]],0),MATCH(CostStackCalcs_RES_1[[#Headers],[Ausnet]],OP_Rates_RES_1[[#Headers],[Ausnet]:[United Energy]],0))*$D$50),0)+
IFERROR((INDEX(OP_Rates_RES_1[[Ausnet]:[United Energy]],MATCH("Single rate",OP_Rates_RES_1[[Rate name]:[Rate name]],0),MATCH(CostStackCalcs_RES_1[[#Headers],[Ausnet]],OP_Rates_RES_1[[#Headers],[Ausnet]:[United Energy]],0))*$D$47),0))
+
(IFERROR((INDEX(OP_RatesTU_RES_1[[Ausnet]:[United Energy]],MATCH("Block 1",OP_RatesTU_RES_1[[Rate name]:[Rate name]],0),MATCH(CostStackCalcs_RES_1[[#Headers],[Ausnet]],OP_RatesTU_RES_1[[#Headers],[Ausnet]:[United Energy]],0))*($D$49/$I$51)),0)+
IFERROR((INDEX(OP_RatesTU_RES_1[[Ausnet]:[United Energy]],MATCH("Balance",OP_RatesTU_RES_1[[Rate name]:[Rate name]],0),MATCH(CostStackCalcs_RES_1[[#Headers],[Ausnet]],OP_RatesTU_RES_1[[#Headers],[Ausnet]:[United Energy]],0))*($D$50/$I$51)),0)+
IFERROR((INDEX(OP_RatesTU_RES_1[[Ausnet]:[United Energy]],MATCH("Single rate",OP_RatesTU_RES_1[[Rate name]:[Rate name]],0),MATCH(CostStackCalcs_RES_1[[#Headers],[Ausnet]],OP_RatesTU_RES_1[[#Headers],[Ausnet]:[United Energy]],0))*($D$47/$I$51)),0)),0)</f>
        <v>1560</v>
      </c>
      <c r="E67" s="210">
        <f>ROUNDUP(
(INDEX(OP_Rates_RES_1[[Ausnet]:[United Energy]],MATCH("Anytime - supply",OP_Rates_RES_1[[Rate name]:[Rate name]],0),MATCH(CostStackCalcs_RES_1[[#Headers],[Citipower]],OP_Rates_RES_1[[#Headers],[Ausnet]:[United Energy]],0))*DiY)+
(IFERROR(INDEX(OP_RatesTU_RES_1[[Ausnet]:[United Energy]],MATCH("Anytime",OP_RatesTU_RES_1[[Rate name]:[Rate name]],0),MATCH(CostStackCalcs_RES_1[[#Headers],[Citipower]],OP_RatesTU_RES_1[[#Headers],[Ausnet]:[United Energy]],0))*$H$47,0))
+
(IFERROR((INDEX(OP_Rates_RES_1[[Ausnet]:[United Energy]],MATCH("Block 1",OP_Rates_RES_1[[Rate name]:[Rate name]],0),MATCH(CostStackCalcs_RES_1[[#Headers],[Citipower]],OP_Rates_RES_1[[#Headers],[Ausnet]:[United Energy]],0))*$D$49),0)+
IFERROR((INDEX(OP_Rates_RES_1[[Ausnet]:[United Energy]],MATCH("Balance",OP_Rates_RES_1[[Rate name]:[Rate name]],0),MATCH(CostStackCalcs_RES_1[[#Headers],[Citipower]],OP_Rates_RES_1[[#Headers],[Ausnet]:[United Energy]],0))*$D$50),0)+
IFERROR((INDEX(OP_Rates_RES_1[[Ausnet]:[United Energy]],MATCH("Single rate",OP_Rates_RES_1[[Rate name]:[Rate name]],0),MATCH(CostStackCalcs_RES_1[[#Headers],[Citipower]],OP_Rates_RES_1[[#Headers],[Ausnet]:[United Energy]],0))*$D$47),0))
+
(IFERROR((INDEX(OP_RatesTU_RES_1[[Ausnet]:[United Energy]],MATCH("Block 1",OP_RatesTU_RES_1[[Rate name]:[Rate name]],0),MATCH(CostStackCalcs_RES_1[[#Headers],[Citipower]],OP_RatesTU_RES_1[[#Headers],[Ausnet]:[United Energy]],0))*($D$49/$I$51)),0)+
IFERROR((INDEX(OP_RatesTU_RES_1[[Ausnet]:[United Energy]],MATCH("Balance",OP_RatesTU_RES_1[[Rate name]:[Rate name]],0),MATCH(CostStackCalcs_RES_1[[#Headers],[Citipower]],OP_RatesTU_RES_1[[#Headers],[Ausnet]:[United Energy]],0))*($D$50/$I$51)),0)+
IFERROR((INDEX(OP_RatesTU_RES_1[[Ausnet]:[United Energy]],MATCH("Single rate",OP_RatesTU_RES_1[[Rate name]:[Rate name]],0),MATCH(CostStackCalcs_RES_1[[#Headers],[Citipower]],OP_RatesTU_RES_1[[#Headers],[Ausnet]:[United Energy]],0))*($D$47/$I$51)),0)),0)</f>
        <v>1336</v>
      </c>
      <c r="F67" s="210">
        <f>ROUNDUP(
(INDEX(OP_Rates_RES_1[[Ausnet]:[United Energy]],MATCH("Anytime - supply",OP_Rates_RES_1[[Rate name]:[Rate name]],0),MATCH(CostStackCalcs_RES_1[[#Headers],[Jemena]],OP_Rates_RES_1[[#Headers],[Ausnet]:[United Energy]],0))*DiY)+
(IFERROR(INDEX(OP_RatesTU_RES_1[[Ausnet]:[United Energy]],MATCH("Anytime",OP_RatesTU_RES_1[[Rate name]:[Rate name]],0),MATCH(CostStackCalcs_RES_1[[#Headers],[Jemena]],OP_RatesTU_RES_1[[#Headers],[Ausnet]:[United Energy]],0))*$H$47,0))
+
(IFERROR((INDEX(OP_Rates_RES_1[[Ausnet]:[United Energy]],MATCH("Block 1",OP_Rates_RES_1[[Rate name]:[Rate name]],0),MATCH(CostStackCalcs_RES_1[[#Headers],[Jemena]],OP_Rates_RES_1[[#Headers],[Ausnet]:[United Energy]],0))*$D$49),0)+
IFERROR((INDEX(OP_Rates_RES_1[[Ausnet]:[United Energy]],MATCH("Balance",OP_Rates_RES_1[[Rate name]:[Rate name]],0),MATCH(CostStackCalcs_RES_1[[#Headers],[Jemena]],OP_Rates_RES_1[[#Headers],[Ausnet]:[United Energy]],0))*$D$50),0)+
IFERROR((INDEX(OP_Rates_RES_1[[Ausnet]:[United Energy]],MATCH("Single rate",OP_Rates_RES_1[[Rate name]:[Rate name]],0),MATCH(CostStackCalcs_RES_1[[#Headers],[Jemena]],OP_Rates_RES_1[[#Headers],[Ausnet]:[United Energy]],0))*$D$47),0))
+
(IFERROR((INDEX(OP_RatesTU_RES_1[[Ausnet]:[United Energy]],MATCH("Block 1",OP_RatesTU_RES_1[[Rate name]:[Rate name]],0),MATCH(CostStackCalcs_RES_1[[#Headers],[Jemena]],OP_RatesTU_RES_1[[#Headers],[Ausnet]:[United Energy]],0))*($D$49/$I$51)),0)+
IFERROR((INDEX(OP_RatesTU_RES_1[[Ausnet]:[United Energy]],MATCH("Balance",OP_RatesTU_RES_1[[Rate name]:[Rate name]],0),MATCH(CostStackCalcs_RES_1[[#Headers],[Jemena]],OP_RatesTU_RES_1[[#Headers],[Ausnet]:[United Energy]],0))*($D$50/$I$51)),0)+
IFERROR((INDEX(OP_RatesTU_RES_1[[Ausnet]:[United Energy]],MATCH("Single rate",OP_RatesTU_RES_1[[Rate name]:[Rate name]],0),MATCH(CostStackCalcs_RES_1[[#Headers],[Jemena]],OP_RatesTU_RES_1[[#Headers],[Ausnet]:[United Energy]],0))*($D$47/$I$51)),0)),0)</f>
        <v>1387</v>
      </c>
      <c r="G67" s="210">
        <f>ROUNDUP(
(INDEX(OP_Rates_RES_1[[Ausnet]:[United Energy]],MATCH("Anytime - supply",OP_Rates_RES_1[[Rate name]:[Rate name]],0),MATCH(CostStackCalcs_RES_1[[#Headers],[Powercor]],OP_Rates_RES_1[[#Headers],[Ausnet]:[United Energy]],0))*DiY)+
(IFERROR(INDEX(OP_RatesTU_RES_1[[Ausnet]:[United Energy]],MATCH("Anytime",OP_RatesTU_RES_1[[Rate name]:[Rate name]],0),MATCH(CostStackCalcs_RES_1[[#Headers],[Powercor]],OP_RatesTU_RES_1[[#Headers],[Ausnet]:[United Energy]],0))*$H$47,0))
+
(IFERROR((INDEX(OP_Rates_RES_1[[Ausnet]:[United Energy]],MATCH("Block 1",OP_Rates_RES_1[[Rate name]:[Rate name]],0),MATCH(CostStackCalcs_RES_1[[#Headers],[Powercor]],OP_Rates_RES_1[[#Headers],[Ausnet]:[United Energy]],0))*$D$49),0)+
IFERROR((INDEX(OP_Rates_RES_1[[Ausnet]:[United Energy]],MATCH("Balance",OP_Rates_RES_1[[Rate name]:[Rate name]],0),MATCH(CostStackCalcs_RES_1[[#Headers],[Powercor]],OP_Rates_RES_1[[#Headers],[Ausnet]:[United Energy]],0))*$D$50),0)+
IFERROR((INDEX(OP_Rates_RES_1[[Ausnet]:[United Energy]],MATCH("Single rate",OP_Rates_RES_1[[Rate name]:[Rate name]],0),MATCH(CostStackCalcs_RES_1[[#Headers],[Powercor]],OP_Rates_RES_1[[#Headers],[Ausnet]:[United Energy]],0))*$D$47),0))
+
(IFERROR((INDEX(OP_RatesTU_RES_1[[Ausnet]:[United Energy]],MATCH("Block 1",OP_RatesTU_RES_1[[Rate name]:[Rate name]],0),MATCH(CostStackCalcs_RES_1[[#Headers],[Powercor]],OP_RatesTU_RES_1[[#Headers],[Ausnet]:[United Energy]],0))*($D$49/$I$51)),0)+
IFERROR((INDEX(OP_RatesTU_RES_1[[Ausnet]:[United Energy]],MATCH("Balance",OP_RatesTU_RES_1[[Rate name]:[Rate name]],0),MATCH(CostStackCalcs_RES_1[[#Headers],[Powercor]],OP_RatesTU_RES_1[[#Headers],[Ausnet]:[United Energy]],0))*($D$50/$I$51)),0)+
IFERROR((INDEX(OP_RatesTU_RES_1[[Ausnet]:[United Energy]],MATCH("Single rate",OP_RatesTU_RES_1[[Rate name]:[Rate name]],0),MATCH(CostStackCalcs_RES_1[[#Headers],[Powercor]],OP_RatesTU_RES_1[[#Headers],[Ausnet]:[United Energy]],0))*($D$47/$I$51)),0)),0)</f>
        <v>1425</v>
      </c>
      <c r="H67" s="210">
        <f>ROUNDUP(
(INDEX(OP_Rates_RES_1[[Ausnet]:[United Energy]],MATCH("Anytime - supply",OP_Rates_RES_1[[Rate name]:[Rate name]],0),MATCH(CostStackCalcs_RES_1[[#Headers],[United Energy]],OP_Rates_RES_1[[#Headers],[Ausnet]:[United Energy]],0))*DiY)+
(IFERROR(INDEX(OP_RatesTU_RES_1[[Ausnet]:[United Energy]],MATCH("Anytime",OP_RatesTU_RES_1[[Rate name]:[Rate name]],0),MATCH(CostStackCalcs_RES_1[[#Headers],[United Energy]],OP_RatesTU_RES_1[[#Headers],[Ausnet]:[United Energy]],0))*$H$47,0))
+
(IFERROR((INDEX(OP_Rates_RES_1[[Ausnet]:[United Energy]],MATCH("Block 1",OP_Rates_RES_1[[Rate name]:[Rate name]],0),MATCH(CostStackCalcs_RES_1[[#Headers],[United Energy]],OP_Rates_RES_1[[#Headers],[Ausnet]:[United Energy]],0))*$D$49),0)+
IFERROR((INDEX(OP_Rates_RES_1[[Ausnet]:[United Energy]],MATCH("Balance",OP_Rates_RES_1[[Rate name]:[Rate name]],0),MATCH(CostStackCalcs_RES_1[[#Headers],[United Energy]],OP_Rates_RES_1[[#Headers],[Ausnet]:[United Energy]],0))*$D$50),0)+
IFERROR((INDEX(OP_Rates_RES_1[[Ausnet]:[United Energy]],MATCH("Single rate",OP_Rates_RES_1[[Rate name]:[Rate name]],0),MATCH(CostStackCalcs_RES_1[[#Headers],[United Energy]],OP_Rates_RES_1[[#Headers],[Ausnet]:[United Energy]],0))*$D$47),0))
+
(IFERROR((INDEX(OP_RatesTU_RES_1[[Ausnet]:[United Energy]],MATCH("Block 1",OP_RatesTU_RES_1[[Rate name]:[Rate name]],0),MATCH(CostStackCalcs_RES_1[[#Headers],[United Energy]],OP_RatesTU_RES_1[[#Headers],[Ausnet]:[United Energy]],0))*($D$49/$I$51)),0)+
IFERROR((INDEX(OP_RatesTU_RES_1[[Ausnet]:[United Energy]],MATCH("Balance",OP_RatesTU_RES_1[[Rate name]:[Rate name]],0),MATCH(CostStackCalcs_RES_1[[#Headers],[United Energy]],OP_RatesTU_RES_1[[#Headers],[Ausnet]:[United Energy]],0))*($D$50/$I$51)),0)+
IFERROR((INDEX(OP_RatesTU_RES_1[[Ausnet]:[United Energy]],MATCH("Single rate",OP_RatesTU_RES_1[[Rate name]:[Rate name]],0),MATCH(CostStackCalcs_RES_1[[#Headers],[United Energy]],OP_RatesTU_RES_1[[#Headers],[Ausnet]:[United Energy]],0))*($D$47/$I$51)),0)),0)</f>
        <v>1351</v>
      </c>
      <c r="I67" s="104">
        <f>ROUND(AVERAGE(D67:H67),0)</f>
        <v>1412</v>
      </c>
      <c r="K67" s="128" t="s">
        <v>384</v>
      </c>
      <c r="L67" s="210">
        <f>ROUNDUP(
(INDEX(OP_Rates_RES_2[[Ausnet]:[United Energy]],MATCH("Anytime - supply",OP_Rates_RES_2[[Rate name]:[Rate name]],0),MATCH(CostStackCalcs_RES_2[[#Headers],[Ausnet]],OP_Rates_RES_2[[#Headers],[Ausnet]:[United Energy]],0))*DiY)+
(IFERROR(INDEX(OP_RatesTU_RES_2[[Ausnet]:[United Energy]],MATCH("Anytime",OP_RatesTU_RES_2[[Rate name]:[Rate name]],0),MATCH(CostStackCalcs_RES_2[[#Headers],[Ausnet]],OP_RatesTU_RES_2[[#Headers],[Ausnet]:[United Energy]],0))*$P$47,0))
+
(IFERROR((INDEX(OP_Rates_RES_2[[Ausnet]:[United Energy]],MATCH("Block 1",OP_Rates_RES_2[[Rate name]:[Rate name]],0),MATCH(CostStackCalcs_RES_2[[#Headers],[Ausnet]],OP_Rates_RES_2[[#Headers],[Ausnet]:[United Energy]],0))*$L$49),0)+
IFERROR((INDEX(OP_Rates_RES_2[[Ausnet]:[United Energy]],MATCH("Balance",OP_Rates_RES_2[[Rate name]:[Rate name]],0),MATCH(CostStackCalcs_RES_2[[#Headers],[Ausnet]],OP_Rates_RES_2[[#Headers],[Ausnet]:[United Energy]],0))*$L$50),0)+
IFERROR((INDEX(OP_Rates_RES_2[[Ausnet]:[United Energy]],MATCH("Single rate",OP_Rates_RES_2[[Rate name]:[Rate name]],0),MATCH(CostStackCalcs_RES_2[[#Headers],[Ausnet]],OP_Rates_RES_2[[#Headers],[Ausnet]:[United Energy]],0))*$L$47),0))
+
(IFERROR((INDEX(OP_RatesTU_RES_2[[Ausnet]:[United Energy]],MATCH("Block 1",OP_RatesTU_RES_2[[Rate name]:[Rate name]],0),MATCH(CostStackCalcs_RES_2[[#Headers],[Ausnet]],OP_RatesTU_RES_2[[#Headers],[Ausnet]:[United Energy]],0))*($L$49/$Q$51)),0)+
IFERROR((INDEX(OP_RatesTU_RES_2[[Ausnet]:[United Energy]],MATCH("Balance",OP_RatesTU_RES_2[[Rate name]:[Rate name]],0),MATCH(CostStackCalcs_RES_2[[#Headers],[Ausnet]],OP_RatesTU_RES_2[[#Headers],[Ausnet]:[United Energy]],0))*($L$50/$Q$51)),0)+
IFERROR((INDEX(OP_RatesTU_RES_2[[Ausnet]:[United Energy]],MATCH("Single rate",OP_RatesTU_RES_2[[Rate name]:[Rate name]],0),MATCH(CostStackCalcs_RES_2[[#Headers],[Ausnet]],OP_RatesTU_RES_2[[#Headers],[Ausnet]:[United Energy]],0))*($L$47/$Q$51)),0)),0)</f>
        <v>1494</v>
      </c>
      <c r="M67" s="210">
        <f>ROUNDUP(
(INDEX(OP_Rates_RES_2[[Ausnet]:[United Energy]],MATCH("Anytime - supply",OP_Rates_RES_2[[Rate name]:[Rate name]],0),MATCH(CostStackCalcs_RES_2[[#Headers],[Citipower]],OP_Rates_RES_2[[#Headers],[Ausnet]:[United Energy]],0))*DiY)+
(IFERROR(INDEX(OP_RatesTU_RES_2[[Ausnet]:[United Energy]],MATCH("Anytime",OP_RatesTU_RES_2[[Rate name]:[Rate name]],0),MATCH(CostStackCalcs_RES_2[[#Headers],[Citipower]],OP_RatesTU_RES_2[[#Headers],[Ausnet]:[United Energy]],0))*$P$47,0))
+
(IFERROR((INDEX(OP_Rates_RES_2[[Ausnet]:[United Energy]],MATCH("Block 1",OP_Rates_RES_2[[Rate name]:[Rate name]],0),MATCH(CostStackCalcs_RES_2[[#Headers],[Citipower]],OP_Rates_RES_2[[#Headers],[Ausnet]:[United Energy]],0))*$L$49),0)+
IFERROR((INDEX(OP_Rates_RES_2[[Ausnet]:[United Energy]],MATCH("Balance",OP_Rates_RES_2[[Rate name]:[Rate name]],0),MATCH(CostStackCalcs_RES_2[[#Headers],[Citipower]],OP_Rates_RES_2[[#Headers],[Ausnet]:[United Energy]],0))*$L$50),0)+
IFERROR((INDEX(OP_Rates_RES_2[[Ausnet]:[United Energy]],MATCH("Single rate",OP_Rates_RES_2[[Rate name]:[Rate name]],0),MATCH(CostStackCalcs_RES_2[[#Headers],[Citipower]],OP_Rates_RES_2[[#Headers],[Ausnet]:[United Energy]],0))*$L$47),0))
+
(IFERROR((INDEX(OP_RatesTU_RES_2[[Ausnet]:[United Energy]],MATCH("Block 1",OP_RatesTU_RES_2[[Rate name]:[Rate name]],0),MATCH(CostStackCalcs_RES_2[[#Headers],[Citipower]],OP_RatesTU_RES_2[[#Headers],[Ausnet]:[United Energy]],0))*($L$49/$Q$51)),0)+
IFERROR((INDEX(OP_RatesTU_RES_2[[Ausnet]:[United Energy]],MATCH("Balance",OP_RatesTU_RES_2[[Rate name]:[Rate name]],0),MATCH(CostStackCalcs_RES_2[[#Headers],[Citipower]],OP_RatesTU_RES_2[[#Headers],[Ausnet]:[United Energy]],0))*($L$50/$Q$51)),0)+
IFERROR((INDEX(OP_RatesTU_RES_2[[Ausnet]:[United Energy]],MATCH("Single rate",OP_RatesTU_RES_2[[Rate name]:[Rate name]],0),MATCH(CostStackCalcs_RES_2[[#Headers],[Citipower]],OP_RatesTU_RES_2[[#Headers],[Ausnet]:[United Energy]],0))*($L$47/$Q$51)),0)),0)</f>
        <v>1278</v>
      </c>
      <c r="N67" s="210">
        <f>ROUNDUP(
(INDEX(OP_Rates_RES_2[[Ausnet]:[United Energy]],MATCH("Anytime - supply",OP_Rates_RES_2[[Rate name]:[Rate name]],0),MATCH(CostStackCalcs_RES_2[[#Headers],[Jemena]],OP_Rates_RES_2[[#Headers],[Ausnet]:[United Energy]],0))*DiY)+
(IFERROR(INDEX(OP_RatesTU_RES_2[[Ausnet]:[United Energy]],MATCH("Anytime",OP_RatesTU_RES_2[[Rate name]:[Rate name]],0),MATCH(CostStackCalcs_RES_2[[#Headers],[Jemena]],OP_RatesTU_RES_2[[#Headers],[Ausnet]:[United Energy]],0))*$P$47,0))
+
(IFERROR((INDEX(OP_Rates_RES_2[[Ausnet]:[United Energy]],MATCH("Block 1",OP_Rates_RES_2[[Rate name]:[Rate name]],0),MATCH(CostStackCalcs_RES_2[[#Headers],[Jemena]],OP_Rates_RES_2[[#Headers],[Ausnet]:[United Energy]],0))*$L$49),0)+
IFERROR((INDEX(OP_Rates_RES_2[[Ausnet]:[United Energy]],MATCH("Balance",OP_Rates_RES_2[[Rate name]:[Rate name]],0),MATCH(CostStackCalcs_RES_2[[#Headers],[Jemena]],OP_Rates_RES_2[[#Headers],[Ausnet]:[United Energy]],0))*$L$50),0)+
IFERROR((INDEX(OP_Rates_RES_2[[Ausnet]:[United Energy]],MATCH("Single rate",OP_Rates_RES_2[[Rate name]:[Rate name]],0),MATCH(CostStackCalcs_RES_2[[#Headers],[Jemena]],OP_Rates_RES_2[[#Headers],[Ausnet]:[United Energy]],0))*$L$47),0))
+
(IFERROR((INDEX(OP_RatesTU_RES_2[[Ausnet]:[United Energy]],MATCH("Block 1",OP_RatesTU_RES_2[[Rate name]:[Rate name]],0),MATCH(CostStackCalcs_RES_2[[#Headers],[Jemena]],OP_RatesTU_RES_2[[#Headers],[Ausnet]:[United Energy]],0))*($L$49/$Q$51)),0)+
IFERROR((INDEX(OP_RatesTU_RES_2[[Ausnet]:[United Energy]],MATCH("Balance",OP_RatesTU_RES_2[[Rate name]:[Rate name]],0),MATCH(CostStackCalcs_RES_2[[#Headers],[Jemena]],OP_RatesTU_RES_2[[#Headers],[Ausnet]:[United Energy]],0))*($L$50/$Q$51)),0)+
IFERROR((INDEX(OP_RatesTU_RES_2[[Ausnet]:[United Energy]],MATCH("Single rate",OP_RatesTU_RES_2[[Rate name]:[Rate name]],0),MATCH(CostStackCalcs_RES_2[[#Headers],[Jemena]],OP_RatesTU_RES_2[[#Headers],[Ausnet]:[United Energy]],0))*($L$47/$Q$51)),0)),0)</f>
        <v>1315</v>
      </c>
      <c r="O67" s="210">
        <f>ROUNDUP(
(INDEX(OP_Rates_RES_2[[Ausnet]:[United Energy]],MATCH("Anytime - supply",OP_Rates_RES_2[[Rate name]:[Rate name]],0),MATCH(CostStackCalcs_RES_2[[#Headers],[Powercor]],OP_Rates_RES_2[[#Headers],[Ausnet]:[United Energy]],0))*DiY)+
(IFERROR(INDEX(OP_RatesTU_RES_2[[Ausnet]:[United Energy]],MATCH("Anytime",OP_RatesTU_RES_2[[Rate name]:[Rate name]],0),MATCH(CostStackCalcs_RES_2[[#Headers],[Powercor]],OP_RatesTU_RES_2[[#Headers],[Ausnet]:[United Energy]],0))*$P$47,0))
+
(IFERROR((INDEX(OP_Rates_RES_2[[Ausnet]:[United Energy]],MATCH("Block 1",OP_Rates_RES_2[[Rate name]:[Rate name]],0),MATCH(CostStackCalcs_RES_2[[#Headers],[Powercor]],OP_Rates_RES_2[[#Headers],[Ausnet]:[United Energy]],0))*$L$49),0)+
IFERROR((INDEX(OP_Rates_RES_2[[Ausnet]:[United Energy]],MATCH("Balance",OP_Rates_RES_2[[Rate name]:[Rate name]],0),MATCH(CostStackCalcs_RES_2[[#Headers],[Powercor]],OP_Rates_RES_2[[#Headers],[Ausnet]:[United Energy]],0))*$L$50),0)+
IFERROR((INDEX(OP_Rates_RES_2[[Ausnet]:[United Energy]],MATCH("Single rate",OP_Rates_RES_2[[Rate name]:[Rate name]],0),MATCH(CostStackCalcs_RES_2[[#Headers],[Powercor]],OP_Rates_RES_2[[#Headers],[Ausnet]:[United Energy]],0))*$L$47),0))
+
(IFERROR((INDEX(OP_RatesTU_RES_2[[Ausnet]:[United Energy]],MATCH("Block 1",OP_RatesTU_RES_2[[Rate name]:[Rate name]],0),MATCH(CostStackCalcs_RES_2[[#Headers],[Powercor]],OP_RatesTU_RES_2[[#Headers],[Ausnet]:[United Energy]],0))*($L$49/$Q$51)),0)+
IFERROR((INDEX(OP_RatesTU_RES_2[[Ausnet]:[United Energy]],MATCH("Balance",OP_RatesTU_RES_2[[Rate name]:[Rate name]],0),MATCH(CostStackCalcs_RES_2[[#Headers],[Powercor]],OP_RatesTU_RES_2[[#Headers],[Ausnet]:[United Energy]],0))*($L$50/$Q$51)),0)+
IFERROR((INDEX(OP_RatesTU_RES_2[[Ausnet]:[United Energy]],MATCH("Single rate",OP_RatesTU_RES_2[[Rate name]:[Rate name]],0),MATCH(CostStackCalcs_RES_2[[#Headers],[Powercor]],OP_RatesTU_RES_2[[#Headers],[Ausnet]:[United Energy]],0))*($L$47/$Q$51)),0)),0)</f>
        <v>1358</v>
      </c>
      <c r="P67" s="210">
        <f>ROUNDUP(
(INDEX(OP_Rates_RES_2[[Ausnet]:[United Energy]],MATCH("Anytime - supply",OP_Rates_RES_2[[Rate name]:[Rate name]],0),MATCH(CostStackCalcs_RES_2[[#Headers],[United Energy]],OP_Rates_RES_2[[#Headers],[Ausnet]:[United Energy]],0))*DiY)+
(IFERROR(INDEX(OP_RatesTU_RES_2[[Ausnet]:[United Energy]],MATCH("Anytime",OP_RatesTU_RES_2[[Rate name]:[Rate name]],0),MATCH(CostStackCalcs_RES_2[[#Headers],[United Energy]],OP_RatesTU_RES_2[[#Headers],[Ausnet]:[United Energy]],0))*$P$47,0))
+
(IFERROR((INDEX(OP_Rates_RES_2[[Ausnet]:[United Energy]],MATCH("Block 1",OP_Rates_RES_2[[Rate name]:[Rate name]],0),MATCH(CostStackCalcs_RES_2[[#Headers],[United Energy]],OP_Rates_RES_2[[#Headers],[Ausnet]:[United Energy]],0))*$L$49),0)+
IFERROR((INDEX(OP_Rates_RES_2[[Ausnet]:[United Energy]],MATCH("Balance",OP_Rates_RES_2[[Rate name]:[Rate name]],0),MATCH(CostStackCalcs_RES_2[[#Headers],[United Energy]],OP_Rates_RES_2[[#Headers],[Ausnet]:[United Energy]],0))*$L$50),0)+
IFERROR((INDEX(OP_Rates_RES_2[[Ausnet]:[United Energy]],MATCH("Single rate",OP_Rates_RES_2[[Rate name]:[Rate name]],0),MATCH(CostStackCalcs_RES_2[[#Headers],[United Energy]],OP_Rates_RES_2[[#Headers],[Ausnet]:[United Energy]],0))*$L$47),0))
+
(IFERROR((INDEX(OP_RatesTU_RES_2[[Ausnet]:[United Energy]],MATCH("Block 1",OP_RatesTU_RES_2[[Rate name]:[Rate name]],0),MATCH(CostStackCalcs_RES_2[[#Headers],[United Energy]],OP_RatesTU_RES_2[[#Headers],[Ausnet]:[United Energy]],0))*($L$49/$Q$51)),0)+
IFERROR((INDEX(OP_RatesTU_RES_2[[Ausnet]:[United Energy]],MATCH("Balance",OP_RatesTU_RES_2[[Rate name]:[Rate name]],0),MATCH(CostStackCalcs_RES_2[[#Headers],[United Energy]],OP_RatesTU_RES_2[[#Headers],[Ausnet]:[United Energy]],0))*($L$50/$Q$51)),0)+
IFERROR((INDEX(OP_RatesTU_RES_2[[Ausnet]:[United Energy]],MATCH("Single rate",OP_RatesTU_RES_2[[Rate name]:[Rate name]],0),MATCH(CostStackCalcs_RES_2[[#Headers],[United Energy]],OP_RatesTU_RES_2[[#Headers],[Ausnet]:[United Energy]],0))*($L$47/$Q$51)),0)),0)</f>
        <v>1266</v>
      </c>
      <c r="Q67" s="104">
        <f>ROUND(AVERAGE(L67:P67),0)</f>
        <v>1342</v>
      </c>
    </row>
    <row r="68" spans="3:24" x14ac:dyDescent="0.25">
      <c r="T68" s="88"/>
    </row>
    <row r="69" spans="3:24" ht="15.75" x14ac:dyDescent="0.25">
      <c r="C69" s="108" t="s">
        <v>25</v>
      </c>
      <c r="D69" s="94">
        <f>IF(AND(D67-D65&lt;=1,D67-D65&gt;=-1),0,1)</f>
        <v>0</v>
      </c>
      <c r="E69" s="94">
        <f t="shared" ref="E69:H69" si="13">IF(AND(E67-E65&lt;=1,E67-E65&gt;=-1),0,1)</f>
        <v>0</v>
      </c>
      <c r="F69" s="94">
        <f t="shared" si="13"/>
        <v>0</v>
      </c>
      <c r="G69" s="94">
        <f t="shared" si="13"/>
        <v>0</v>
      </c>
      <c r="H69" s="94">
        <f t="shared" si="13"/>
        <v>0</v>
      </c>
      <c r="K69" s="108" t="s">
        <v>25</v>
      </c>
      <c r="L69" s="94">
        <f>IF(AND(L67-L65&lt;=1,L67-L65&gt;=-1),0,1)</f>
        <v>0</v>
      </c>
      <c r="M69" s="94">
        <f t="shared" ref="M69:P69" si="14">IF(AND(M67-M65&lt;=1,M67-M65&gt;=-1),0,1)</f>
        <v>0</v>
      </c>
      <c r="N69" s="94">
        <f t="shared" si="14"/>
        <v>0</v>
      </c>
      <c r="O69" s="94">
        <f t="shared" si="14"/>
        <v>0</v>
      </c>
      <c r="P69" s="94">
        <f t="shared" si="14"/>
        <v>0</v>
      </c>
      <c r="U69" s="123"/>
    </row>
    <row r="70" spans="3:24" x14ac:dyDescent="0.25">
      <c r="U70" s="120"/>
    </row>
    <row r="71" spans="3:24" ht="15.75" x14ac:dyDescent="0.25">
      <c r="C71" s="43" t="s">
        <v>211</v>
      </c>
      <c r="D71" s="101">
        <f>INDEX(Input_ForRateCalc[[F-CurrentVDO_InputDate]:[F-NextVDO_Input]],MATCH("Retail operating margin",Input_ForRateCalc[[Cost item]:[Cost item]],0),MATCH(CH_CostStack_RES!$D$44,Inputs!$H$8:$Q$8,0))</f>
        <v>6.0400000000000002E-2</v>
      </c>
      <c r="E71" s="101">
        <f>INDEX(Input_ForRateCalc[[F-CurrentVDO_InputDate]:[F-NextVDO_Input]],MATCH("Retail operating margin",Input_ForRateCalc[[Cost item]:[Cost item]],0),MATCH(CH_CostStack_RES!$D$44,Inputs!$H$8:$Q$8,0))</f>
        <v>6.0400000000000002E-2</v>
      </c>
      <c r="F71" s="101">
        <f>INDEX(Input_ForRateCalc[[F-CurrentVDO_InputDate]:[F-NextVDO_Input]],MATCH("Retail operating margin",Input_ForRateCalc[[Cost item]:[Cost item]],0),MATCH(CH_CostStack_RES!$D$44,Inputs!$H$8:$Q$8,0))</f>
        <v>6.0400000000000002E-2</v>
      </c>
      <c r="G71" s="101">
        <f>INDEX(Input_ForRateCalc[[F-CurrentVDO_InputDate]:[F-NextVDO_Input]],MATCH("Retail operating margin",Input_ForRateCalc[[Cost item]:[Cost item]],0),MATCH(CH_CostStack_RES!$D$44,Inputs!$H$8:$Q$8,0))</f>
        <v>6.0400000000000002E-2</v>
      </c>
      <c r="H71" s="101">
        <f>INDEX(Input_ForRateCalc[[F-CurrentVDO_InputDate]:[F-NextVDO_Input]],MATCH("Retail operating margin",Input_ForRateCalc[[Cost item]:[Cost item]],0),MATCH(CH_CostStack_RES!$D$44,Inputs!$H$8:$Q$8,0))</f>
        <v>6.0400000000000002E-2</v>
      </c>
      <c r="K71" s="43" t="s">
        <v>211</v>
      </c>
      <c r="L71" s="101">
        <f>INDEX(Input_ForRateCalc[[F-CurrentVDO_InputDate]:[F-NextVDO_Input]],MATCH("Retail operating margin",Input_ForRateCalc[[Cost item]:[Cost item]],0),MATCH(CH_CostStack_RES!$L$44,Inputs!$H$8:$Q$8,0))</f>
        <v>6.0400000000000002E-2</v>
      </c>
      <c r="M71" s="101">
        <f>INDEX(Input_ForRateCalc[[F-CurrentVDO_InputDate]:[F-NextVDO_Input]],MATCH("Retail operating margin",Input_ForRateCalc[[Cost item]:[Cost item]],0),MATCH(CH_CostStack_RES!$L$44,Inputs!$H$8:$Q$8,0))</f>
        <v>6.0400000000000002E-2</v>
      </c>
      <c r="N71" s="101">
        <f>INDEX(Input_ForRateCalc[[F-CurrentVDO_InputDate]:[F-NextVDO_Input]],MATCH("Retail operating margin",Input_ForRateCalc[[Cost item]:[Cost item]],0),MATCH(CH_CostStack_RES!$L$44,Inputs!$H$8:$Q$8,0))</f>
        <v>6.0400000000000002E-2</v>
      </c>
      <c r="O71" s="101">
        <f>INDEX(Input_ForRateCalc[[F-CurrentVDO_InputDate]:[F-NextVDO_Input]],MATCH("Retail operating margin",Input_ForRateCalc[[Cost item]:[Cost item]],0),MATCH(CH_CostStack_RES!$L$44,Inputs!$H$8:$Q$8,0))</f>
        <v>6.0400000000000002E-2</v>
      </c>
      <c r="P71" s="101">
        <f>INDEX(Input_ForRateCalc[[F-CurrentVDO_InputDate]:[F-NextVDO_Input]],MATCH("Retail operating margin",Input_ForRateCalc[[Cost item]:[Cost item]],0),MATCH(CH_CostStack_RES!$L$44,Inputs!$H$8:$Q$8,0))</f>
        <v>6.0400000000000002E-2</v>
      </c>
    </row>
    <row r="72" spans="3:24" x14ac:dyDescent="0.25">
      <c r="U72" s="244"/>
    </row>
    <row r="73" spans="3:24" ht="15.75" x14ac:dyDescent="0.25">
      <c r="C73" s="43" t="s">
        <v>293</v>
      </c>
      <c r="D73" s="101">
        <f>INDEX(Calc_Losses_1[[Ausnet]:[United Energy]],MATCH("Total loss factor",Calc_Losses_1[Cost item],0),MATCH(CH_CostStack_RES!D$53,Calc_Losses_1[[#Headers],[Ausnet]:[United Energy]],0))</f>
        <v>6.7042242499999904E-2</v>
      </c>
      <c r="E73" s="101">
        <f>INDEX(Calc_Losses_1[[Ausnet]:[United Energy]],MATCH("Total loss factor",Calc_Losses_1[Cost item],0),MATCH(CH_CostStack_RES!E$53,Calc_Losses_1[[#Headers],[Ausnet]:[United Energy]],0))</f>
        <v>4.8598528999999946E-2</v>
      </c>
      <c r="F73" s="101">
        <f>INDEX(Calc_Losses_1[[Ausnet]:[United Energy]],MATCH("Total loss factor",Calc_Losses_1[Cost item],0),MATCH(CH_CostStack_RES!F$53,Calc_Losses_1[[#Headers],[Ausnet]:[United Energy]],0))</f>
        <v>3.7644568888889118E-2</v>
      </c>
      <c r="G73" s="101">
        <f>INDEX(Calc_Losses_1[[Ausnet]:[United Energy]],MATCH("Total loss factor",Calc_Losses_1[Cost item],0),MATCH(CH_CostStack_RES!G$53,Calc_Losses_1[[#Headers],[Ausnet]:[United Energy]],0))</f>
        <v>7.1081852499999654E-2</v>
      </c>
      <c r="H73" s="101">
        <f>INDEX(Calc_Losses_1[[Ausnet]:[United Energy]],MATCH("Total loss factor",Calc_Losses_1[Cost item],0),MATCH(CH_CostStack_RES!H$53,Calc_Losses_1[[#Headers],[Ausnet]:[United Energy]],0))</f>
        <v>5.2423379000000159E-2</v>
      </c>
      <c r="K73" s="43" t="s">
        <v>293</v>
      </c>
      <c r="L73" s="101">
        <f>INDEX(Calc_Losses_2[[Ausnet]:[United Energy]],MATCH("Total loss factor",Calc_Losses_2[Cost item],0),MATCH(CH_CostStack_RES!L$53,Calc_Losses_2[[#Headers],[Ausnet]:[United Energy]],0))</f>
        <v>7.9452873939792834E-2</v>
      </c>
      <c r="M73" s="101">
        <f>INDEX(Calc_Losses_2[[Ausnet]:[United Energy]],MATCH("Total loss factor",Calc_Losses_2[Cost item],0),MATCH(CH_CostStack_RES!M$53,Calc_Losses_2[[#Headers],[Ausnet]:[United Energy]],0))</f>
        <v>4.7771666666666768E-2</v>
      </c>
      <c r="N73" s="101">
        <f>INDEX(Calc_Losses_2[[Ausnet]:[United Energy]],MATCH("Total loss factor",Calc_Losses_2[Cost item],0),MATCH(CH_CostStack_RES!N$53,Calc_Losses_2[[#Headers],[Ausnet]:[United Energy]],0))</f>
        <v>4.2295975000000041E-2</v>
      </c>
      <c r="O73" s="101">
        <f>INDEX(Calc_Losses_2[[Ausnet]:[United Energy]],MATCH("Total loss factor",Calc_Losses_2[Cost item],0),MATCH(CH_CostStack_RES!O$53,Calc_Losses_2[[#Headers],[Ausnet]:[United Energy]],0))</f>
        <v>7.1527608826401856E-2</v>
      </c>
      <c r="P73" s="101">
        <f>INDEX(Calc_Losses_2[[Ausnet]:[United Energy]],MATCH("Total loss factor",Calc_Losses_2[Cost item],0),MATCH(CH_CostStack_RES!P$53,Calc_Losses_2[[#Headers],[Ausnet]:[United Energy]],0))</f>
        <v>4.7935977272727248E-2</v>
      </c>
    </row>
    <row r="75" spans="3:24" ht="15.75" x14ac:dyDescent="0.25">
      <c r="C75" s="30" t="s">
        <v>381</v>
      </c>
      <c r="K75" s="30" t="s">
        <v>381</v>
      </c>
      <c r="T75" s="88"/>
      <c r="V75" s="110"/>
    </row>
    <row r="76" spans="3:24" ht="15.75" x14ac:dyDescent="0.25">
      <c r="C76" s="43" t="s">
        <v>378</v>
      </c>
      <c r="D76" s="87">
        <f>SUM(Calc_Retail_1[Ausnet])</f>
        <v>181.75878095302619</v>
      </c>
      <c r="E76" s="87">
        <f>SUM(Calc_Retail_1[Citipower])</f>
        <v>181.75878095302619</v>
      </c>
      <c r="F76" s="87">
        <f>SUM(Calc_Retail_1[Jemena])</f>
        <v>181.75878095302619</v>
      </c>
      <c r="G76" s="87">
        <f>SUM(Calc_Retail_1[Powercor])</f>
        <v>181.75878095302619</v>
      </c>
      <c r="H76" s="87">
        <f>SUM(Calc_Retail_1[United Energy])</f>
        <v>181.75878095302619</v>
      </c>
      <c r="K76" s="43" t="s">
        <v>378</v>
      </c>
      <c r="L76" s="87">
        <f>SUM(Calc_Retail_2[Ausnet])</f>
        <v>181.37562065040649</v>
      </c>
      <c r="M76" s="87">
        <f>SUM(Calc_Retail_2[Citipower])</f>
        <v>181.37562065040649</v>
      </c>
      <c r="N76" s="87">
        <f>SUM(Calc_Retail_2[Jemena])</f>
        <v>181.37562065040649</v>
      </c>
      <c r="O76" s="87">
        <f>SUM(Calc_Retail_2[Powercor])</f>
        <v>181.37562065040649</v>
      </c>
      <c r="P76" s="87">
        <f>SUM(Calc_Retail_2[United Energy])</f>
        <v>181.37562065040649</v>
      </c>
      <c r="T76" s="88"/>
      <c r="V76" s="110"/>
    </row>
    <row r="77" spans="3:24" x14ac:dyDescent="0.25">
      <c r="V77" s="110"/>
    </row>
    <row r="78" spans="3:24" ht="15.75" x14ac:dyDescent="0.25">
      <c r="C78" s="43" t="s">
        <v>380</v>
      </c>
      <c r="D78" s="87">
        <f>INDEX(Calc_NetworkF_1[[Ausnet]:[United Energy]],MATCH("Metering",Calc_NetworkF_1[[Cost item]:[Cost item]],0),MATCH(CH_CostStack_RES!D$53,Calc_NetworkF_1[[#Headers],[Ausnet]:[United Energy]],0))+
SUMIFS(Calc_NetworkF_1[Ausnet],Calc_NetworkF_1[[Cost item]:[Cost item]],"Anytime - supply",Calc_NetworkF_1[[Customer type]:[Customer type]],IF(ISNUMBER(SEARCH("Residential",$C$47)),"Residential","Small business"))</f>
        <v>174.81</v>
      </c>
      <c r="E78" s="87">
        <f>INDEX(Calc_NetworkF_1[[Ausnet]:[United Energy]],MATCH("Metering",Calc_NetworkF_1[[Cost item]:[Cost item]],0),MATCH(CH_CostStack_RES!E$53,Calc_NetworkF_1[[#Headers],[Ausnet]:[United Energy]],0))+
SUMIFS(Calc_NetworkF_1[Citipower],Calc_NetworkF_1[[Cost item]:[Cost item]],"Anytime - supply",Calc_NetworkF_1[[Customer type]:[Customer type]],IF(ISNUMBER(SEARCH("Residential",$C$47)),"Residential","Small business"))</f>
        <v>149.40899999999999</v>
      </c>
      <c r="F78" s="87">
        <f>INDEX(Calc_NetworkF_1[[Ausnet]:[United Energy]],MATCH("Metering",Calc_NetworkF_1[[Cost item]:[Cost item]],0),MATCH(CH_CostStack_RES!F$53,Calc_NetworkF_1[[#Headers],[Ausnet]:[United Energy]],0))+
SUMIFS(Calc_NetworkF_1[Jemena],Calc_NetworkF_1[[Cost item]:[Cost item]],"Anytime - supply",Calc_NetworkF_1[[Customer type]:[Customer type]],IF(ISNUMBER(SEARCH("Residential",$C$47)),"Residential","Small business"))</f>
        <v>136.386</v>
      </c>
      <c r="G78" s="87">
        <f>INDEX(Calc_NetworkF_1[[Ausnet]:[United Energy]],MATCH("Metering",Calc_NetworkF_1[[Cost item]:[Cost item]],0),MATCH(CH_CostStack_RES!G$53,Calc_NetworkF_1[[#Headers],[Ausnet]:[United Energy]],0))+
SUMIFS(Calc_NetworkF_1[Powercor],Calc_NetworkF_1[[Cost item]:[Cost item]],"Anytime - supply",Calc_NetworkF_1[[Customer type]:[Customer type]],IF(ISNUMBER(SEARCH("Residential",$C$47)),"Residential","Small business"))</f>
        <v>197.97749999999999</v>
      </c>
      <c r="H78" s="87">
        <f>INDEX(Calc_NetworkF_1[[Ausnet]:[United Energy]],MATCH("Metering",Calc_NetworkF_1[[Cost item]:[Cost item]],0),MATCH(CH_CostStack_RES!H$53,Calc_NetworkF_1[[#Headers],[Ausnet]:[United Energy]],0))+
SUMIFS(Calc_NetworkF_1[United Energy],Calc_NetworkF_1[[Cost item]:[Cost item]],"Anytime - supply",Calc_NetworkF_1[[Customer type]:[Customer type]],IF(ISNUMBER(SEARCH("Residential",$C$47)),"Residential","Small business"))</f>
        <v>122.928</v>
      </c>
      <c r="K78" s="43" t="s">
        <v>380</v>
      </c>
      <c r="L78" s="87">
        <f>INDEX(Calc_NetworkF_2[[Ausnet]:[United Energy]],MATCH("Metering",Calc_NetworkF_2[[Cost item]:[Cost item]],0),MATCH(CH_CostStack_RES!L$53,Calc_NetworkF_2[[#Headers],[Ausnet]:[United Energy]],0))+
SUMIFS(Calc_NetworkF_2[Ausnet],Calc_NetworkF_2[[Cost item]:[Cost item]],"Anytime - supply",Calc_NetworkF_2[[Customer type]:[Customer type]],IF(ISNUMBER(SEARCH("Residential",$K$47)),"Residential","Small business"))</f>
        <v>174.81</v>
      </c>
      <c r="M78" s="87">
        <f>INDEX(Calc_NetworkF_2[[Ausnet]:[United Energy]],MATCH("Metering",Calc_NetworkF_2[[Cost item]:[Cost item]],0),MATCH(CH_CostStack_RES!M$53,Calc_NetworkF_2[[#Headers],[Ausnet]:[United Energy]],0))+
SUMIFS(Calc_NetworkF_2[Citipower],Calc_NetworkF_2[[Cost item]:[Cost item]],"Anytime - supply",Calc_NetworkF_2[[Customer type]:[Customer type]],IF(ISNUMBER(SEARCH("Residential",$K$47)),"Residential","Small business"))</f>
        <v>149.40899999999999</v>
      </c>
      <c r="N78" s="87">
        <f>INDEX(Calc_NetworkF_2[[Ausnet]:[United Energy]],MATCH("Metering",Calc_NetworkF_2[[Cost item]:[Cost item]],0),MATCH(CH_CostStack_RES!N$53,Calc_NetworkF_2[[#Headers],[Ausnet]:[United Energy]],0))+
SUMIFS(Calc_NetworkF_2[Jemena],Calc_NetworkF_2[[Cost item]:[Cost item]],"Anytime - supply",Calc_NetworkF_2[[Customer type]:[Customer type]],IF(ISNUMBER(SEARCH("Residential",$K$47)),"Residential","Small business"))</f>
        <v>136.386</v>
      </c>
      <c r="O78" s="87">
        <f>INDEX(Calc_NetworkF_2[[Ausnet]:[United Energy]],MATCH("Metering",Calc_NetworkF_2[[Cost item]:[Cost item]],0),MATCH(CH_CostStack_RES!O$53,Calc_NetworkF_2[[#Headers],[Ausnet]:[United Energy]],0))+
SUMIFS(Calc_NetworkF_2[Powercor],Calc_NetworkF_2[[Cost item]:[Cost item]],"Anytime - supply",Calc_NetworkF_2[[Customer type]:[Customer type]],IF(ISNUMBER(SEARCH("Residential",$K$47)),"Residential","Small business"))</f>
        <v>197.97749999999999</v>
      </c>
      <c r="P78" s="87">
        <f>INDEX(Calc_NetworkF_2[[Ausnet]:[United Energy]],MATCH("Metering",Calc_NetworkF_2[[Cost item]:[Cost item]],0),MATCH(CH_CostStack_RES!P$53,Calc_NetworkF_2[[#Headers],[Ausnet]:[United Energy]],0))+
SUMIFS(Calc_NetworkF_2[United Energy],Calc_NetworkF_2[[Cost item]:[Cost item]],"Anytime - supply",Calc_NetworkF_2[[Customer type]:[Customer type]],IF(ISNUMBER(SEARCH("Residential",$K$47)),"Residential","Small business"))</f>
        <v>122.928</v>
      </c>
      <c r="T78" s="88"/>
      <c r="V78" s="110"/>
    </row>
    <row r="79" spans="3:24" x14ac:dyDescent="0.25">
      <c r="V79" s="110"/>
      <c r="X79" s="109"/>
    </row>
    <row r="80" spans="3:24" ht="15.75" x14ac:dyDescent="0.25">
      <c r="C80" s="43" t="s">
        <v>282</v>
      </c>
      <c r="D80" s="87">
        <f>SUMIFS(Calc_OtherCosts_1[Ausnet],Calc_OtherCosts_1[[Fixed/Variable]:[Fixed/Variable]],"Fixed")</f>
        <v>6.126692642408659</v>
      </c>
      <c r="E80" s="87">
        <f>SUMIFS(Calc_OtherCosts_1[Citipower],Calc_OtherCosts_1[[Fixed/Variable]:[Fixed/Variable]],"Fixed")</f>
        <v>6.126692642408659</v>
      </c>
      <c r="F80" s="87">
        <f>SUMIFS(Calc_OtherCosts_1[Jemena],Calc_OtherCosts_1[[Fixed/Variable]:[Fixed/Variable]],"Fixed")</f>
        <v>6.126692642408659</v>
      </c>
      <c r="G80" s="87">
        <f>SUMIFS(Calc_OtherCosts_1[Powercor],Calc_OtherCosts_1[[Fixed/Variable]:[Fixed/Variable]],"Fixed")</f>
        <v>6.126692642408659</v>
      </c>
      <c r="H80" s="87">
        <f>SUMIFS(Calc_OtherCosts_1[United Energy],Calc_OtherCosts_1[[Fixed/Variable]:[Fixed/Variable]],"Fixed")</f>
        <v>6.126692642408659</v>
      </c>
      <c r="K80" s="43" t="s">
        <v>282</v>
      </c>
      <c r="L80" s="87">
        <f>SUMIFS(Calc_OtherCosts_2[Ausnet],Calc_OtherCosts_2[[Fixed/Variable]:[Fixed/Variable]],"Fixed")</f>
        <v>4.1198525061118714</v>
      </c>
      <c r="M80" s="87">
        <f>SUMIFS(Calc_OtherCosts_2[Citipower],Calc_OtherCosts_2[[Fixed/Variable]:[Fixed/Variable]],"Fixed")</f>
        <v>4.1198525061118714</v>
      </c>
      <c r="N80" s="87">
        <f>SUMIFS(Calc_OtherCosts_2[Jemena],Calc_OtherCosts_2[[Fixed/Variable]:[Fixed/Variable]],"Fixed")</f>
        <v>4.1198525061118714</v>
      </c>
      <c r="O80" s="87">
        <f>SUMIFS(Calc_OtherCosts_2[Powercor],Calc_OtherCosts_2[[Fixed/Variable]:[Fixed/Variable]],"Fixed")</f>
        <v>4.1198525061118714</v>
      </c>
      <c r="P80" s="87">
        <f>SUMIFS(Calc_OtherCosts_2[United Energy],Calc_OtherCosts_2[[Fixed/Variable]:[Fixed/Variable]],"Fixed")</f>
        <v>4.1198525061118714</v>
      </c>
    </row>
    <row r="82" spans="3:16" ht="15.75" x14ac:dyDescent="0.25">
      <c r="C82" s="43" t="s">
        <v>385</v>
      </c>
      <c r="D82" s="102">
        <f>INDEX(Calc_FiT_1[[Ausnet]:[United Energy]],1,MATCH(CH_CostStack_RES!D$53,Calc_FiT_1[[#Headers],[Ausnet]:[United Energy]],0))</f>
        <v>10.849248189087444</v>
      </c>
      <c r="E82" s="102">
        <f>INDEX(Calc_FiT_1[[Ausnet]:[United Energy]],1,MATCH(CH_CostStack_RES!E$53,Calc_FiT_1[[#Headers],[Ausnet]:[United Energy]],0))</f>
        <v>10.849248189087444</v>
      </c>
      <c r="F82" s="102">
        <f>INDEX(Calc_FiT_1[[Ausnet]:[United Energy]],1,MATCH(CH_CostStack_RES!F$53,Calc_FiT_1[[#Headers],[Ausnet]:[United Energy]],0))</f>
        <v>10.849248189087444</v>
      </c>
      <c r="G82" s="102">
        <f>INDEX(Calc_FiT_1[[Ausnet]:[United Energy]],1,MATCH(CH_CostStack_RES!G$53,Calc_FiT_1[[#Headers],[Ausnet]:[United Energy]],0))</f>
        <v>10.849248189087444</v>
      </c>
      <c r="H82" s="102">
        <f>INDEX(Calc_FiT_1[[Ausnet]:[United Energy]],1,MATCH(CH_CostStack_RES!H$53,Calc_FiT_1[[#Headers],[Ausnet]:[United Energy]],0))</f>
        <v>10.849248189087444</v>
      </c>
      <c r="K82" s="43" t="s">
        <v>385</v>
      </c>
      <c r="L82" s="102">
        <f>INDEX(Calc_FiT_2[[Ausnet]:[United Energy]],1,MATCH(CH_CostStack_RES!L$53,Calc_FiT_2[[#Headers],[Ausnet]:[United Energy]],0))</f>
        <v>13.337821545021233</v>
      </c>
      <c r="M82" s="102">
        <f>INDEX(Calc_FiT_2[[Ausnet]:[United Energy]],1,MATCH(CH_CostStack_RES!M$53,Calc_FiT_2[[#Headers],[Ausnet]:[United Energy]],0))</f>
        <v>13.337821545021233</v>
      </c>
      <c r="N82" s="102">
        <f>INDEX(Calc_FiT_2[[Ausnet]:[United Energy]],1,MATCH(CH_CostStack_RES!N$53,Calc_FiT_2[[#Headers],[Ausnet]:[United Energy]],0))</f>
        <v>13.337821545021233</v>
      </c>
      <c r="O82" s="102">
        <f>INDEX(Calc_FiT_2[[Ausnet]:[United Energy]],1,MATCH(CH_CostStack_RES!O$53,Calc_FiT_2[[#Headers],[Ausnet]:[United Energy]],0))</f>
        <v>13.337821545021233</v>
      </c>
      <c r="P82" s="102">
        <f>INDEX(Calc_FiT_2[[Ausnet]:[United Energy]],1,MATCH(CH_CostStack_RES!P$53,Calc_FiT_2[[#Headers],[Ausnet]:[United Energy]],0))</f>
        <v>13.337821545021233</v>
      </c>
    </row>
    <row r="84" spans="3:16" ht="15.75" x14ac:dyDescent="0.25">
      <c r="C84" s="30" t="s">
        <v>382</v>
      </c>
      <c r="K84" s="30" t="s">
        <v>382</v>
      </c>
    </row>
    <row r="85" spans="3:16" ht="15.75" x14ac:dyDescent="0.25">
      <c r="C85" s="43" t="s">
        <v>160</v>
      </c>
      <c r="D85" s="87">
        <f>INDEX(Calc_EnviroVEU_1[[Ausnet]:[United Energy]],MATCH("VEU cost",Calc_EnviroVEU_1[[Cost item]:[Cost item]],0),MATCH(CH_CostStack_RES!D$53,Calc_EnviroVEU_1[[#Headers],[Ausnet]:[United Energy]],0))+
INDEX(Calc_EnviroLRET_1[[Ausnet]:[United Energy]],MATCH("LRET cost",Calc_EnviroLRET_1[[Cost item]:[Cost item]],0),MATCH(CH_CostStack_RES!D$53,Calc_EnviroLRET_1[[#Headers],[Ausnet]:[United Energy]],0))+
INDEX(Calc_EnviroSRES_1[[Ausnet]:[United Energy]],MATCH("SRES cost",Calc_EnviroSRES_1[[Cost item]:[Cost item]],0),MATCH(CH_CostStack_RES!D$53,Calc_EnviroSRES_1[[#Headers],[Ausnet]:[United Energy]],0))</f>
        <v>2.3197834914089437E-2</v>
      </c>
      <c r="E85" s="87">
        <f>INDEX(Calc_EnviroVEU_1[[Ausnet]:[United Energy]],MATCH("VEU cost",Calc_EnviroVEU_1[[Cost item]:[Cost item]],0),MATCH(CH_CostStack_RES!E$53,Calc_EnviroVEU_1[[#Headers],[Ausnet]:[United Energy]],0))+
INDEX(Calc_EnviroLRET_1[[Ausnet]:[United Energy]],MATCH("LRET cost",Calc_EnviroLRET_1[[Cost item]:[Cost item]],0),MATCH(CH_CostStack_RES!E$53,Calc_EnviroLRET_1[[#Headers],[Ausnet]:[United Energy]],0))+
INDEX(Calc_EnviroSRES_1[[Ausnet]:[United Energy]],MATCH("SRES cost",Calc_EnviroSRES_1[[Cost item]:[Cost item]],0),MATCH(CH_CostStack_RES!E$53,Calc_EnviroSRES_1[[#Headers],[Ausnet]:[United Energy]],0))</f>
        <v>2.3197834914089437E-2</v>
      </c>
      <c r="F85" s="87">
        <f>INDEX(Calc_EnviroVEU_1[[Ausnet]:[United Energy]],MATCH("VEU cost",Calc_EnviroVEU_1[[Cost item]:[Cost item]],0),MATCH(CH_CostStack_RES!F$53,Calc_EnviroVEU_1[[#Headers],[Ausnet]:[United Energy]],0))+
INDEX(Calc_EnviroLRET_1[[Ausnet]:[United Energy]],MATCH("LRET cost",Calc_EnviroLRET_1[[Cost item]:[Cost item]],0),MATCH(CH_CostStack_RES!F$53,Calc_EnviroLRET_1[[#Headers],[Ausnet]:[United Energy]],0))+
INDEX(Calc_EnviroSRES_1[[Ausnet]:[United Energy]],MATCH("SRES cost",Calc_EnviroSRES_1[[Cost item]:[Cost item]],0),MATCH(CH_CostStack_RES!F$53,Calc_EnviroSRES_1[[#Headers],[Ausnet]:[United Energy]],0))</f>
        <v>2.3197834914089437E-2</v>
      </c>
      <c r="G85" s="87">
        <f>INDEX(Calc_EnviroVEU_1[[Ausnet]:[United Energy]],MATCH("VEU cost",Calc_EnviroVEU_1[[Cost item]:[Cost item]],0),MATCH(CH_CostStack_RES!G$53,Calc_EnviroVEU_1[[#Headers],[Ausnet]:[United Energy]],0))+
INDEX(Calc_EnviroLRET_1[[Ausnet]:[United Energy]],MATCH("LRET cost",Calc_EnviroLRET_1[[Cost item]:[Cost item]],0),MATCH(CH_CostStack_RES!G$53,Calc_EnviroLRET_1[[#Headers],[Ausnet]:[United Energy]],0))+
INDEX(Calc_EnviroSRES_1[[Ausnet]:[United Energy]],MATCH("SRES cost",Calc_EnviroSRES_1[[Cost item]:[Cost item]],0),MATCH(CH_CostStack_RES!G$53,Calc_EnviroSRES_1[[#Headers],[Ausnet]:[United Energy]],0))</f>
        <v>2.3197834914089437E-2</v>
      </c>
      <c r="H85" s="87">
        <f>INDEX(Calc_EnviroVEU_1[[Ausnet]:[United Energy]],MATCH("VEU cost",Calc_EnviroVEU_1[[Cost item]:[Cost item]],0),MATCH(CH_CostStack_RES!H$53,Calc_EnviroVEU_1[[#Headers],[Ausnet]:[United Energy]],0))+
INDEX(Calc_EnviroLRET_1[[Ausnet]:[United Energy]],MATCH("LRET cost",Calc_EnviroLRET_1[[Cost item]:[Cost item]],0),MATCH(CH_CostStack_RES!H$53,Calc_EnviroLRET_1[[#Headers],[Ausnet]:[United Energy]],0))+
INDEX(Calc_EnviroSRES_1[[Ausnet]:[United Energy]],MATCH("SRES cost",Calc_EnviroSRES_1[[Cost item]:[Cost item]],0),MATCH(CH_CostStack_RES!H$53,Calc_EnviroSRES_1[[#Headers],[Ausnet]:[United Energy]],0))</f>
        <v>2.3197834914089437E-2</v>
      </c>
      <c r="K85" s="43" t="s">
        <v>160</v>
      </c>
      <c r="L85" s="87">
        <f>INDEX(Calc_EnviroVEU_2[[Ausnet]:[United Energy]],MATCH("VEU cost",Calc_EnviroVEU_2[[Cost item]:[Cost item]],0),MATCH(CH_CostStack_RES!L$53,Calc_EnviroVEU_2[[#Headers],[Ausnet]:[United Energy]],0))+
INDEX(Calc_EnviroLRET_2[[Ausnet]:[United Energy]],MATCH("LRET cost",Calc_EnviroLRET_2[[Cost item]:[Cost item]],0),MATCH(CH_CostStack_RES!L$53,Calc_EnviroLRET_2[[#Headers],[Ausnet]:[United Energy]],0))+
INDEX(Calc_EnviroSRES_2[[Ausnet]:[United Energy]],MATCH("SRES cost",Calc_EnviroSRES_2[[Cost item]:[Cost item]],0),MATCH(CH_CostStack_RES!L$53,Calc_EnviroSRES_2[[#Headers],[Ausnet]:[United Energy]],0))</f>
        <v>2.6450055368152592E-2</v>
      </c>
      <c r="M85" s="87">
        <f>INDEX(Calc_EnviroVEU_2[[Ausnet]:[United Energy]],MATCH("VEU cost",Calc_EnviroVEU_2[[Cost item]:[Cost item]],0),MATCH(CH_CostStack_RES!M$53,Calc_EnviroVEU_2[[#Headers],[Ausnet]:[United Energy]],0))+
INDEX(Calc_EnviroLRET_2[[Ausnet]:[United Energy]],MATCH("LRET cost",Calc_EnviroLRET_2[[Cost item]:[Cost item]],0),MATCH(CH_CostStack_RES!M$53,Calc_EnviroLRET_2[[#Headers],[Ausnet]:[United Energy]],0))+
INDEX(Calc_EnviroSRES_2[[Ausnet]:[United Energy]],MATCH("SRES cost",Calc_EnviroSRES_2[[Cost item]:[Cost item]],0),MATCH(CH_CostStack_RES!M$53,Calc_EnviroSRES_2[[#Headers],[Ausnet]:[United Energy]],0))</f>
        <v>2.6450055368152592E-2</v>
      </c>
      <c r="N85" s="87">
        <f>INDEX(Calc_EnviroVEU_2[[Ausnet]:[United Energy]],MATCH("VEU cost",Calc_EnviroVEU_2[[Cost item]:[Cost item]],0),MATCH(CH_CostStack_RES!N$53,Calc_EnviroVEU_2[[#Headers],[Ausnet]:[United Energy]],0))+
INDEX(Calc_EnviroLRET_2[[Ausnet]:[United Energy]],MATCH("LRET cost",Calc_EnviroLRET_2[[Cost item]:[Cost item]],0),MATCH(CH_CostStack_RES!N$53,Calc_EnviroLRET_2[[#Headers],[Ausnet]:[United Energy]],0))+
INDEX(Calc_EnviroSRES_2[[Ausnet]:[United Energy]],MATCH("SRES cost",Calc_EnviroSRES_2[[Cost item]:[Cost item]],0),MATCH(CH_CostStack_RES!N$53,Calc_EnviroSRES_2[[#Headers],[Ausnet]:[United Energy]],0))</f>
        <v>2.6450055368152592E-2</v>
      </c>
      <c r="O85" s="87">
        <f>INDEX(Calc_EnviroVEU_2[[Ausnet]:[United Energy]],MATCH("VEU cost",Calc_EnviroVEU_2[[Cost item]:[Cost item]],0),MATCH(CH_CostStack_RES!O$53,Calc_EnviroVEU_2[[#Headers],[Ausnet]:[United Energy]],0))+
INDEX(Calc_EnviroLRET_2[[Ausnet]:[United Energy]],MATCH("LRET cost",Calc_EnviroLRET_2[[Cost item]:[Cost item]],0),MATCH(CH_CostStack_RES!O$53,Calc_EnviroLRET_2[[#Headers],[Ausnet]:[United Energy]],0))+
INDEX(Calc_EnviroSRES_2[[Ausnet]:[United Energy]],MATCH("SRES cost",Calc_EnviroSRES_2[[Cost item]:[Cost item]],0),MATCH(CH_CostStack_RES!O$53,Calc_EnviroSRES_2[[#Headers],[Ausnet]:[United Energy]],0))</f>
        <v>2.6450055368152592E-2</v>
      </c>
      <c r="P85" s="87">
        <f>INDEX(Calc_EnviroVEU_2[[Ausnet]:[United Energy]],MATCH("VEU cost",Calc_EnviroVEU_2[[Cost item]:[Cost item]],0),MATCH(CH_CostStack_RES!P$53,Calc_EnviroVEU_2[[#Headers],[Ausnet]:[United Energy]],0))+
INDEX(Calc_EnviroLRET_2[[Ausnet]:[United Energy]],MATCH("LRET cost",Calc_EnviroLRET_2[[Cost item]:[Cost item]],0),MATCH(CH_CostStack_RES!P$53,Calc_EnviroLRET_2[[#Headers],[Ausnet]:[United Energy]],0))+
INDEX(Calc_EnviroSRES_2[[Ausnet]:[United Energy]],MATCH("SRES cost",Calc_EnviroSRES_2[[Cost item]:[Cost item]],0),MATCH(CH_CostStack_RES!P$53,Calc_EnviroSRES_2[[#Headers],[Ausnet]:[United Energy]],0))</f>
        <v>2.6450055368152592E-2</v>
      </c>
    </row>
    <row r="87" spans="3:16" ht="15.75" x14ac:dyDescent="0.25">
      <c r="C87" s="43" t="s">
        <v>137</v>
      </c>
      <c r="D87" s="102">
        <f>IF(ISNUMBER(SEARCH("Residential",$C$47)),
INDEX(Calc_WholesaleRES_1[[Ausnet]:[United Energy]],MATCH("Wholesale cost",Calc_WholesaleRES_1[[Cost item]:[Cost item]],0),MATCH(CH_CostStack_RES!D$53,Calc_WholesaleRES_1[[#Headers],[Ausnet]:[United Energy]],0)),
INDEX(Calc_WholesaleSME_1[[Ausnet]:[United Energy]],MATCH("Wholesale cost",Calc_WholesaleSME_1[[Cost item]:[Cost item]],0),MATCH(CH_CostStack_RES!D$53,Calc_WholesaleSME_1[[#Headers],[Ausnet]:[United Energy]],0)))</f>
        <v>9.4499999999999987E-2</v>
      </c>
      <c r="E87" s="102">
        <f>IF(ISNUMBER(SEARCH("Residential",$C$47)),
INDEX(Calc_WholesaleRES_1[[Ausnet]:[United Energy]],MATCH("Wholesale cost",Calc_WholesaleRES_1[[Cost item]:[Cost item]],0),MATCH(CH_CostStack_RES!E$53,Calc_WholesaleRES_1[[#Headers],[Ausnet]:[United Energy]],0)),
INDEX(Calc_WholesaleSME_1[[Ausnet]:[United Energy]],MATCH("Wholesale cost",Calc_WholesaleSME_1[[Cost item]:[Cost item]],0),MATCH(CH_CostStack_RES!E$53,Calc_WholesaleSME_1[[#Headers],[Ausnet]:[United Energy]],0)))</f>
        <v>8.931E-2</v>
      </c>
      <c r="F87" s="102">
        <f>IF(ISNUMBER(SEARCH("Residential",$C$47)),
INDEX(Calc_WholesaleRES_1[[Ausnet]:[United Energy]],MATCH("Wholesale cost",Calc_WholesaleRES_1[[Cost item]:[Cost item]],0),MATCH(CH_CostStack_RES!F$53,Calc_WholesaleRES_1[[#Headers],[Ausnet]:[United Energy]],0)),
INDEX(Calc_WholesaleSME_1[[Ausnet]:[United Energy]],MATCH("Wholesale cost",Calc_WholesaleSME_1[[Cost item]:[Cost item]],0),MATCH(CH_CostStack_RES!F$53,Calc_WholesaleSME_1[[#Headers],[Ausnet]:[United Energy]],0)))</f>
        <v>9.8250000000000004E-2</v>
      </c>
      <c r="G87" s="102">
        <f>IF(ISNUMBER(SEARCH("Residential",$C$47)),
INDEX(Calc_WholesaleRES_1[[Ausnet]:[United Energy]],MATCH("Wholesale cost",Calc_WholesaleRES_1[[Cost item]:[Cost item]],0),MATCH(CH_CostStack_RES!G$53,Calc_WholesaleRES_1[[#Headers],[Ausnet]:[United Energy]],0)),
INDEX(Calc_WholesaleSME_1[[Ausnet]:[United Energy]],MATCH("Wholesale cost",Calc_WholesaleSME_1[[Cost item]:[Cost item]],0),MATCH(CH_CostStack_RES!G$53,Calc_WholesaleSME_1[[#Headers],[Ausnet]:[United Energy]],0)))</f>
        <v>9.2450000000000004E-2</v>
      </c>
      <c r="H87" s="102">
        <f>IF(ISNUMBER(SEARCH("Residential",$C$47)),
INDEX(Calc_WholesaleRES_1[[Ausnet]:[United Energy]],MATCH("Wholesale cost",Calc_WholesaleRES_1[[Cost item]:[Cost item]],0),MATCH(CH_CostStack_RES!H$53,Calc_WholesaleRES_1[[#Headers],[Ausnet]:[United Energy]],0)),
INDEX(Calc_WholesaleSME_1[[Ausnet]:[United Energy]],MATCH("Wholesale cost",Calc_WholesaleSME_1[[Cost item]:[Cost item]],0),MATCH(CH_CostStack_RES!H$53,Calc_WholesaleSME_1[[#Headers],[Ausnet]:[United Energy]],0)))</f>
        <v>9.8670000000000008E-2</v>
      </c>
      <c r="K87" s="43" t="s">
        <v>137</v>
      </c>
      <c r="L87" s="102">
        <f>IF(ISNUMBER(SEARCH("Residential",$K$47)),
INDEX(Calc_WholesaleRES_2[[Ausnet]:[United Energy]],MATCH("Wholesale cost",Calc_WholesaleRES_2[[Cost item]:[Cost item]],0),MATCH(CH_CostStack_RES!L$53,Calc_WholesaleRES_2[[#Headers],[Ausnet]:[United Energy]],0)),
INDEX(Calc_WholesaleSME_2[[Ausnet]:[United Energy]],MATCH("Wholesale cost",Calc_WholesaleSME_2[[Cost item]:[Cost item]],0),MATCH(CH_CostStack_RES!L$53,Calc_WholesaleSME_2[[#Headers],[Ausnet]:[United Energy]],0)))</f>
        <v>7.1690000000000004E-2</v>
      </c>
      <c r="M87" s="102">
        <f>IF(ISNUMBER(SEARCH("Residential",$K$47)),
INDEX(Calc_WholesaleRES_2[[Ausnet]:[United Energy]],MATCH("Wholesale cost",Calc_WholesaleRES_2[[Cost item]:[Cost item]],0),MATCH(CH_CostStack_RES!M$53,Calc_WholesaleRES_2[[#Headers],[Ausnet]:[United Energy]],0)),
INDEX(Calc_WholesaleSME_2[[Ausnet]:[United Energy]],MATCH("Wholesale cost",Calc_WholesaleSME_2[[Cost item]:[Cost item]],0),MATCH(CH_CostStack_RES!M$53,Calc_WholesaleSME_2[[#Headers],[Ausnet]:[United Energy]],0)))</f>
        <v>6.8080000000000002E-2</v>
      </c>
      <c r="N87" s="102">
        <f>IF(ISNUMBER(SEARCH("Residential",$K$47)),
INDEX(Calc_WholesaleRES_2[[Ausnet]:[United Energy]],MATCH("Wholesale cost",Calc_WholesaleRES_2[[Cost item]:[Cost item]],0),MATCH(CH_CostStack_RES!N$53,Calc_WholesaleRES_2[[#Headers],[Ausnet]:[United Energy]],0)),
INDEX(Calc_WholesaleSME_2[[Ausnet]:[United Energy]],MATCH("Wholesale cost",Calc_WholesaleSME_2[[Cost item]:[Cost item]],0),MATCH(CH_CostStack_RES!N$53,Calc_WholesaleSME_2[[#Headers],[Ausnet]:[United Energy]],0)))</f>
        <v>7.3950000000000016E-2</v>
      </c>
      <c r="O87" s="102">
        <f>IF(ISNUMBER(SEARCH("Residential",$K$47)),
INDEX(Calc_WholesaleRES_2[[Ausnet]:[United Energy]],MATCH("Wholesale cost",Calc_WholesaleRES_2[[Cost item]:[Cost item]],0),MATCH(CH_CostStack_RES!O$53,Calc_WholesaleRES_2[[#Headers],[Ausnet]:[United Energy]],0)),
INDEX(Calc_WholesaleSME_2[[Ausnet]:[United Energy]],MATCH("Wholesale cost",Calc_WholesaleSME_2[[Cost item]:[Cost item]],0),MATCH(CH_CostStack_RES!O$53,Calc_WholesaleSME_2[[#Headers],[Ausnet]:[United Energy]],0)))</f>
        <v>7.0059999999999997E-2</v>
      </c>
      <c r="P87" s="102">
        <f>IF(ISNUMBER(SEARCH("Residential",$K$47)),
INDEX(Calc_WholesaleRES_2[[Ausnet]:[United Energy]],MATCH("Wholesale cost",Calc_WholesaleRES_2[[Cost item]:[Cost item]],0),MATCH(CH_CostStack_RES!P$53,Calc_WholesaleRES_2[[#Headers],[Ausnet]:[United Energy]],0)),
INDEX(Calc_WholesaleSME_2[[Ausnet]:[United Energy]],MATCH("Wholesale cost",Calc_WholesaleSME_2[[Cost item]:[Cost item]],0),MATCH(CH_CostStack_RES!P$53,Calc_WholesaleSME_2[[#Headers],[Ausnet]:[United Energy]],0)))</f>
        <v>7.4489999999999987E-2</v>
      </c>
    </row>
    <row r="89" spans="3:16" ht="15.75" x14ac:dyDescent="0.25">
      <c r="C89" s="43" t="s">
        <v>282</v>
      </c>
      <c r="D89" s="87">
        <f>SUMIFS(Calc_OtherCosts_1[Ausnet],Calc_OtherCosts_1[[Fixed/Variable]:[Fixed/Variable]],"Variable")</f>
        <v>7.3408637826745697E-4</v>
      </c>
      <c r="E89" s="87">
        <f>SUMIFS(Calc_OtherCosts_1[Citipower],Calc_OtherCosts_1[[Fixed/Variable]:[Fixed/Variable]],"Variable")</f>
        <v>7.3408637826745697E-4</v>
      </c>
      <c r="F89" s="87">
        <f>SUMIFS(Calc_OtherCosts_1[Jemena],Calc_OtherCosts_1[[Fixed/Variable]:[Fixed/Variable]],"Variable")</f>
        <v>7.3408637826745697E-4</v>
      </c>
      <c r="G89" s="87">
        <f>SUMIFS(Calc_OtherCosts_1[Powercor],Calc_OtherCosts_1[[Fixed/Variable]:[Fixed/Variable]],"Variable")</f>
        <v>7.3408637826745697E-4</v>
      </c>
      <c r="H89" s="87">
        <f>SUMIFS(Calc_OtherCosts_1[United Energy],Calc_OtherCosts_1[[Fixed/Variable]:[Fixed/Variable]],"Variable")</f>
        <v>7.3408637826745697E-4</v>
      </c>
      <c r="K89" s="43" t="s">
        <v>282</v>
      </c>
      <c r="L89" s="87">
        <f>SUMIFS(Calc_OtherCosts_2[Ausnet],Calc_OtherCosts_2[[Fixed/Variable]:[Fixed/Variable]],"Variable")</f>
        <v>8.7547970254075731E-4</v>
      </c>
      <c r="M89" s="87">
        <f>SUMIFS(Calc_OtherCosts_2[Citipower],Calc_OtherCosts_2[[Fixed/Variable]:[Fixed/Variable]],"Variable")</f>
        <v>8.7547970254075731E-4</v>
      </c>
      <c r="N89" s="87">
        <f>SUMIFS(Calc_OtherCosts_2[Jemena],Calc_OtherCosts_2[[Fixed/Variable]:[Fixed/Variable]],"Variable")</f>
        <v>8.7547970254075731E-4</v>
      </c>
      <c r="O89" s="87">
        <f>SUMIFS(Calc_OtherCosts_2[Powercor],Calc_OtherCosts_2[[Fixed/Variable]:[Fixed/Variable]],"Variable")</f>
        <v>8.7547970254075731E-4</v>
      </c>
      <c r="P89" s="87">
        <f>SUMIFS(Calc_OtherCosts_2[United Energy],Calc_OtherCosts_2[[Fixed/Variable]:[Fixed/Variable]],"Variable")</f>
        <v>8.7547970254075731E-4</v>
      </c>
    </row>
    <row r="91" spans="3:16" ht="15.75" x14ac:dyDescent="0.25">
      <c r="C91" s="43" t="s">
        <v>379</v>
      </c>
      <c r="K91" s="43" t="s">
        <v>379</v>
      </c>
    </row>
    <row r="92" spans="3:16" x14ac:dyDescent="0.25">
      <c r="C92" t="s">
        <v>230</v>
      </c>
      <c r="D92" s="102">
        <f>SUMIFS(Calc_NetworkV_1[Ausnet],Calc_NetworkV_1[[Cost item]:[Cost item]],$C92,Calc_NetworkV_1[[Customer type]:[Customer type]],IF(ISNUMBER(SEARCH("Residential",$C$47)),"Residential","Small business"))</f>
        <v>0.11450300000000001</v>
      </c>
      <c r="E92" s="102">
        <f>SUMIFS(Calc_NetworkV_1[Citipower],Calc_NetworkV_1[[Cost item]:[Cost item]],$C92,Calc_NetworkV_1[[Customer type]:[Customer type]],IF(ISNUMBER(SEARCH("Residential",$C$47)),"Residential","Small business"))</f>
        <v>0</v>
      </c>
      <c r="F92" s="102">
        <f>SUMIFS(Calc_NetworkV_1[Jemena],Calc_NetworkV_1[[Cost item]:[Cost item]],$C92,Calc_NetworkV_1[[Customer type]:[Customer type]],IF(ISNUMBER(SEARCH("Residential",$C$47)),"Residential","Small business"))</f>
        <v>0</v>
      </c>
      <c r="G92" s="102">
        <f>SUMIFS(Calc_NetworkV_1[Powercor],Calc_NetworkV_1[Cost item],$C92,Calc_NetworkV_1[Customer type],IF(ISNUMBER(SEARCH("Residential",$C$47)),"Residential","Small business"))</f>
        <v>0</v>
      </c>
      <c r="H92" s="102">
        <f>SUMIFS(Calc_NetworkV_1[United Energy],Calc_NetworkV_1[[Cost item]:[Cost item]],$C92,Calc_NetworkV_1[[Customer type]:[Customer type]],IF(ISNUMBER(SEARCH("Residential",$C$47)),"Residential","Small business"))</f>
        <v>0</v>
      </c>
      <c r="K92" t="s">
        <v>230</v>
      </c>
      <c r="L92" s="102">
        <f>SUMIFS(Calc_NetworkV_2[Ausnet],Calc_NetworkV_2[Cost item],$K92,Calc_NetworkV_2[Customer type],IF(ISNUMBER(SEARCH("Residential",$K$47)),"Residential","Small business"))</f>
        <v>0.11450300000000001</v>
      </c>
      <c r="M92" s="102">
        <f>SUMIFS(Calc_NetworkV_2[Citipower],Calc_NetworkV_2[[Cost item]:[Cost item]],$K92,Calc_NetworkV_2[[Customer type]:[Customer type]],IF(ISNUMBER(SEARCH("Residential",$K$47)),"Residential","Small business"))</f>
        <v>0</v>
      </c>
      <c r="N92" s="102">
        <f>SUMIFS(Calc_NetworkV_2[Jemena],Calc_NetworkV_2[[Cost item]:[Cost item]],$K92,Calc_NetworkV_2[[Customer type]:[Customer type]],IF(ISNUMBER(SEARCH("Residential",$K$47)),"Residential","Small business"))</f>
        <v>0</v>
      </c>
      <c r="O92" s="102">
        <f>SUMIFS(Calc_NetworkV_2[Powercor],Calc_NetworkV_2[[Cost item]:[Cost item]],$K92,Calc_NetworkV_2[[Customer type]:[Customer type]],IF(ISNUMBER(SEARCH("Residential",$K$47)),"Residential","Small business"))</f>
        <v>0</v>
      </c>
      <c r="P92" s="102">
        <f>SUMIFS(Calc_NetworkV_2[United Energy],Calc_NetworkV_2[[Cost item]:[Cost item]],$K92,Calc_NetworkV_2[[Customer type]:[Customer type]],IF(ISNUMBER(SEARCH("Residential",$K$47)),"Residential","Small business"))</f>
        <v>0</v>
      </c>
    </row>
    <row r="93" spans="3:16" x14ac:dyDescent="0.25">
      <c r="C93" t="s">
        <v>237</v>
      </c>
      <c r="D93" s="102">
        <f>SUMIFS(Calc_NetworkV_1[Ausnet],Calc_NetworkV_1[Cost item],$C93,Calc_NetworkV_1[Customer type],IF(ISNUMBER(SEARCH("Residential",$C$47)),"Residential","Small business"))</f>
        <v>0.128382</v>
      </c>
      <c r="E93" s="102">
        <f>SUMIFS(Calc_NetworkV_1[Citipower],Calc_NetworkV_1[[Cost item]:[Cost item]],$C93,Calc_NetworkV_1[[Customer type]:[Customer type]],IF(ISNUMBER(SEARCH("Residential",$C$47)),"Residential","Small business"))</f>
        <v>0</v>
      </c>
      <c r="F93" s="102">
        <f>SUMIFS(Calc_NetworkV_1[Jemena],Calc_NetworkV_1[[Cost item]:[Cost item]],$C93,Calc_NetworkV_1[[Customer type]:[Customer type]],IF(ISNUMBER(SEARCH("Residential",$C$47)),"Residential","Small business"))</f>
        <v>0</v>
      </c>
      <c r="G93" s="102">
        <f>SUMIFS(Calc_NetworkV_1[Powercor],Calc_NetworkV_1[[Cost item]:[Cost item]],$C93,Calc_NetworkV_1[[Customer type]:[Customer type]],IF(ISNUMBER(SEARCH("Residential",$C$47)),"Residential","Small business"))</f>
        <v>0</v>
      </c>
      <c r="H93" s="102">
        <f>SUMIFS(Calc_NetworkV_1[United Energy],Calc_NetworkV_1[[Cost item]:[Cost item]],$C93,Calc_NetworkV_1[[Customer type]:[Customer type]],IF(ISNUMBER(SEARCH("Residential",$C$47)),"Residential","Small business"))</f>
        <v>0</v>
      </c>
      <c r="K93" t="s">
        <v>237</v>
      </c>
      <c r="L93" s="102">
        <f>SUMIFS(Calc_NetworkV_2[Ausnet],Calc_NetworkV_2[[Cost item]:[Cost item]],$K93,Calc_NetworkV_2[[Customer type]:[Customer type]],IF(ISNUMBER(SEARCH("Residential",$K$47)),"Residential","Small business"))</f>
        <v>0.128382</v>
      </c>
      <c r="M93" s="102">
        <f>SUMIFS(Calc_NetworkV_2[Citipower],Calc_NetworkV_2[[Cost item]:[Cost item]],$K93,Calc_NetworkV_2[[Customer type]:[Customer type]],IF(ISNUMBER(SEARCH("Residential",$K$47)),"Residential","Small business"))</f>
        <v>0</v>
      </c>
      <c r="N93" s="102">
        <f>SUMIFS(Calc_NetworkV_2[Jemena],Calc_NetworkV_2[[Cost item]:[Cost item]],$K93,Calc_NetworkV_2[[Customer type]:[Customer type]],IF(ISNUMBER(SEARCH("Residential",$K$47)),"Residential","Small business"))</f>
        <v>0</v>
      </c>
      <c r="O93" s="102">
        <f>SUMIFS(Calc_NetworkV_2[Powercor],Calc_NetworkV_2[[Cost item]:[Cost item]],$K93,Calc_NetworkV_2[[Customer type]:[Customer type]],IF(ISNUMBER(SEARCH("Residential",$K$47)),"Residential","Small business"))</f>
        <v>0</v>
      </c>
      <c r="P93" s="102">
        <f>SUMIFS(Calc_NetworkV_2[United Energy],Calc_NetworkV_2[[Cost item]:[Cost item]],$K93,Calc_NetworkV_2[[Customer type]:[Customer type]],IF(ISNUMBER(SEARCH("Residential",$K$47)),"Residential","Small business"))</f>
        <v>0</v>
      </c>
    </row>
    <row r="94" spans="3:16" x14ac:dyDescent="0.25">
      <c r="C94" t="s">
        <v>508</v>
      </c>
      <c r="D94" s="102">
        <f>SUMIFS(Calc_NetworkV_1[Ausnet],Calc_NetworkV_1[[Cost item]:[Cost item]],$C94,Calc_NetworkV_1[[Customer type]:[Customer type]],IF(ISNUMBER(SEARCH("Residential",$C$47)),"Residential","Small business"))</f>
        <v>0</v>
      </c>
      <c r="E94" s="102">
        <f>SUMIFS(Calc_NetworkV_1[Citipower],Calc_NetworkV_1[[Cost item]:[Cost item]],$C94,Calc_NetworkV_1[[Customer type]:[Customer type]],IF(ISNUMBER(SEARCH("Residential",$C$47)),"Residential","Small business"))</f>
        <v>8.0500000000000002E-2</v>
      </c>
      <c r="F94" s="102">
        <f>SUMIFS(Calc_NetworkV_1[Jemena],Calc_NetworkV_1[[Cost item]:[Cost item]],$C94,Calc_NetworkV_1[[Customer type]:[Customer type]],IF(ISNUMBER(SEARCH("Residential",$C$47)),"Residential","Small business"))</f>
        <v>8.6699999999999999E-2</v>
      </c>
      <c r="G94" s="102">
        <f>SUMIFS(Calc_NetworkV_1[Powercor],Calc_NetworkV_1[[Cost item]:[Cost item]],$C94,Calc_NetworkV_1[[Customer type]:[Customer type]],IF(ISNUMBER(SEARCH("Residential",$C$47)),"Residential","Small business"))</f>
        <v>8.1500000000000003E-2</v>
      </c>
      <c r="H94" s="102">
        <f>SUMIFS(Calc_NetworkV_1[United Energy],Calc_NetworkV_1[[Cost item]:[Cost item]],$C94,Calc_NetworkV_1[[Customer type]:[Customer type]],IF(ISNUMBER(SEARCH("Residential",$C$47)),"Residential","Small business"))</f>
        <v>7.9899999999999999E-2</v>
      </c>
      <c r="K94" t="s">
        <v>508</v>
      </c>
      <c r="L94" s="102">
        <f>SUMIFS(Calc_NetworkV_2[Ausnet],Calc_NetworkV_2[[Cost item]:[Cost item]],$K94,Calc_NetworkV_2[[Customer type]:[Customer type]],IF(ISNUMBER(SEARCH("Residential",$K$47)),"Residential","Small business"))</f>
        <v>0</v>
      </c>
      <c r="M94" s="102">
        <f>SUMIFS(Calc_NetworkV_2[Citipower],Calc_NetworkV_2[[Cost item]:[Cost item]],$K94,Calc_NetworkV_2[[Customer type]:[Customer type]],IF(ISNUMBER(SEARCH("Residential",$K$47)),"Residential","Small business"))</f>
        <v>8.0500000000000002E-2</v>
      </c>
      <c r="N94" s="102">
        <f>SUMIFS(Calc_NetworkV_2[Jemena],Calc_NetworkV_2[[Cost item]:[Cost item]],$K94,Calc_NetworkV_2[[Customer type]:[Customer type]],IF(ISNUMBER(SEARCH("Residential",$K$47)),"Residential","Small business"))</f>
        <v>8.6699999999999999E-2</v>
      </c>
      <c r="O94" s="102">
        <f>SUMIFS(Calc_NetworkV_2[Powercor],Calc_NetworkV_2[[Cost item]:[Cost item]],$K94,Calc_NetworkV_2[[Customer type]:[Customer type]],IF(ISNUMBER(SEARCH("Residential",$K$47)),"Residential","Small business"))</f>
        <v>8.1500000000000003E-2</v>
      </c>
      <c r="P94" s="102">
        <f>SUMIFS(Calc_NetworkV_2[United Energy],Calc_NetworkV_2[[Cost item]:[Cost item]],$K94,Calc_NetworkV_2[[Customer type]:[Customer type]],IF(ISNUMBER(SEARCH("Residential",$K$47)),"Residential","Small business"))</f>
        <v>7.9899999999999999E-2</v>
      </c>
    </row>
    <row r="96" spans="3:16" ht="15.75" x14ac:dyDescent="0.25">
      <c r="C96" s="43" t="s">
        <v>550</v>
      </c>
      <c r="K96" s="43" t="s">
        <v>550</v>
      </c>
    </row>
    <row r="97" spans="3:16" x14ac:dyDescent="0.25">
      <c r="C97" t="s">
        <v>515</v>
      </c>
      <c r="D97" s="102" t="str" cm="1">
        <f t="array" ref="D97">IF(ISNUMBER(SEARCH("Residential",$C$47)),
INDEX(OP_RatesTU_RES_1[Ausnet],MATCH(1,(OP_RatesTU_RES_1[Cost element]="Network")*(OP_RatesTU_RES_1[Rate name]=CH_CostStack_RES!$C97),0),1),
INDEX(OP_RatesTU_SME_1[Ausnet],MATCH(1,(OP_RatesTU_SME_1[Cost element]="Network")*(OP_RatesTU_SME_1[Rate name]=CH_CostStack_RES!$C97),0),1))</f>
        <v>-</v>
      </c>
      <c r="E97" s="102" t="str" cm="1">
        <f t="array" ref="E97">IF(ISNUMBER(SEARCH("Residential",$C$47)),
INDEX(OP_RatesTU_RES_1[Citipower],MATCH(1,(OP_RatesTU_RES_1[Cost element]="Network")*(OP_RatesTU_RES_1[Rate name]=CH_CostStack_RES!$C97),0),1),
INDEX(OP_RatesTU_SME_1[Citipower],MATCH(1,(OP_RatesTU_SME_1[Cost element]="Network")*(OP_RatesTU_SME_1[Rate name]=CH_CostStack_RES!$C97),0),1))</f>
        <v>-</v>
      </c>
      <c r="F97" s="102" t="str" cm="1">
        <f t="array" ref="F97">IF(ISNUMBER(SEARCH("Residential",$C$47)),
INDEX(OP_RatesTU_RES_1[Jemena],MATCH(1,(OP_RatesTU_RES_1[Cost element]="Network")*(OP_RatesTU_RES_1[Rate name]=CH_CostStack_RES!$C97),0),1),
INDEX(OP_RatesTU_SME_1[Jemena],MATCH(1,(OP_RatesTU_SME_1[Cost element]="Network")*(OP_RatesTU_SME_1[Rate name]=CH_CostStack_RES!$C97),0),1))</f>
        <v>-</v>
      </c>
      <c r="G97" s="102" t="str" cm="1">
        <f t="array" ref="G97">IF(ISNUMBER(SEARCH("Residential",$C$47)),
INDEX(OP_RatesTU_RES_1[Powercor],MATCH(1,(OP_RatesTU_RES_1[Cost element]="Network")*(OP_RatesTU_RES_1[Rate name]=CH_CostStack_RES!$C97),0),1),
INDEX(OP_RatesTU_SME_1[Powercor],MATCH(1,(OP_RatesTU_SME_1[Cost element]="Network")*(OP_RatesTU_SME_1[Rate name]=CH_CostStack_RES!$C97),0),1))</f>
        <v>-</v>
      </c>
      <c r="H97" s="102" t="str" cm="1">
        <f t="array" ref="H97">IF(ISNUMBER(SEARCH("Residential",$C$47)),
INDEX(OP_RatesTU_RES_1[United Energy],MATCH(1,(OP_RatesTU_RES_1[Cost element]="Network")*(OP_RatesTU_RES_1[Rate name]=CH_CostStack_RES!$C97),0),1),
INDEX(OP_RatesTU_SME_1[United Energy],MATCH(1,(OP_RatesTU_SME_1[Cost element]="Network")*(OP_RatesTU_SME_1[Rate name]=CH_CostStack_RES!$C97),0),1))</f>
        <v>-</v>
      </c>
      <c r="K97" t="s">
        <v>515</v>
      </c>
      <c r="L97" s="102" cm="1">
        <f t="array" ref="L97">IF(ISNUMBER(SEARCH("Residential",$K$47)),
INDEX(OP_RatesTU_RES_2[Ausnet],MATCH(1,(OP_RatesTU_RES_2[Cost element]="Network")*(OP_RatesTU_RES_2[Rate name]=CH_CostStack_RES!$K97),0),1),
INDEX(OP_RatesTU_SME_2[Ausnet],MATCH(1,(OP_RatesTU_SME_2[Cost element]="Network")*(OP_RatesTU_SME_2[Rate name]=CH_CostStack_RES!$K97),0),1))</f>
        <v>6.5942940910810238E-2</v>
      </c>
      <c r="M97" s="102" cm="1">
        <f t="array" ref="M97">IF(ISNUMBER(SEARCH("Residential",$K$47)),
INDEX(OP_RatesTU_RES_2[Citipower],MATCH(1,(OP_RatesTU_RES_2[Cost element]="Network")*(OP_RatesTU_RES_2[Rate name]=CH_CostStack_RES!$K97),0),1),
INDEX(OP_RatesTU_SME_2[Citipower],MATCH(1,(OP_RatesTU_SME_2[Cost element]="Network")*(OP_RatesTU_SME_2[Rate name]=CH_CostStack_RES!$K97),0),1))</f>
        <v>8.9431863759251856E-2</v>
      </c>
      <c r="N97" s="102" cm="1">
        <f t="array" ref="N97">IF(ISNUMBER(SEARCH("Residential",$K$47)),
INDEX(OP_RatesTU_RES_2[Jemena],MATCH(1,(OP_RatesTU_RES_2[Cost element]="Network")*(OP_RatesTU_RES_2[Rate name]=CH_CostStack_RES!$K97),0),1),
INDEX(OP_RatesTU_SME_2[Jemena],MATCH(1,(OP_RatesTU_SME_2[Cost element]="Network")*(OP_RatesTU_SME_2[Rate name]=CH_CostStack_RES!$K97),0),1))</f>
        <v>7.7831933455424371E-2</v>
      </c>
      <c r="O97" s="102" cm="1">
        <f t="array" ref="O97">IF(ISNUMBER(SEARCH("Residential",$K$47)),
INDEX(OP_RatesTU_RES_2[Powercor],MATCH(1,(OP_RatesTU_RES_2[Cost element]="Network")*(OP_RatesTU_RES_2[Rate name]=CH_CostStack_RES!$K97),0),1),
INDEX(OP_RatesTU_SME_2[Powercor],MATCH(1,(OP_RatesTU_SME_2[Cost element]="Network")*(OP_RatesTU_SME_2[Rate name]=CH_CostStack_RES!$K97),0),1))</f>
        <v>7.7818093461869797E-2</v>
      </c>
      <c r="P97" s="102" cm="1">
        <f t="array" ref="P97">IF(ISNUMBER(SEARCH("Residential",$K$47)),
INDEX(OP_RatesTU_RES_2[United Energy],MATCH(1,(OP_RatesTU_RES_2[Cost element]="Network")*(OP_RatesTU_RES_2[Rate name]=CH_CostStack_RES!$K97),0),1),
INDEX(OP_RatesTU_SME_2[United Energy],MATCH(1,(OP_RatesTU_SME_2[Cost element]="Network")*(OP_RatesTU_SME_2[Rate name]=CH_CostStack_RES!$K97),0),1))</f>
        <v>3.5126537362516849E-2</v>
      </c>
    </row>
    <row r="99" spans="3:16" ht="15.75" x14ac:dyDescent="0.25">
      <c r="C99" s="43" t="s">
        <v>551</v>
      </c>
      <c r="K99" s="43" t="s">
        <v>551</v>
      </c>
    </row>
    <row r="100" spans="3:16" x14ac:dyDescent="0.25">
      <c r="C100" t="s">
        <v>230</v>
      </c>
      <c r="D100" s="102" cm="1">
        <f t="array" ref="D100">IF(ISNUMBER(SEARCH("Residential",$C$47)),
INDEX(OP_RatesTU_RES_1[Ausnet],MATCH(1,(OP_RatesTU_RES_1[Cost element]="Environmental")*(OP_RatesTU_RES_1[Rate name]=CH_CostStack_RES!$C100),0),1),
INDEX(OP_RatesTU_SME_1[Ausnet],MATCH(1,(OP_RatesTU_SME_1[Cost element]="Environmental")*(OP_RatesTU_SME_1[Rate name]=CH_CostStack_RES!$C100),0),1))</f>
        <v>0</v>
      </c>
      <c r="E100" s="102" cm="1">
        <f t="array" ref="E100">IF(ISNUMBER(SEARCH("Residential",$C$47)),
INDEX(OP_RatesTU_RES_1[Citipower],MATCH(1,(OP_RatesTU_RES_1[Cost element]="Environmental")*(OP_RatesTU_RES_1[Rate name]=CH_CostStack_RES!$C100),0),1),
INDEX(OP_RatesTU_SME_1[Citipower],MATCH(1,(OP_RatesTU_SME_1[Cost element]="Environmental")*(OP_RatesTU_SME_1[Rate name]=CH_CostStack_RES!$C100),0),1))</f>
        <v>0</v>
      </c>
      <c r="F100" s="102" cm="1">
        <f t="array" ref="F100">IF(ISNUMBER(SEARCH("Residential",$C$47)),
INDEX(OP_RatesTU_RES_1[Jemena],MATCH(1,(OP_RatesTU_RES_1[Cost element]="Environmental")*(OP_RatesTU_RES_1[Rate name]=CH_CostStack_RES!$C100),0),1),
INDEX(OP_RatesTU_SME_1[Jemena],MATCH(1,(OP_RatesTU_SME_1[Cost element]="Environmental")*(OP_RatesTU_SME_1[Rate name]=CH_CostStack_RES!$C100),0),1))</f>
        <v>0</v>
      </c>
      <c r="G100" s="102" cm="1">
        <f t="array" ref="G100">IF(ISNUMBER(SEARCH("Residential",$C$47)),
INDEX(OP_RatesTU_RES_1[Powercor],MATCH(1,(OP_RatesTU_RES_1[Cost element]="Environmental")*(OP_RatesTU_RES_1[Rate name]=CH_CostStack_RES!$C100),0),1),
INDEX(OP_RatesTU_SME_1[Powercor],MATCH(1,(OP_RatesTU_SME_1[Cost element]="Environmental")*(OP_RatesTU_SME_1[Rate name]=CH_CostStack_RES!$C100),0),1))</f>
        <v>0</v>
      </c>
      <c r="H100" s="102" cm="1">
        <f t="array" ref="H100">IF(ISNUMBER(SEARCH("Residential",$C$47)),
INDEX(OP_RatesTU_RES_1[United Energy],MATCH(1,(OP_RatesTU_RES_1[Cost element]="Environmental")*(OP_RatesTU_RES_1[Rate name]=CH_CostStack_RES!$C100),0),1),
INDEX(OP_RatesTU_SME_1[United Energy],MATCH(1,(OP_RatesTU_SME_1[Cost element]="Environmental")*(OP_RatesTU_SME_1[Rate name]=CH_CostStack_RES!$C100),0),1))</f>
        <v>0</v>
      </c>
      <c r="K100" t="s">
        <v>230</v>
      </c>
      <c r="L100" s="102" cm="1">
        <f t="array" ref="L100">IF(ISNUMBER(SEARCH("Residential",$K$47)),
INDEX(OP_RatesTU_RES_2[Ausnet],MATCH(1,(OP_RatesTU_RES_2[Cost element]="Environmental")*(OP_RatesTU_RES_2[Rate name]=CH_CostStack_RES!$C100),0),1),
INDEX(OP_RatesTU_SME_2[Ausnet],MATCH(1,(OP_RatesTU_SME_2[Cost element]="Environmental")*(OP_RatesTU_SME_2[Rate name]=CH_CostStack_RES!$C100),0),1))</f>
        <v>6.66713910181736E-3</v>
      </c>
      <c r="M100" s="102" cm="1">
        <f t="array" ref="M100">IF(ISNUMBER(SEARCH("Residential",$K$47)),
INDEX(OP_RatesTU_RES_2[Citipower],MATCH(1,(OP_RatesTU_RES_2[Cost element]="Environmental")*(OP_RatesTU_RES_2[Rate name]=CH_CostStack_RES!$C100),0),1),
INDEX(OP_RatesTU_SME_2[Citipower],MATCH(1,(OP_RatesTU_SME_2[Cost element]="Environmental")*(OP_RatesTU_SME_2[Rate name]=CH_CostStack_RES!$C100),0),1))</f>
        <v>0</v>
      </c>
      <c r="N100" s="102" cm="1">
        <f t="array" ref="N100">IF(ISNUMBER(SEARCH("Residential",$K$47)),
INDEX(OP_RatesTU_RES_2[Jemena],MATCH(1,(OP_RatesTU_RES_2[Cost element]="Environmental")*(OP_RatesTU_RES_2[Rate name]=CH_CostStack_RES!$C100),0),1),
INDEX(OP_RatesTU_SME_2[Jemena],MATCH(1,(OP_RatesTU_SME_2[Cost element]="Environmental")*(OP_RatesTU_SME_2[Rate name]=CH_CostStack_RES!$C100),0),1))</f>
        <v>0</v>
      </c>
      <c r="O100" s="102" cm="1">
        <f t="array" ref="O100">IF(ISNUMBER(SEARCH("Residential",$K$47)),
INDEX(OP_RatesTU_RES_2[Powercor],MATCH(1,(OP_RatesTU_RES_2[Cost element]="Environmental")*(OP_RatesTU_RES_2[Rate name]=CH_CostStack_RES!$C100),0),1),
INDEX(OP_RatesTU_SME_2[Powercor],MATCH(1,(OP_RatesTU_SME_2[Cost element]="Environmental")*(OP_RatesTU_SME_2[Rate name]=CH_CostStack_RES!$C100),0),1))</f>
        <v>0</v>
      </c>
      <c r="P100" s="102" cm="1">
        <f t="array" ref="P100">IF(ISNUMBER(SEARCH("Residential",$K$47)),
INDEX(OP_RatesTU_RES_2[United Energy],MATCH(1,(OP_RatesTU_RES_2[Cost element]="Environmental")*(OP_RatesTU_RES_2[Rate name]=CH_CostStack_RES!$C100),0),1),
INDEX(OP_RatesTU_SME_2[United Energy],MATCH(1,(OP_RatesTU_SME_2[Cost element]="Environmental")*(OP_RatesTU_SME_2[Rate name]=CH_CostStack_RES!$C100),0),1))</f>
        <v>0</v>
      </c>
    </row>
    <row r="101" spans="3:16" x14ac:dyDescent="0.25">
      <c r="C101" t="s">
        <v>237</v>
      </c>
      <c r="D101" s="102" cm="1">
        <f t="array" ref="D101">IF(ISNUMBER(SEARCH("Residential",$C$47)),
INDEX(OP_RatesTU_RES_1[Ausnet],MATCH(1,(OP_RatesTU_RES_1[Cost element]="Environmental")*(OP_RatesTU_RES_1[Rate name]=CH_CostStack_RES!$C101),0),1),
INDEX(OP_RatesTU_SME_1[Ausnet],MATCH(1,(OP_RatesTU_SME_1[Cost element]="Environmental")*(OP_RatesTU_SME_1[Rate name]=CH_CostStack_RES!$C101),0),1))</f>
        <v>0</v>
      </c>
      <c r="E101" s="102" cm="1">
        <f t="array" ref="E101">IF(ISNUMBER(SEARCH("Residential",$C$47)),
INDEX(OP_RatesTU_RES_1[Citipower],MATCH(1,(OP_RatesTU_RES_1[Cost element]="Environmental")*(OP_RatesTU_RES_1[Rate name]=CH_CostStack_RES!$C101),0),1),
INDEX(OP_RatesTU_SME_1[Citipower],MATCH(1,(OP_RatesTU_SME_1[Cost element]="Environmental")*(OP_RatesTU_SME_1[Rate name]=CH_CostStack_RES!$C101),0),1))</f>
        <v>0</v>
      </c>
      <c r="F101" s="102" cm="1">
        <f t="array" ref="F101">IF(ISNUMBER(SEARCH("Residential",$C$47)),
INDEX(OP_RatesTU_RES_1[Jemena],MATCH(1,(OP_RatesTU_RES_1[Cost element]="Environmental")*(OP_RatesTU_RES_1[Rate name]=CH_CostStack_RES!$C101),0),1),
INDEX(OP_RatesTU_SME_1[Jemena],MATCH(1,(OP_RatesTU_SME_1[Cost element]="Environmental")*(OP_RatesTU_SME_1[Rate name]=CH_CostStack_RES!$C101),0),1))</f>
        <v>0</v>
      </c>
      <c r="G101" s="102" cm="1">
        <f t="array" ref="G101">IF(ISNUMBER(SEARCH("Residential",$C$47)),
INDEX(OP_RatesTU_RES_1[Powercor],MATCH(1,(OP_RatesTU_RES_1[Cost element]="Environmental")*(OP_RatesTU_RES_1[Rate name]=CH_CostStack_RES!$C101),0),1),
INDEX(OP_RatesTU_SME_1[Powercor],MATCH(1,(OP_RatesTU_SME_1[Cost element]="Environmental")*(OP_RatesTU_SME_1[Rate name]=CH_CostStack_RES!$C101),0),1))</f>
        <v>0</v>
      </c>
      <c r="H101" s="102" cm="1">
        <f t="array" ref="H101">IF(ISNUMBER(SEARCH("Residential",$C$47)),
INDEX(OP_RatesTU_RES_1[United Energy],MATCH(1,(OP_RatesTU_RES_1[Cost element]="Environmental")*(OP_RatesTU_RES_1[Rate name]=CH_CostStack_RES!$C101),0),1),
INDEX(OP_RatesTU_SME_1[United Energy],MATCH(1,(OP_RatesTU_SME_1[Cost element]="Environmental")*(OP_RatesTU_SME_1[Rate name]=CH_CostStack_RES!$C101),0),1))</f>
        <v>0</v>
      </c>
      <c r="K101" t="s">
        <v>237</v>
      </c>
      <c r="L101" s="102" cm="1">
        <f t="array" ref="L101">IF(ISNUMBER(SEARCH("Residential",$K$47)),
INDEX(OP_RatesTU_RES_2[Ausnet],MATCH(1,(OP_RatesTU_RES_2[Cost element]="Environmental")*(OP_RatesTU_RES_2[Rate name]=CH_CostStack_RES!$C101),0),1),
INDEX(OP_RatesTU_SME_2[Ausnet],MATCH(1,(OP_RatesTU_SME_2[Cost element]="Environmental")*(OP_RatesTU_SME_2[Rate name]=CH_CostStack_RES!$C101),0),1))</f>
        <v>6.66713910181736E-3</v>
      </c>
      <c r="M101" s="102" cm="1">
        <f t="array" ref="M101">IF(ISNUMBER(SEARCH("Residential",$K$47)),
INDEX(OP_RatesTU_RES_2[Citipower],MATCH(1,(OP_RatesTU_RES_2[Cost element]="Environmental")*(OP_RatesTU_RES_2[Rate name]=CH_CostStack_RES!$C101),0),1),
INDEX(OP_RatesTU_SME_2[Citipower],MATCH(1,(OP_RatesTU_SME_2[Cost element]="Environmental")*(OP_RatesTU_SME_2[Rate name]=CH_CostStack_RES!$C101),0),1))</f>
        <v>0</v>
      </c>
      <c r="N101" s="102" cm="1">
        <f t="array" ref="N101">IF(ISNUMBER(SEARCH("Residential",$K$47)),
INDEX(OP_RatesTU_RES_2[Jemena],MATCH(1,(OP_RatesTU_RES_2[Cost element]="Environmental")*(OP_RatesTU_RES_2[Rate name]=CH_CostStack_RES!$C101),0),1),
INDEX(OP_RatesTU_SME_2[Jemena],MATCH(1,(OP_RatesTU_SME_2[Cost element]="Environmental")*(OP_RatesTU_SME_2[Rate name]=CH_CostStack_RES!$C101),0),1))</f>
        <v>0</v>
      </c>
      <c r="O101" s="102" cm="1">
        <f t="array" ref="O101">IF(ISNUMBER(SEARCH("Residential",$K$47)),
INDEX(OP_RatesTU_RES_2[Powercor],MATCH(1,(OP_RatesTU_RES_2[Cost element]="Environmental")*(OP_RatesTU_RES_2[Rate name]=CH_CostStack_RES!$C101),0),1),
INDEX(OP_RatesTU_SME_2[Powercor],MATCH(1,(OP_RatesTU_SME_2[Cost element]="Environmental")*(OP_RatesTU_SME_2[Rate name]=CH_CostStack_RES!$C101),0),1))</f>
        <v>0</v>
      </c>
      <c r="P101" s="102" cm="1">
        <f t="array" ref="P101">IF(ISNUMBER(SEARCH("Residential",$K$47)),
INDEX(OP_RatesTU_RES_2[United Energy],MATCH(1,(OP_RatesTU_RES_2[Cost element]="Environmental")*(OP_RatesTU_RES_2[Rate name]=CH_CostStack_RES!$C101),0),1),
INDEX(OP_RatesTU_SME_2[United Energy],MATCH(1,(OP_RatesTU_SME_2[Cost element]="Environmental")*(OP_RatesTU_SME_2[Rate name]=CH_CostStack_RES!$C101),0),1))</f>
        <v>0</v>
      </c>
    </row>
    <row r="102" spans="3:16" x14ac:dyDescent="0.25">
      <c r="C102" t="s">
        <v>508</v>
      </c>
      <c r="D102" s="102" cm="1">
        <f t="array" ref="D102">IF(ISNUMBER(SEARCH("Residential",$C$47)),
INDEX(OP_RatesTU_RES_1[Ausnet],MATCH(1,(OP_RatesTU_RES_1[Cost element]="Environmental")*(OP_RatesTU_RES_1[Rate name]=CH_CostStack_RES!$C102),0),1),
INDEX(OP_RatesTU_SME_1[Ausnet],MATCH(1,(OP_RatesTU_SME_1[Cost element]="Environmental")*(OP_RatesTU_SME_1[Rate name]=CH_CostStack_RES!$C102),0),1))</f>
        <v>0</v>
      </c>
      <c r="E102" s="102" cm="1">
        <f t="array" ref="E102">IF(ISNUMBER(SEARCH("Residential",$C$47)),
INDEX(OP_RatesTU_RES_1[Citipower],MATCH(1,(OP_RatesTU_RES_1[Cost element]="Environmental")*(OP_RatesTU_RES_1[Rate name]=CH_CostStack_RES!$C102),0),1),
INDEX(OP_RatesTU_SME_1[Citipower],MATCH(1,(OP_RatesTU_SME_1[Cost element]="Environmental")*(OP_RatesTU_SME_1[Rate name]=CH_CostStack_RES!$C102),0),1))</f>
        <v>0</v>
      </c>
      <c r="F102" s="102" cm="1">
        <f t="array" ref="F102">IF(ISNUMBER(SEARCH("Residential",$C$47)),
INDEX(OP_RatesTU_RES_1[Jemena],MATCH(1,(OP_RatesTU_RES_1[Cost element]="Environmental")*(OP_RatesTU_RES_1[Rate name]=CH_CostStack_RES!$C102),0),1),
INDEX(OP_RatesTU_SME_1[Jemena],MATCH(1,(OP_RatesTU_SME_1[Cost element]="Environmental")*(OP_RatesTU_SME_1[Rate name]=CH_CostStack_RES!$C102),0),1))</f>
        <v>0</v>
      </c>
      <c r="G102" s="102" cm="1">
        <f t="array" ref="G102">IF(ISNUMBER(SEARCH("Residential",$C$47)),
INDEX(OP_RatesTU_RES_1[Powercor],MATCH(1,(OP_RatesTU_RES_1[Cost element]="Environmental")*(OP_RatesTU_RES_1[Rate name]=CH_CostStack_RES!$C102),0),1),
INDEX(OP_RatesTU_SME_1[Powercor],MATCH(1,(OP_RatesTU_SME_1[Cost element]="Environmental")*(OP_RatesTU_SME_1[Rate name]=CH_CostStack_RES!$C102),0),1))</f>
        <v>0</v>
      </c>
      <c r="H102" s="102" cm="1">
        <f t="array" ref="H102">IF(ISNUMBER(SEARCH("Residential",$C$47)),
INDEX(OP_RatesTU_RES_1[United Energy],MATCH(1,(OP_RatesTU_RES_1[Cost element]="Environmental")*(OP_RatesTU_RES_1[Rate name]=CH_CostStack_RES!$C102),0),1),
INDEX(OP_RatesTU_SME_1[United Energy],MATCH(1,(OP_RatesTU_SME_1[Cost element]="Environmental")*(OP_RatesTU_SME_1[Rate name]=CH_CostStack_RES!$C102),0),1))</f>
        <v>0</v>
      </c>
      <c r="K102" t="s">
        <v>508</v>
      </c>
      <c r="L102" s="102" cm="1">
        <f t="array" ref="L102">IF(ISNUMBER(SEARCH("Residential",$K$47)),
INDEX(OP_RatesTU_RES_2[Ausnet],MATCH(1,(OP_RatesTU_RES_2[Cost element]="Environmental")*(OP_RatesTU_RES_2[Rate name]=CH_CostStack_RES!$C102),0),1),
INDEX(OP_RatesTU_SME_2[Ausnet],MATCH(1,(OP_RatesTU_SME_2[Cost element]="Environmental")*(OP_RatesTU_SME_2[Rate name]=CH_CostStack_RES!$C102),0),1))</f>
        <v>0</v>
      </c>
      <c r="M102" s="102" cm="1">
        <f t="array" ref="M102">IF(ISNUMBER(SEARCH("Residential",$K$47)),
INDEX(OP_RatesTU_RES_2[Citipower],MATCH(1,(OP_RatesTU_RES_2[Cost element]="Environmental")*(OP_RatesTU_RES_2[Rate name]=CH_CostStack_RES!$C102),0),1),
INDEX(OP_RatesTU_SME_2[Citipower],MATCH(1,(OP_RatesTU_SME_2[Cost element]="Environmental")*(OP_RatesTU_SME_2[Rate name]=CH_CostStack_RES!$C102),0),1))</f>
        <v>6.5518983001313221E-3</v>
      </c>
      <c r="N102" s="102" cm="1">
        <f t="array" ref="N102">IF(ISNUMBER(SEARCH("Residential",$K$47)),
INDEX(OP_RatesTU_RES_2[Jemena],MATCH(1,(OP_RatesTU_RES_2[Cost element]="Environmental")*(OP_RatesTU_RES_2[Rate name]=CH_CostStack_RES!$C102),0),1),
INDEX(OP_RatesTU_SME_2[Jemena],MATCH(1,(OP_RatesTU_SME_2[Cost element]="Environmental")*(OP_RatesTU_SME_2[Rate name]=CH_CostStack_RES!$C102),0),1))</f>
        <v>6.4834552967827147E-3</v>
      </c>
      <c r="O102" s="102" cm="1">
        <f t="array" ref="O102">IF(ISNUMBER(SEARCH("Residential",$K$47)),
INDEX(OP_RatesTU_RES_2[Powercor],MATCH(1,(OP_RatesTU_RES_2[Cost element]="Environmental")*(OP_RatesTU_RES_2[Rate name]=CH_CostStack_RES!$C102),0),1),
INDEX(OP_RatesTU_SME_2[Powercor],MATCH(1,(OP_RatesTU_SME_2[Cost element]="Environmental")*(OP_RatesTU_SME_2[Rate name]=CH_CostStack_RES!$C102),0),1))</f>
        <v>6.6923795662660671E-3</v>
      </c>
      <c r="P102" s="102" cm="1">
        <f t="array" ref="P102">IF(ISNUMBER(SEARCH("Residential",$K$47)),
INDEX(OP_RatesTU_RES_2[United Energy],MATCH(1,(OP_RatesTU_RES_2[Cost element]="Environmental")*(OP_RatesTU_RES_2[Rate name]=CH_CostStack_RES!$C102),0),1),
INDEX(OP_RatesTU_SME_2[United Energy],MATCH(1,(OP_RatesTU_SME_2[Cost element]="Environmental")*(OP_RatesTU_SME_2[Rate name]=CH_CostStack_RES!$C102),0),1))</f>
        <v>6.5757968919376237E-3</v>
      </c>
    </row>
    <row r="108" spans="3:16" x14ac:dyDescent="0.25">
      <c r="D108" s="120"/>
    </row>
  </sheetData>
  <sheetProtection algorithmName="SHA-512" hashValue="st1Kt2Rnc9XDto+Eb2p/NJt3u/qnhUJ+K8sEEpz6SVkEyJd+R4QAYDAvtTMQ5lkJF51WdrcWLfTTWb6DRyOp0g==" saltValue="TRi5MzlbB7hAs0AFwyirQQ==" spinCount="100000" sheet="1" objects="1" scenarios="1"/>
  <mergeCells count="1">
    <mergeCell ref="A2:A3"/>
  </mergeCells>
  <phoneticPr fontId="30" type="noConversion"/>
  <dataValidations count="1">
    <dataValidation type="list" allowBlank="1" showInputMessage="1" showErrorMessage="1" sqref="D31" xr:uid="{6D9C8EE1-F855-4BC6-9C7E-6DE152AE4502}">
      <formula1>$D$53:$I$53</formula1>
    </dataValidation>
  </dataValidations>
  <pageMargins left="0.7" right="0.7" top="0.75" bottom="0.75" header="0.3" footer="0.3"/>
  <pageSetup paperSize="9" orientation="portrait" r:id="rId1"/>
  <drawing r:id="rId2"/>
  <tableParts count="2">
    <tablePart r:id="rId3"/>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ADB17121-8300-469F-8CE9-8202E01ED7A4}">
          <x14:formula1>
            <xm:f>'Lookup refs'!$I$8:$I$13</xm:f>
          </x14:formula1>
          <xm:sqref>C47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76D48-752C-481E-840C-2FD0498EF33C}">
  <sheetPr>
    <tabColor rgb="FFFFB13F"/>
  </sheetPr>
  <dimension ref="A1:X102"/>
  <sheetViews>
    <sheetView showGridLines="0" topLeftCell="B1" zoomScale="70" zoomScaleNormal="70" workbookViewId="0">
      <pane ySplit="3" topLeftCell="A4" activePane="bottomLeft" state="frozen"/>
      <selection activeCell="AQ60" sqref="AQ60"/>
      <selection pane="bottomLeft" activeCell="S38" sqref="S38"/>
    </sheetView>
  </sheetViews>
  <sheetFormatPr defaultColWidth="9.140625" defaultRowHeight="15" outlineLevelCol="1" x14ac:dyDescent="0.25"/>
  <cols>
    <col min="1" max="1" width="100.7109375" hidden="1" customWidth="1" outlineLevel="1"/>
    <col min="2" max="2" width="10.7109375" style="6" customWidth="1" collapsed="1"/>
    <col min="3" max="17" width="25.5703125" customWidth="1"/>
    <col min="18" max="18" width="5.5703125" customWidth="1"/>
    <col min="19" max="19" width="11.140625" bestFit="1" customWidth="1"/>
    <col min="22" max="22" width="13.140625" bestFit="1" customWidth="1"/>
  </cols>
  <sheetData>
    <row r="1" spans="1:18" ht="15" customHeight="1" x14ac:dyDescent="0.25">
      <c r="A1" s="1" t="s">
        <v>27</v>
      </c>
      <c r="B1" s="22"/>
      <c r="C1" s="23"/>
      <c r="D1" s="23"/>
      <c r="E1" s="23"/>
      <c r="F1" s="125" t="s">
        <v>422</v>
      </c>
      <c r="G1" s="97"/>
      <c r="H1" s="23"/>
      <c r="I1" s="23"/>
      <c r="J1" s="23"/>
      <c r="K1" s="23"/>
      <c r="L1" s="23"/>
      <c r="M1" s="23"/>
      <c r="N1" s="23"/>
      <c r="O1" s="23"/>
      <c r="P1" s="23"/>
      <c r="Q1" s="23"/>
      <c r="R1" s="23"/>
    </row>
    <row r="2" spans="1:18" s="4" customFormat="1" ht="50.1" customHeight="1" x14ac:dyDescent="0.25">
      <c r="A2" s="293" t="s">
        <v>28</v>
      </c>
      <c r="B2" s="26"/>
      <c r="C2" s="26" t="str">
        <f>Disclaimer!$B$1</f>
        <v>VDO calculation model</v>
      </c>
      <c r="D2" s="26"/>
      <c r="E2" s="26"/>
      <c r="F2" s="202" t="str">
        <f>Calc_Rates!$D$5</f>
        <v>VDO 2021 - Variation final</v>
      </c>
      <c r="G2" s="202" t="str">
        <f>Calc_Rates!$D$251</f>
        <v>VDO 2022 - Final</v>
      </c>
      <c r="H2" s="26"/>
      <c r="I2" s="26"/>
      <c r="J2" s="26"/>
      <c r="K2" s="26"/>
      <c r="L2" s="26"/>
      <c r="M2" s="26"/>
      <c r="N2" s="26"/>
      <c r="O2" s="26"/>
      <c r="P2" s="26"/>
      <c r="Q2" s="26"/>
      <c r="R2" s="26"/>
    </row>
    <row r="3" spans="1:18" s="4" customFormat="1" ht="30" customHeight="1" x14ac:dyDescent="0.25">
      <c r="A3" s="294"/>
      <c r="B3" s="28">
        <f ca="1">_xlfn.SHEET()</f>
        <v>18</v>
      </c>
      <c r="C3" s="27" t="s">
        <v>342</v>
      </c>
      <c r="D3" s="27"/>
      <c r="E3" s="27"/>
      <c r="F3" s="96">
        <f>SUM(D69:H69,M34)</f>
        <v>0</v>
      </c>
      <c r="G3" s="96">
        <f>SUM(L69:P69,M35)</f>
        <v>0</v>
      </c>
      <c r="H3" s="27"/>
      <c r="I3" s="27"/>
      <c r="J3" s="27"/>
      <c r="K3" s="27"/>
      <c r="L3" s="27"/>
      <c r="M3" s="27"/>
      <c r="N3" s="27"/>
      <c r="O3" s="27"/>
      <c r="P3" s="27"/>
      <c r="Q3" s="27"/>
      <c r="R3" s="27"/>
    </row>
    <row r="4" spans="1:18" x14ac:dyDescent="0.25">
      <c r="B4"/>
    </row>
    <row r="5" spans="1:18" ht="16.5" thickBot="1" x14ac:dyDescent="0.3">
      <c r="A5" s="1" t="s">
        <v>30</v>
      </c>
      <c r="B5" s="9">
        <f ca="1">MAX(B$3:B4)+0.1</f>
        <v>18.100000000000001</v>
      </c>
      <c r="C5" s="29" t="str">
        <f>"VDO cost stack chart - Flat VDO - "&amp;IF(ISNUMBER(SEARCH("Residential",$C$47)),"Residential","Small business")</f>
        <v>VDO cost stack chart - Flat VDO - Small business</v>
      </c>
      <c r="D5" s="29"/>
      <c r="E5" s="29"/>
      <c r="F5" s="29"/>
      <c r="G5" s="29"/>
      <c r="H5" s="29"/>
      <c r="I5" s="29"/>
      <c r="J5" s="29"/>
      <c r="K5" s="29"/>
      <c r="L5" s="29"/>
      <c r="M5" s="29"/>
      <c r="N5" s="29"/>
      <c r="O5" s="29"/>
      <c r="P5" s="29"/>
      <c r="Q5" s="29"/>
      <c r="R5" s="29"/>
    </row>
    <row r="6" spans="1:18" x14ac:dyDescent="0.25">
      <c r="B6"/>
    </row>
    <row r="7" spans="1:18" x14ac:dyDescent="0.25">
      <c r="B7"/>
    </row>
    <row r="8" spans="1:18" x14ac:dyDescent="0.25">
      <c r="B8"/>
    </row>
    <row r="9" spans="1:18" x14ac:dyDescent="0.25">
      <c r="B9"/>
    </row>
    <row r="10" spans="1:18" x14ac:dyDescent="0.25">
      <c r="B10"/>
    </row>
    <row r="11" spans="1:18" x14ac:dyDescent="0.25">
      <c r="B11"/>
    </row>
    <row r="12" spans="1:18" x14ac:dyDescent="0.25">
      <c r="B12"/>
    </row>
    <row r="13" spans="1:18" x14ac:dyDescent="0.25">
      <c r="B13"/>
    </row>
    <row r="14" spans="1:18" x14ac:dyDescent="0.25">
      <c r="B14"/>
    </row>
    <row r="15" spans="1:18" x14ac:dyDescent="0.25">
      <c r="B15"/>
    </row>
    <row r="16" spans="1:18" x14ac:dyDescent="0.25">
      <c r="B16"/>
    </row>
    <row r="17" spans="2:4" x14ac:dyDescent="0.25">
      <c r="B17"/>
    </row>
    <row r="18" spans="2:4" x14ac:dyDescent="0.25">
      <c r="B18"/>
    </row>
    <row r="19" spans="2:4" x14ac:dyDescent="0.25">
      <c r="B19"/>
    </row>
    <row r="20" spans="2:4" x14ac:dyDescent="0.25">
      <c r="B20"/>
    </row>
    <row r="21" spans="2:4" x14ac:dyDescent="0.25">
      <c r="B21"/>
    </row>
    <row r="22" spans="2:4" x14ac:dyDescent="0.25">
      <c r="B22"/>
    </row>
    <row r="23" spans="2:4" x14ac:dyDescent="0.25">
      <c r="B23"/>
    </row>
    <row r="24" spans="2:4" x14ac:dyDescent="0.25">
      <c r="B24"/>
    </row>
    <row r="25" spans="2:4" x14ac:dyDescent="0.25">
      <c r="B25"/>
    </row>
    <row r="26" spans="2:4" x14ac:dyDescent="0.25">
      <c r="B26"/>
    </row>
    <row r="27" spans="2:4" x14ac:dyDescent="0.25">
      <c r="B27"/>
    </row>
    <row r="28" spans="2:4" x14ac:dyDescent="0.25">
      <c r="B28"/>
    </row>
    <row r="29" spans="2:4" x14ac:dyDescent="0.25">
      <c r="B29"/>
    </row>
    <row r="30" spans="2:4" x14ac:dyDescent="0.25">
      <c r="B30"/>
    </row>
    <row r="31" spans="2:4" ht="15.75" x14ac:dyDescent="0.25">
      <c r="B31"/>
      <c r="C31" s="43" t="s">
        <v>387</v>
      </c>
      <c r="D31" s="105" t="s">
        <v>383</v>
      </c>
    </row>
    <row r="32" spans="2:4" x14ac:dyDescent="0.25">
      <c r="B32"/>
    </row>
    <row r="33" spans="1:18" ht="15.75" x14ac:dyDescent="0.25">
      <c r="B33"/>
      <c r="C33" s="43" t="s">
        <v>386</v>
      </c>
      <c r="D33" s="43" t="s">
        <v>137</v>
      </c>
      <c r="E33" s="43" t="s">
        <v>130</v>
      </c>
      <c r="F33" s="43" t="s">
        <v>115</v>
      </c>
      <c r="G33" s="43" t="s">
        <v>160</v>
      </c>
      <c r="H33" s="43" t="s">
        <v>282</v>
      </c>
      <c r="I33" s="43" t="s">
        <v>211</v>
      </c>
      <c r="J33" s="43" t="s">
        <v>286</v>
      </c>
      <c r="K33" s="43" t="s">
        <v>384</v>
      </c>
    </row>
    <row r="34" spans="1:18" ht="15.75" x14ac:dyDescent="0.25">
      <c r="B34"/>
      <c r="C34" s="83" t="str">
        <f>$D$44</f>
        <v>VDO 2021 - Variation final</v>
      </c>
      <c r="D34" s="106">
        <f>INDEX(CostStackCalcs_SME_1[[Ausnet]:[Average]],MATCH(D$33,CostStackCalcs_SME_1[[Labels]:[Labels]],0),MATCH($D$31,CostStackCalcs_SME_1[[#Headers],[Ausnet]:[Average]],0))</f>
        <v>1774.3898415283202</v>
      </c>
      <c r="E34" s="106">
        <f>INDEX(CostStackCalcs_SME_1[[Ausnet]:[Average]],MATCH(E$33,CostStackCalcs_SME_1[[Labels]:[Labels]],0),MATCH($D$31,CostStackCalcs_SME_1[[#Headers],[Ausnet]:[Average]],0))+
IF(INDEX(CostStackCalcs_SME_1[[Ausnet]:[Average]],MATCH("Network true up",CostStackCalcs_SME_1[[Labels]:[Labels]],0),MATCH($D$31,CostStackCalcs_SME_1[[#Headers],[Ausnet]:[Average]],0))="-",0,
INDEX(CostStackCalcs_SME_1[[Ausnet]:[Average]],MATCH("Network true up",CostStackCalcs_SME_1[[Labels]:[Labels]],0),MATCH($D$31,CostStackCalcs_SME_1[[#Headers],[Ausnet]:[Average]],0)))</f>
        <v>2395.6858039999997</v>
      </c>
      <c r="F34" s="106">
        <f>INDEX(CostStackCalcs_SME_1[[Ausnet]:[Average]],MATCH(F$33,CostStackCalcs_SME_1[[Labels]:[Labels]],0),MATCH($D$31,CostStackCalcs_SME_1[[#Headers],[Ausnet]:[Average]],0))</f>
        <v>181.75878095302619</v>
      </c>
      <c r="G34" s="106">
        <f>INDEX(CostStackCalcs_SME_1[[Ausnet]:[Average]],MATCH("Environmental schemes",CostStackCalcs_SME_1[[Labels]:[Labels]],0),MATCH($D$31,CostStackCalcs_SME_1[[#Headers],[Ausnet]:[Average]],0))+
INDEX(CostStackCalcs_SME_1[[Ausnet]:[Average]],MATCH("FiT",CostStackCalcs_SME_1[[Labels]:[Labels]],0),MATCH($D$31,CostStackCalcs_SME_1[[#Headers],[Ausnet]:[Average]],0))+
IF(INDEX(CostStackCalcs_SME_1[[Ausnet]:[Average]],MATCH("Environmental true up",CostStackCalcs_SME_1[[Labels]:[Labels]],0),MATCH($D$31,CostStackCalcs_SME_1[[#Headers],[Ausnet]:[Average]],0))="-",0,
INDEX(CostStackCalcs_SME_1[[Ausnet]:[Average]],MATCH("Environmental true up",CostStackCalcs_SME_1[[Labels]:[Labels]],0),MATCH($D$31,CostStackCalcs_SME_1[[#Headers],[Ausnet]:[Average]],0)))</f>
        <v>500.48971444069565</v>
      </c>
      <c r="H34" s="106">
        <f>INDEX(CostStackCalcs_SME_1[[Ausnet]:[Average]],MATCH(H$33,CostStackCalcs_SME_1[[Labels]:[Labels]],0),MATCH($D$31,CostStackCalcs_SME_1[[#Headers],[Ausnet]:[Average]],0))</f>
        <v>21.62117296158377</v>
      </c>
      <c r="I34" s="106">
        <f>INDEX(CostStackCalcs_SME_1[[Ausnet]:[Average]],MATCH(I$33,CostStackCalcs_SME_1[[Labels]:[Labels]],0),MATCH($D$31,CostStackCalcs_SME_1[[#Headers],[Ausnet]:[Average]],0))</f>
        <v>294.38629695857094</v>
      </c>
      <c r="J34" s="106">
        <f>INDEX(CostStackCalcs_SME_1[[Ausnet]:[Average]],MATCH(J$33,CostStackCalcs_SME_1[[Labels]:[Labels]],0),MATCH($D$31,CostStackCalcs_SME_1[[#Headers],[Ausnet]:[Average]],0))</f>
        <v>516.83316108421968</v>
      </c>
      <c r="K34" s="106">
        <f>INDEX(CostStackCalcs_SME_1[[Ausnet]:[Average]],MATCH(K$33,CostStackCalcs_SME_1[[Labels]:[Labels]],0),MATCH($D$31,CostStackCalcs_SME_1[[#Headers],[Ausnet]:[Average]],0))</f>
        <v>5686</v>
      </c>
      <c r="M34" s="25">
        <f>IF(OR(ROUNDUP(SUM(D34:J34),0)-K34&lt;1,ROUNDUP(SUM(D34:J34),0)-K34&gt;-1),0,1)</f>
        <v>0</v>
      </c>
    </row>
    <row r="35" spans="1:18" ht="15.75" x14ac:dyDescent="0.25">
      <c r="B35"/>
      <c r="C35" s="83" t="str">
        <f>$L$44</f>
        <v>VDO 2022 - Final</v>
      </c>
      <c r="D35" s="106">
        <f>INDEX(CostStackCalcs_SME_2[[Ausnet]:[Average]],MATCH(D$33,CostStackCalcs_SME_2[[Labels]:[Labels]],0),MATCH($D$31,CostStackCalcs_SME_2[[#Headers],[Ausnet]:[Average]],0))</f>
        <v>1345.0359158236326</v>
      </c>
      <c r="E35" s="106">
        <f>INDEX(CostStackCalcs_SME_2[[Ausnet]:[Average]],MATCH(E$33,CostStackCalcs_SME_2[[Labels]:[Labels]],0),MATCH($D$31,CostStackCalcs_SME_2[[#Headers],[Ausnet]:[Average]],0))+
IF(INDEX(CostStackCalcs_SME_2[[Ausnet]:[Average]],MATCH("Network true up",CostStackCalcs_SME_2[[Labels]:[Labels]],0),MATCH($D$31,CostStackCalcs_SME_2[[#Headers],[Ausnet]:[Average]],0))="-",0,
INDEX(CostStackCalcs_SME_2[[Ausnet]:[Average]],MATCH("Network true up",CostStackCalcs_SME_2[[Labels]:[Labels]],0),MATCH($D$31,CostStackCalcs_SME_2[[#Headers],[Ausnet]:[Average]],0)))</f>
        <v>2410.1787460082737</v>
      </c>
      <c r="F35" s="106">
        <f>INDEX(CostStackCalcs_SME_2[[Ausnet]:[Average]],MATCH(F$33,CostStackCalcs_SME_2[[Labels]:[Labels]],0),MATCH($D$31,CostStackCalcs_SME_2[[#Headers],[Ausnet]:[Average]],0))</f>
        <v>181.37562065040649</v>
      </c>
      <c r="G35" s="106">
        <f>INDEX(CostStackCalcs_SME_2[[Ausnet]:[Average]],MATCH("Environmental schemes",CostStackCalcs_SME_2[[Labels]:[Labels]],0),MATCH($D$31,CostStackCalcs_SME_2[[#Headers],[Ausnet]:[Average]],0))+
INDEX(CostStackCalcs_SME_2[[Ausnet]:[Average]],MATCH("FiT",CostStackCalcs_SME_2[[Labels]:[Labels]],0),MATCH($D$31,CostStackCalcs_SME_2[[#Headers],[Ausnet]:[Average]],0))+
IF(INDEX(CostStackCalcs_SME_2[[Ausnet]:[Average]],MATCH("Environmental true up",CostStackCalcs_SME_2[[Labels]:[Labels]],0),MATCH($D$31,CostStackCalcs_SME_2[[#Headers],[Ausnet]:[Average]],0))="-",0,
INDEX(CostStackCalcs_SME_2[[Ausnet]:[Average]],MATCH("Environmental true up",CostStackCalcs_SME_2[[Labels]:[Labels]],0),MATCH($D$31,CostStackCalcs_SME_2[[#Headers],[Ausnet]:[Average]],0)))</f>
        <v>638.31286558187821</v>
      </c>
      <c r="H35" s="106">
        <f>INDEX(CostStackCalcs_SME_2[[Ausnet]:[Average]],MATCH(H$33,CostStackCalcs_SME_2[[Labels]:[Labels]],0),MATCH($D$31,CostStackCalcs_SME_2[[#Headers],[Ausnet]:[Average]],0))</f>
        <v>22.641445418527887</v>
      </c>
      <c r="I35" s="106">
        <f>INDEX(CostStackCalcs_SME_2[[Ausnet]:[Average]],MATCH(I$33,CostStackCalcs_SME_2[[Labels]:[Labels]],0),MATCH($D$31,CostStackCalcs_SME_2[[#Headers],[Ausnet]:[Average]],0))</f>
        <v>272.8661987244945</v>
      </c>
      <c r="J35" s="106">
        <f>INDEX(CostStackCalcs_SME_2[[Ausnet]:[Average]],MATCH(J$33,CostStackCalcs_SME_2[[Labels]:[Labels]],0),MATCH($D$31,CostStackCalcs_SME_2[[#Headers],[Ausnet]:[Average]],0))</f>
        <v>479.05184954876495</v>
      </c>
      <c r="K35" s="106">
        <f>INDEX(CostStackCalcs_SME_2[[Ausnet]:[Average]],MATCH(K$33,CostStackCalcs_SME_2[[Labels]:[Labels]],0),MATCH($D$31,CostStackCalcs_SME_2[[#Headers],[Ausnet]:[Average]],0))</f>
        <v>5350</v>
      </c>
      <c r="M35" s="25">
        <f>IF(OR(ROUNDUP(SUM(D35:J35),0)-K35&lt;1,ROUNDUP(SUM(D35:J35),0)-K35&gt;-1),0,1)</f>
        <v>0</v>
      </c>
      <c r="O35" s="88"/>
    </row>
    <row r="36" spans="1:18" x14ac:dyDescent="0.25">
      <c r="B36"/>
    </row>
    <row r="37" spans="1:18" x14ac:dyDescent="0.25">
      <c r="B37"/>
      <c r="C37" s="83" t="str">
        <f>$D$44</f>
        <v>VDO 2021 - Variation final</v>
      </c>
      <c r="D37" s="120">
        <f>D34/$K34</f>
        <v>0.31206293378971511</v>
      </c>
      <c r="E37" s="120">
        <f t="shared" ref="E37:K38" si="0">E34/$K34</f>
        <v>0.42133060218079488</v>
      </c>
      <c r="F37" s="120">
        <f t="shared" si="0"/>
        <v>3.1966018458147415E-2</v>
      </c>
      <c r="G37" s="120">
        <f t="shared" si="0"/>
        <v>8.8021405986756188E-2</v>
      </c>
      <c r="H37" s="120">
        <f t="shared" si="0"/>
        <v>3.8025277807920807E-3</v>
      </c>
      <c r="I37" s="120">
        <f t="shared" si="0"/>
        <v>5.1773882687050812E-2</v>
      </c>
      <c r="J37" s="120">
        <f t="shared" si="0"/>
        <v>9.0895737088325657E-2</v>
      </c>
      <c r="K37" s="120">
        <f t="shared" si="0"/>
        <v>1</v>
      </c>
    </row>
    <row r="38" spans="1:18" x14ac:dyDescent="0.25">
      <c r="B38"/>
      <c r="C38" s="83" t="str">
        <f>$L$44</f>
        <v>VDO 2022 - Final</v>
      </c>
      <c r="D38" s="120">
        <f>D35/$K35</f>
        <v>0.25140858239694069</v>
      </c>
      <c r="E38" s="120">
        <f t="shared" si="0"/>
        <v>0.45050070018846239</v>
      </c>
      <c r="F38" s="120">
        <f t="shared" si="0"/>
        <v>3.3901985168300279E-2</v>
      </c>
      <c r="G38" s="120">
        <f t="shared" si="0"/>
        <v>0.11931081599661275</v>
      </c>
      <c r="H38" s="120">
        <f t="shared" si="0"/>
        <v>4.2320458726220348E-3</v>
      </c>
      <c r="I38" s="120">
        <f t="shared" si="0"/>
        <v>5.100302779897093E-2</v>
      </c>
      <c r="J38" s="120">
        <f t="shared" si="0"/>
        <v>8.9542401784815873E-2</v>
      </c>
      <c r="K38" s="120">
        <f t="shared" si="0"/>
        <v>1</v>
      </c>
    </row>
    <row r="39" spans="1:18" ht="15.75" x14ac:dyDescent="0.25">
      <c r="B39"/>
      <c r="C39" s="30" t="s">
        <v>652</v>
      </c>
      <c r="D39" s="120">
        <f>(D35-D34)/D34</f>
        <v>-0.24197271403158832</v>
      </c>
      <c r="E39" s="120">
        <f t="shared" ref="E39:J39" si="1">(E35-E34)/E34</f>
        <v>6.0496004877081894E-3</v>
      </c>
      <c r="F39" s="120">
        <f t="shared" si="1"/>
        <v>-2.1080703810327835E-3</v>
      </c>
      <c r="G39" s="120">
        <f t="shared" si="1"/>
        <v>0.27537659049637392</v>
      </c>
      <c r="H39" s="120">
        <f t="shared" si="1"/>
        <v>4.7188580321563679E-2</v>
      </c>
      <c r="I39" s="120">
        <f t="shared" si="1"/>
        <v>-7.3101562322736E-2</v>
      </c>
      <c r="J39" s="120">
        <f t="shared" si="1"/>
        <v>-7.3101562322735986E-2</v>
      </c>
      <c r="K39" s="120">
        <f>(K35-K34)/K34</f>
        <v>-5.9092507914175169E-2</v>
      </c>
      <c r="L39" s="124"/>
    </row>
    <row r="40" spans="1:18" x14ac:dyDescent="0.25">
      <c r="B40"/>
      <c r="K40" s="123"/>
      <c r="L40" s="124"/>
    </row>
    <row r="41" spans="1:18" x14ac:dyDescent="0.25">
      <c r="B41"/>
      <c r="K41" s="123"/>
      <c r="L41" s="124"/>
    </row>
    <row r="42" spans="1:18" ht="16.5" thickBot="1" x14ac:dyDescent="0.3">
      <c r="A42" s="1" t="s">
        <v>30</v>
      </c>
      <c r="B42" s="9">
        <f ca="1">MAX(B$3:B36)+0.1</f>
        <v>18.200000000000003</v>
      </c>
      <c r="C42" s="29" t="str">
        <f>"VDO cost stack calcs - Flat VDO - "&amp;IF(ISNUMBER(SEARCH("Residential",$C$47)),"Residential","Small business")</f>
        <v>VDO cost stack calcs - Flat VDO - Small business</v>
      </c>
      <c r="D42" s="29"/>
      <c r="E42" s="29"/>
      <c r="F42" s="29"/>
      <c r="G42" s="29"/>
      <c r="H42" s="29"/>
      <c r="I42" s="29"/>
      <c r="J42" s="29"/>
      <c r="K42" s="29"/>
      <c r="L42" s="29"/>
      <c r="M42" s="29"/>
      <c r="N42" s="29"/>
      <c r="O42" s="29"/>
      <c r="P42" s="29"/>
      <c r="Q42" s="29"/>
      <c r="R42" s="29"/>
    </row>
    <row r="44" spans="1:18" ht="15.75" x14ac:dyDescent="0.25">
      <c r="C44" s="55" t="s">
        <v>109</v>
      </c>
      <c r="D44" s="42" t="str">
        <f>Calc_Rates!$D$5</f>
        <v>VDO 2021 - Variation final</v>
      </c>
      <c r="F44" s="55" t="s">
        <v>513</v>
      </c>
      <c r="G44" s="83" t="str">
        <f>INDEX(Inputs!$H$10:$Q$10,1,MATCH($D$44,Inputs!$H$8:$Q$8,0))</f>
        <v>VF-CurrentVDO_Input</v>
      </c>
      <c r="H44" s="189" t="str">
        <f>INDEX(Input_TUNet_Dates[[F-CurrentVDO_Input]:[F-NextVDO_Input]],MATCH(F44,Input_TUNet_Dates[Item],0),MATCH(G44,Input_TUNet_Dates[[#Headers],[F-CurrentVDO_Input]:[F-NextVDO_Input]],0))</f>
        <v>-</v>
      </c>
      <c r="K44" s="55" t="s">
        <v>109</v>
      </c>
      <c r="L44" s="42" t="str">
        <f>Calc_Rates!$D$251</f>
        <v>VDO 2022 - Final</v>
      </c>
      <c r="N44" s="55" t="s">
        <v>513</v>
      </c>
      <c r="O44" s="83" t="str">
        <f>INDEX(Inputs!$H$10:$Q$10,1,MATCH($L$44,Inputs!$H$8:$Q$8,0))</f>
        <v>F-NextVDO_Input</v>
      </c>
      <c r="P44" s="189">
        <f>INDEX(Input_TUNet_Dates[[F-CurrentVDO_Input]:[F-NextVDO_Input]],MATCH(N44,Input_TUNet_Dates[Item],0),MATCH(O44,Input_TUNet_Dates[[#Headers],[F-CurrentVDO_Input]:[F-NextVDO_Input]],0))</f>
        <v>44562</v>
      </c>
    </row>
    <row r="45" spans="1:18" ht="15.75" x14ac:dyDescent="0.25">
      <c r="C45" s="30"/>
      <c r="F45" s="55" t="s">
        <v>514</v>
      </c>
      <c r="G45" s="83" t="str">
        <f>INDEX(Inputs!$H$10:$Q$10,1,MATCH($D$44,Inputs!$H$8:$Q$8,0))</f>
        <v>VF-CurrentVDO_Input</v>
      </c>
      <c r="H45" s="189" t="str">
        <f>INDEX(Input_TUNet_Dates[[F-CurrentVDO_Input]:[F-NextVDO_Input]],MATCH(F45,Input_TUNet_Dates[Item],0),MATCH(G45,Input_TUNet_Dates[[#Headers],[F-CurrentVDO_Input]:[F-NextVDO_Input]],0))</f>
        <v>-</v>
      </c>
      <c r="K45" s="30"/>
      <c r="N45" s="55" t="s">
        <v>514</v>
      </c>
      <c r="O45" s="83" t="str">
        <f>INDEX(Inputs!$H$10:$Q$10,1,MATCH($L$44,Inputs!$H$8:$Q$8,0))</f>
        <v>F-NextVDO_Input</v>
      </c>
      <c r="P45" s="189">
        <f>INDEX(Input_TUNet_Dates[[F-CurrentVDO_Input]:[F-NextVDO_Input]],MATCH(N45,Input_TUNet_Dates[Item],0),MATCH(O45,Input_TUNet_Dates[[#Headers],[F-CurrentVDO_Input]:[F-NextVDO_Input]],0))</f>
        <v>44742</v>
      </c>
    </row>
    <row r="46" spans="1:18" ht="15.75" x14ac:dyDescent="0.25">
      <c r="C46" s="43" t="s">
        <v>98</v>
      </c>
      <c r="D46" s="51" t="s">
        <v>343</v>
      </c>
      <c r="F46" s="30"/>
      <c r="K46" s="43" t="s">
        <v>98</v>
      </c>
      <c r="L46" s="51" t="s">
        <v>343</v>
      </c>
      <c r="N46" s="30"/>
    </row>
    <row r="47" spans="1:18" ht="15.75" x14ac:dyDescent="0.25">
      <c r="C47" s="24" t="s">
        <v>235</v>
      </c>
      <c r="D47" s="77">
        <f>INDEX(Input_Usage[[F-CurrentVDO_Input]:[F-NextVDO_Input]],MATCH(CH_CostStack_SME!C47&amp;" - Annual",Input_Usage[Ref],0),MATCH(CH_CostStack_SME!$D$44,Inputs!$I$133:$M$133,0))</f>
        <v>20000</v>
      </c>
      <c r="F47" s="55" t="s">
        <v>574</v>
      </c>
      <c r="H47" s="229" t="str">
        <f>IFERROR(_xlfn.DAYS(H45,H44)+1,"-")</f>
        <v>-</v>
      </c>
      <c r="K47" s="83" t="str">
        <f>$C$47</f>
        <v>Small business - medium</v>
      </c>
      <c r="L47" s="77">
        <f>INDEX(Input_Usage[[F-CurrentVDO_Input]:[F-NextVDO_Input]],MATCH(CH_CostStack_SME!K47&amp;" - Annual",Input_Usage[Ref],0),MATCH(CH_CostStack_SME!$L$44,Inputs!$I$133:$M$133,0))</f>
        <v>20000</v>
      </c>
      <c r="N47" s="55" t="s">
        <v>574</v>
      </c>
      <c r="P47" s="229">
        <f>IFERROR(_xlfn.DAYS(P45,P44)+1,"-")</f>
        <v>181</v>
      </c>
    </row>
    <row r="48" spans="1:18" ht="15.75" x14ac:dyDescent="0.25">
      <c r="C48" s="30"/>
      <c r="K48" s="30"/>
    </row>
    <row r="49" spans="3:20" ht="15.75" x14ac:dyDescent="0.25">
      <c r="C49" s="43" t="s">
        <v>230</v>
      </c>
      <c r="D49" s="77">
        <f>INDEX(Input_Usage[[F-CurrentVDO_Input]:[F-NextVDO_Input]],MATCH(CH_CostStack_SME!$C$47&amp;" - "&amp;CH_CostStack_SME!$C49,Input_Usage[Ref],0),MATCH(CH_CostStack_SME!$D$44,Inputs!$I$133:$M$133,0))</f>
        <v>4080</v>
      </c>
      <c r="F49" s="55" t="s">
        <v>658</v>
      </c>
      <c r="G49" t="s">
        <v>525</v>
      </c>
      <c r="H49" s="83" t="str">
        <f>INDEX(Input_DecisionActual[Decision],MATCH(H50,Input_DecisionActual[Actual],0),1)</f>
        <v>VDO 2021 - Final</v>
      </c>
      <c r="I49" s="77">
        <f>INDEX(Input_TU_Periods[[F-CurrentVDO_Input]:[F-NextVDO_Input]],1,MATCH(H49,Inputs!$F$237:$J$237,0))</f>
        <v>365</v>
      </c>
      <c r="K49" s="43" t="s">
        <v>230</v>
      </c>
      <c r="L49" s="77">
        <f>INDEX(Input_Usage[[F-CurrentVDO_Input]:[F-NextVDO_Input]],MATCH(CH_CostStack_SME!$K$47&amp;" - "&amp;CH_CostStack_SME!$K49,Input_Usage[Ref],0),MATCH(CH_CostStack_SME!$L$44,Inputs!$I$133:$M$133,0))</f>
        <v>4080</v>
      </c>
      <c r="N49" s="55" t="s">
        <v>658</v>
      </c>
      <c r="O49" t="s">
        <v>525</v>
      </c>
      <c r="P49" s="83" t="str">
        <f>INDEX(Input_DecisionActual[Decision],MATCH(P50,Input_DecisionActual[Actual],0),1)</f>
        <v>VDO 2021 - Final</v>
      </c>
      <c r="Q49" s="77">
        <f>INDEX(Input_TU_Periods[[F-CurrentVDO_Input]:[F-NextVDO_Input]],1,MATCH(P49,Inputs!$F$237:$J$237,0))</f>
        <v>365</v>
      </c>
    </row>
    <row r="50" spans="3:20" ht="15.75" x14ac:dyDescent="0.25">
      <c r="C50" s="43" t="s">
        <v>237</v>
      </c>
      <c r="D50" s="77">
        <f>INDEX(Input_Usage[[F-CurrentVDO_Input]:[F-NextVDO_Input]],MATCH(CH_CostStack_SME!$C$47&amp;" - "&amp;CH_CostStack_SME!$C50,Input_Usage[Ref],0),MATCH(CH_CostStack_SME!$D$44,Inputs!$I$133:$M$133,0))</f>
        <v>15920</v>
      </c>
      <c r="F50" s="55" t="s">
        <v>658</v>
      </c>
      <c r="G50" t="s">
        <v>524</v>
      </c>
      <c r="H50" s="83" t="str">
        <f>D44</f>
        <v>VDO 2021 - Variation final</v>
      </c>
      <c r="I50" s="77">
        <f>INDEX(Input_TU_Periods[[F-CurrentVDO_Input]:[F-NextVDO_Input]],1,MATCH(H50,Inputs!$F$237:$J$237,0))</f>
        <v>62</v>
      </c>
      <c r="K50" s="43" t="s">
        <v>237</v>
      </c>
      <c r="L50" s="77">
        <f>INDEX(Input_Usage[[F-CurrentVDO_Input]:[F-NextVDO_Input]],MATCH(CH_CostStack_SME!$K$47&amp;" - "&amp;CH_CostStack_SME!$K50,Input_Usage[Ref],0),MATCH(CH_CostStack_SME!$L$44,Inputs!$I$133:$M$133,0))</f>
        <v>15920</v>
      </c>
      <c r="N50" s="55" t="s">
        <v>658</v>
      </c>
      <c r="O50" t="s">
        <v>524</v>
      </c>
      <c r="P50" s="83" t="str">
        <f>L44</f>
        <v>VDO 2022 - Final</v>
      </c>
      <c r="Q50" s="77">
        <f>INDEX(Input_TU_Periods[[F-CurrentVDO_Input]:[F-NextVDO_Input]],1,MATCH(P50,Inputs!$F$237:$J$237,0))</f>
        <v>181</v>
      </c>
    </row>
    <row r="51" spans="3:20" ht="15.75" x14ac:dyDescent="0.25">
      <c r="C51" s="30"/>
      <c r="F51" s="55" t="s">
        <v>657</v>
      </c>
      <c r="I51" s="241">
        <f>I49/I50</f>
        <v>5.887096774193548</v>
      </c>
      <c r="K51" s="30"/>
      <c r="N51" s="55" t="s">
        <v>657</v>
      </c>
      <c r="Q51" s="241">
        <f>Q49/Q50</f>
        <v>2.0165745856353592</v>
      </c>
    </row>
    <row r="52" spans="3:20" ht="15.75" x14ac:dyDescent="0.25">
      <c r="C52" s="30"/>
      <c r="K52" s="30"/>
    </row>
    <row r="53" spans="3:20" ht="15.75" x14ac:dyDescent="0.25">
      <c r="C53" s="44" t="s">
        <v>344</v>
      </c>
      <c r="D53" s="61" t="s">
        <v>277</v>
      </c>
      <c r="E53" s="61" t="s">
        <v>278</v>
      </c>
      <c r="F53" s="61" t="s">
        <v>279</v>
      </c>
      <c r="G53" s="61" t="s">
        <v>280</v>
      </c>
      <c r="H53" s="61" t="s">
        <v>281</v>
      </c>
      <c r="I53" s="61" t="s">
        <v>383</v>
      </c>
      <c r="K53" s="44" t="s">
        <v>344</v>
      </c>
      <c r="L53" s="61" t="s">
        <v>277</v>
      </c>
      <c r="M53" s="61" t="s">
        <v>278</v>
      </c>
      <c r="N53" s="61" t="s">
        <v>279</v>
      </c>
      <c r="O53" s="61" t="s">
        <v>280</v>
      </c>
      <c r="P53" s="61" t="s">
        <v>281</v>
      </c>
      <c r="Q53" s="61" t="s">
        <v>383</v>
      </c>
    </row>
    <row r="54" spans="3:20" x14ac:dyDescent="0.25">
      <c r="C54" s="24" t="s">
        <v>137</v>
      </c>
      <c r="D54" s="103">
        <f>D$87*($D$47*(1+D$73))</f>
        <v>1763.1806015069999</v>
      </c>
      <c r="E54" s="103">
        <f>E$87*($D$47*(1+E$73))</f>
        <v>1792.6840451783999</v>
      </c>
      <c r="F54" s="103">
        <f>F$87*($D$47*(1+F$73))</f>
        <v>1761.2978912320004</v>
      </c>
      <c r="G54" s="103">
        <f>G$87*($D$47*(1+G$73))</f>
        <v>1722.7280515609996</v>
      </c>
      <c r="H54" s="103">
        <f>H$87*($D$47*(1+H$73))</f>
        <v>1832.0586181632002</v>
      </c>
      <c r="I54" s="104">
        <f>AVERAGE(D54:H54)</f>
        <v>1774.3898415283202</v>
      </c>
      <c r="K54" s="24" t="s">
        <v>137</v>
      </c>
      <c r="L54" s="103">
        <f>L$87*($L$47*(1+L$73))</f>
        <v>1359.894730589351</v>
      </c>
      <c r="M54" s="103">
        <f>M$87*($L$47*(1+M$73))</f>
        <v>1343.4528310000001</v>
      </c>
      <c r="N54" s="103">
        <f>N$87*($L$47*(1+N$73))</f>
        <v>1337.89111351</v>
      </c>
      <c r="O54" s="103">
        <f>O$87*($L$47*(1+O$73))</f>
        <v>1312.1927097688117</v>
      </c>
      <c r="P54" s="103">
        <f>P$87*($L$47*(1+P$73))</f>
        <v>1371.7481942499996</v>
      </c>
      <c r="Q54" s="104">
        <f>AVERAGE(L54:P54)</f>
        <v>1345.0359158236326</v>
      </c>
    </row>
    <row r="55" spans="3:20" x14ac:dyDescent="0.25">
      <c r="C55" s="24" t="s">
        <v>130</v>
      </c>
      <c r="D55" s="103">
        <f>D$78+(D$92*$D$49)+(D$93*$D$50)+(D$94*$D$47)</f>
        <v>3716.8435199999994</v>
      </c>
      <c r="E55" s="103">
        <f>E$78+(E$92*$D$49)+(E$93*$D$50)+(E$94*$D$47)</f>
        <v>1861.4160000000002</v>
      </c>
      <c r="F55" s="103">
        <f>F$78+(F$92*$D$49)+(F$93*$D$50)+(F$94*$D$47)</f>
        <v>2383.2560000000003</v>
      </c>
      <c r="G55" s="103">
        <f>G$78+(G$92*$D$49)+(G$93*$D$50)+(G$94*$D$47)</f>
        <v>2095.9814999999999</v>
      </c>
      <c r="H55" s="103">
        <f>H$78+(H$92*$D$49)+(H$93*$D$50)+(H$94*$D$47)</f>
        <v>1920.9319999999998</v>
      </c>
      <c r="I55" s="104">
        <f t="shared" ref="I55:I61" si="2">AVERAGE(D55:H55)</f>
        <v>2395.6858039999997</v>
      </c>
      <c r="K55" s="24" t="s">
        <v>130</v>
      </c>
      <c r="L55" s="103">
        <f>L$78+(L$92*$L$49)+(L$93*$L$50)+(L$94*$L$47)</f>
        <v>3716.8435199999994</v>
      </c>
      <c r="M55" s="103">
        <f>M$78+(M$92*$L$49)+(M$93*$L$50)+(M$94*$L$47)</f>
        <v>1861.4160000000002</v>
      </c>
      <c r="N55" s="103">
        <f>N$78+(N$92*$L$49)+(N$93*$L$50)+(N$94*$L$47)</f>
        <v>2383.2560000000003</v>
      </c>
      <c r="O55" s="103">
        <f>O$78+(O$92*$L$49)+(O$93*$L$50)+(O$94*$L$47)</f>
        <v>2095.9814999999999</v>
      </c>
      <c r="P55" s="103">
        <f>P$78+(P$92*$L$49)+(P$93*$L$50)+(P$94*$L$47)</f>
        <v>1920.9319999999998</v>
      </c>
      <c r="Q55" s="104">
        <f t="shared" ref="Q55:Q61" si="3">AVERAGE(L55:P55)</f>
        <v>2395.6858039999997</v>
      </c>
      <c r="T55" s="120"/>
    </row>
    <row r="56" spans="3:20" x14ac:dyDescent="0.25">
      <c r="C56" s="24" t="s">
        <v>115</v>
      </c>
      <c r="D56" s="103">
        <f>D$76</f>
        <v>181.75878095302619</v>
      </c>
      <c r="E56" s="103">
        <f>E$76</f>
        <v>181.75878095302619</v>
      </c>
      <c r="F56" s="103">
        <f>F$76</f>
        <v>181.75878095302619</v>
      </c>
      <c r="G56" s="103">
        <f>G$76</f>
        <v>181.75878095302619</v>
      </c>
      <c r="H56" s="103">
        <f>H$76</f>
        <v>181.75878095302619</v>
      </c>
      <c r="I56" s="104">
        <f t="shared" si="2"/>
        <v>181.75878095302619</v>
      </c>
      <c r="K56" s="24" t="s">
        <v>115</v>
      </c>
      <c r="L56" s="103">
        <f>L$76</f>
        <v>181.37562065040649</v>
      </c>
      <c r="M56" s="103">
        <f>M$76</f>
        <v>181.37562065040649</v>
      </c>
      <c r="N56" s="103">
        <f>N$76</f>
        <v>181.37562065040649</v>
      </c>
      <c r="O56" s="103">
        <f>O$76</f>
        <v>181.37562065040649</v>
      </c>
      <c r="P56" s="103">
        <f>P$76</f>
        <v>181.37562065040649</v>
      </c>
      <c r="Q56" s="104">
        <f t="shared" si="3"/>
        <v>181.37562065040649</v>
      </c>
    </row>
    <row r="57" spans="3:20" x14ac:dyDescent="0.25">
      <c r="C57" s="24" t="s">
        <v>611</v>
      </c>
      <c r="D57" s="103">
        <f>(D$85*($D$47*(1+D$73)))</f>
        <v>495.06139575749569</v>
      </c>
      <c r="E57" s="103">
        <f>(E$85*($D$47*(1+E$73)))</f>
        <v>486.50431133798043</v>
      </c>
      <c r="F57" s="103">
        <f>(F$85*($D$47*(1+F$73)))</f>
        <v>481.42214817171907</v>
      </c>
      <c r="G57" s="103">
        <f>(G$85*($D$47*(1+G$73)))</f>
        <v>496.93559987544171</v>
      </c>
      <c r="H57" s="103">
        <f>(H$85*($D$47*(1+H$73)))</f>
        <v>488.2788761154037</v>
      </c>
      <c r="I57" s="104">
        <f t="shared" si="2"/>
        <v>489.64046625160819</v>
      </c>
      <c r="K57" s="24" t="s">
        <v>611</v>
      </c>
      <c r="L57" s="103">
        <f>(L$85*($L$47*(1+L$73)))</f>
        <v>571.03176566037928</v>
      </c>
      <c r="M57" s="103">
        <f>(M$85*($L$47*(1+M$73)))</f>
        <v>554.27237193029714</v>
      </c>
      <c r="N57" s="103">
        <f>(N$85*($L$47*(1+N$73)))</f>
        <v>551.37572497505175</v>
      </c>
      <c r="O57" s="103">
        <f>(O$85*($L$47*(1+O$73)))</f>
        <v>566.83929163924961</v>
      </c>
      <c r="P57" s="103">
        <f>(P$85*($L$47*(1+P$73)))</f>
        <v>554.35929242285465</v>
      </c>
      <c r="Q57" s="104">
        <f t="shared" si="3"/>
        <v>559.57568932556649</v>
      </c>
    </row>
    <row r="58" spans="3:20" x14ac:dyDescent="0.25">
      <c r="C58" s="128" t="s">
        <v>607</v>
      </c>
      <c r="D58" s="210">
        <f>D82</f>
        <v>10.849248189087444</v>
      </c>
      <c r="E58" s="210">
        <f>E82</f>
        <v>10.849248189087444</v>
      </c>
      <c r="F58" s="210">
        <f>F82</f>
        <v>10.849248189087444</v>
      </c>
      <c r="G58" s="210">
        <f>G82</f>
        <v>10.849248189087444</v>
      </c>
      <c r="H58" s="210">
        <f>H82</f>
        <v>10.849248189087444</v>
      </c>
      <c r="I58" s="211">
        <f>AVERAGE(D58:H58)</f>
        <v>10.849248189087444</v>
      </c>
      <c r="K58" s="128" t="s">
        <v>607</v>
      </c>
      <c r="L58" s="210">
        <f>L82</f>
        <v>13.337821545021233</v>
      </c>
      <c r="M58" s="210">
        <f t="shared" ref="M58:P58" si="4">M82</f>
        <v>13.337821545021233</v>
      </c>
      <c r="N58" s="210">
        <f t="shared" si="4"/>
        <v>13.337821545021233</v>
      </c>
      <c r="O58" s="210">
        <f t="shared" si="4"/>
        <v>13.337821545021233</v>
      </c>
      <c r="P58" s="210">
        <f t="shared" si="4"/>
        <v>13.337821545021233</v>
      </c>
      <c r="Q58" s="211">
        <f>AVERAGE(L58:P58)</f>
        <v>13.337821545021233</v>
      </c>
    </row>
    <row r="59" spans="3:20" x14ac:dyDescent="0.25">
      <c r="C59" s="24" t="s">
        <v>282</v>
      </c>
      <c r="D59" s="103">
        <f>D$80+(D$89*($D$47*(1+D$73)))</f>
        <v>21.79271614751287</v>
      </c>
      <c r="E59" s="103">
        <f>E$80+(E$89*($D$47*(1+E$73)))</f>
        <v>21.521930570612515</v>
      </c>
      <c r="F59" s="103">
        <f>F$80+(F$89*($D$47*(1+F$73)))</f>
        <v>21.361107512499487</v>
      </c>
      <c r="G59" s="103">
        <f>G$80+(G$89*($D$47*(1+G$73)))</f>
        <v>21.852024601003126</v>
      </c>
      <c r="H59" s="103">
        <f>H$80+(H$89*($D$47*(1+H$73)))</f>
        <v>21.578085976290847</v>
      </c>
      <c r="I59" s="104">
        <f t="shared" si="2"/>
        <v>21.62117296158377</v>
      </c>
      <c r="K59" s="24" t="s">
        <v>282</v>
      </c>
      <c r="L59" s="103">
        <f>L$80+(L$89*($L$47*(1+L$73)))</f>
        <v>23.020634125783381</v>
      </c>
      <c r="M59" s="103">
        <f>M$80+(M$89*($L$47*(1+M$73)))</f>
        <v>22.465909047391211</v>
      </c>
      <c r="N59" s="103">
        <f>N$80+(N$89*($L$47*(1+N$73)))</f>
        <v>22.370031909160446</v>
      </c>
      <c r="O59" s="103">
        <f>O$80+(O$89*($L$47*(1+O$73)))</f>
        <v>22.881865950902817</v>
      </c>
      <c r="P59" s="103">
        <f>P$80+(P$89*($L$47*(1+P$73)))</f>
        <v>22.468786059401573</v>
      </c>
      <c r="Q59" s="104">
        <f t="shared" si="3"/>
        <v>22.641445418527887</v>
      </c>
    </row>
    <row r="60" spans="3:20" x14ac:dyDescent="0.25">
      <c r="C60" s="24" t="s">
        <v>211</v>
      </c>
      <c r="D60" s="103">
        <f>SUM(D54:D59)*D$71</f>
        <v>373.84497025826892</v>
      </c>
      <c r="E60" s="103">
        <f>SUM(E54:E59)*E$71</f>
        <v>263.02595270023801</v>
      </c>
      <c r="F60" s="103">
        <f>SUM(F54:F59)*F$71</f>
        <v>292.33268863392323</v>
      </c>
      <c r="G60" s="103">
        <f>SUM(G54:G59)*G$71</f>
        <v>273.61835439284528</v>
      </c>
      <c r="H60" s="103">
        <f>SUM(H54:H59)*H$71</f>
        <v>269.10951880757926</v>
      </c>
      <c r="I60" s="104">
        <f t="shared" si="2"/>
        <v>294.38629695857094</v>
      </c>
      <c r="K60" s="24" t="s">
        <v>211</v>
      </c>
      <c r="L60" s="103">
        <f>SUM(L54:L59)*L$71</f>
        <v>354.27644719128483</v>
      </c>
      <c r="M60" s="103">
        <f>SUM(M54:M59)*M$71</f>
        <v>240.16976147205619</v>
      </c>
      <c r="N60" s="103">
        <f>SUM(N54:N59)*N$71</f>
        <v>271.17222128041425</v>
      </c>
      <c r="O60" s="103">
        <f>SUM(O54:O59)*O$71</f>
        <v>253.23357209708522</v>
      </c>
      <c r="P60" s="103">
        <f>SUM(P54:P59)*P$71</f>
        <v>245.4789915816321</v>
      </c>
      <c r="Q60" s="104">
        <f t="shared" si="3"/>
        <v>272.8661987244945</v>
      </c>
    </row>
    <row r="61" spans="3:20" x14ac:dyDescent="0.25">
      <c r="C61" s="24" t="s">
        <v>286</v>
      </c>
      <c r="D61" s="103">
        <f>SUM(D54:D60)*GST</f>
        <v>656.33312328123907</v>
      </c>
      <c r="E61" s="103">
        <f>SUM(E54:E60)*GST</f>
        <v>461.77602689293445</v>
      </c>
      <c r="F61" s="103">
        <f>SUM(F54:F60)*GST</f>
        <v>513.22778646922541</v>
      </c>
      <c r="G61" s="103">
        <f>SUM(G54:G60)*GST</f>
        <v>480.37235595724036</v>
      </c>
      <c r="H61" s="103">
        <f>SUM(H54:H60)*GST</f>
        <v>472.45651282045878</v>
      </c>
      <c r="I61" s="104">
        <f t="shared" si="2"/>
        <v>516.83316108421968</v>
      </c>
      <c r="K61" s="24" t="s">
        <v>286</v>
      </c>
      <c r="L61" s="103">
        <f>SUM(L54:L60)*GST</f>
        <v>621.97805397622267</v>
      </c>
      <c r="M61" s="103">
        <f>SUM(M54:M60)*GST</f>
        <v>421.6490315645172</v>
      </c>
      <c r="N61" s="103">
        <f>SUM(N54:N60)*GST</f>
        <v>476.07785338700546</v>
      </c>
      <c r="O61" s="103">
        <f>SUM(O54:O60)*GST</f>
        <v>444.58423816514761</v>
      </c>
      <c r="P61" s="103">
        <f>SUM(P54:P60)*GST</f>
        <v>430.97007065093158</v>
      </c>
      <c r="Q61" s="104">
        <f t="shared" si="3"/>
        <v>479.05184954876495</v>
      </c>
    </row>
    <row r="62" spans="3:20" x14ac:dyDescent="0.25">
      <c r="C62" s="24" t="s">
        <v>552</v>
      </c>
      <c r="D62" s="135" t="str">
        <f>IFERROR((D$97*$H$47),"-")</f>
        <v>-</v>
      </c>
      <c r="E62" s="135" t="str">
        <f t="shared" ref="E62:H62" si="5">IFERROR((E$97*$H$47),"-")</f>
        <v>-</v>
      </c>
      <c r="F62" s="135" t="str">
        <f t="shared" si="5"/>
        <v>-</v>
      </c>
      <c r="G62" s="135" t="str">
        <f t="shared" si="5"/>
        <v>-</v>
      </c>
      <c r="H62" s="135" t="str">
        <f t="shared" si="5"/>
        <v>-</v>
      </c>
      <c r="I62" s="104" t="str">
        <f>IFERROR(AVERAGE(D62:H62),"-")</f>
        <v>-</v>
      </c>
      <c r="K62" s="24" t="s">
        <v>552</v>
      </c>
      <c r="L62" s="135">
        <f>IFERROR((L$97*$P$47),"-")</f>
        <v>25.621321611765929</v>
      </c>
      <c r="M62" s="135">
        <f t="shared" ref="M62:P62" si="6">IFERROR((M$97*$P$47),"-")</f>
        <v>9.2305963444484362</v>
      </c>
      <c r="N62" s="135">
        <f t="shared" si="6"/>
        <v>26.520328950645411</v>
      </c>
      <c r="O62" s="135">
        <f t="shared" si="6"/>
        <v>11.825496125052261</v>
      </c>
      <c r="P62" s="135">
        <f t="shared" si="6"/>
        <v>-0.7330329905416626</v>
      </c>
      <c r="Q62" s="104">
        <f>IFERROR(AVERAGE(L62:P62),"-")</f>
        <v>14.492942008274076</v>
      </c>
    </row>
    <row r="63" spans="3:20" x14ac:dyDescent="0.25">
      <c r="C63" s="24" t="s">
        <v>553</v>
      </c>
      <c r="D63" s="135">
        <f>(D$100*($D$49/$I$51))+(D$101*($D$50/$I$51))+(D$102*($D$47/$I$51))</f>
        <v>0</v>
      </c>
      <c r="E63" s="135">
        <f t="shared" ref="E63:H63" si="7">(E$100*($D$49/$I$51))+(E$101*($D$50/$I$51))+(E$102*($D$47/$I$51))</f>
        <v>0</v>
      </c>
      <c r="F63" s="135">
        <f t="shared" si="7"/>
        <v>0</v>
      </c>
      <c r="G63" s="135">
        <f t="shared" si="7"/>
        <v>0</v>
      </c>
      <c r="H63" s="135">
        <f t="shared" si="7"/>
        <v>0</v>
      </c>
      <c r="I63" s="104">
        <f t="shared" ref="I63" si="8">AVERAGE(D63:H63)</f>
        <v>0</v>
      </c>
      <c r="K63" s="24" t="s">
        <v>553</v>
      </c>
      <c r="L63" s="135">
        <f>(L$100*($L$49/$Q$51))+(L$101*($L$50/$Q$51))+(L$102*($L$47/$Q$51))</f>
        <v>66.123406982407786</v>
      </c>
      <c r="M63" s="135">
        <f t="shared" ref="M63:P63" si="9">(M$100*($L$49/$Q$51))+(M$101*($L$50/$Q$51))+(M$102*($L$47/$Q$51))</f>
        <v>64.980470812261331</v>
      </c>
      <c r="N63" s="135">
        <f t="shared" si="9"/>
        <v>64.301666231105273</v>
      </c>
      <c r="O63" s="135">
        <f t="shared" si="9"/>
        <v>66.373737068173043</v>
      </c>
      <c r="P63" s="135">
        <f t="shared" si="9"/>
        <v>65.217492462504651</v>
      </c>
      <c r="Q63" s="104">
        <f t="shared" ref="Q63" si="10">AVERAGE(L63:P63)</f>
        <v>65.399354711290428</v>
      </c>
      <c r="T63" s="124"/>
    </row>
    <row r="64" spans="3:20" x14ac:dyDescent="0.25">
      <c r="C64" s="128"/>
      <c r="D64" s="210"/>
      <c r="E64" s="210"/>
      <c r="F64" s="210"/>
      <c r="G64" s="210"/>
      <c r="H64" s="210"/>
      <c r="I64" s="211"/>
      <c r="K64" s="128"/>
      <c r="L64" s="210"/>
      <c r="M64" s="210"/>
      <c r="N64" s="210"/>
      <c r="O64" s="210"/>
      <c r="P64" s="210"/>
      <c r="Q64" s="211"/>
      <c r="S64" s="109"/>
    </row>
    <row r="65" spans="3:24" x14ac:dyDescent="0.25">
      <c r="C65" s="45" t="s">
        <v>649</v>
      </c>
      <c r="D65" s="230">
        <f>ROUNDUP(SUM(D54:D63),0)</f>
        <v>7220</v>
      </c>
      <c r="E65" s="230">
        <f t="shared" ref="E65:H65" si="11">ROUNDUP(SUM(E54:E63),0)</f>
        <v>5080</v>
      </c>
      <c r="F65" s="230">
        <f t="shared" si="11"/>
        <v>5646</v>
      </c>
      <c r="G65" s="230">
        <f t="shared" si="11"/>
        <v>5285</v>
      </c>
      <c r="H65" s="230">
        <f t="shared" si="11"/>
        <v>5198</v>
      </c>
      <c r="I65" s="104">
        <f>AVERAGE(D65:H65)</f>
        <v>5685.8</v>
      </c>
      <c r="K65" s="45" t="s">
        <v>649</v>
      </c>
      <c r="L65" s="230">
        <f>ROUNDUP(SUM(L54:L63),0)</f>
        <v>6934</v>
      </c>
      <c r="M65" s="230">
        <f t="shared" ref="M65" si="12">ROUNDUP(SUM(M54:M63),0)</f>
        <v>4713</v>
      </c>
      <c r="N65" s="230">
        <f t="shared" ref="N65" si="13">ROUNDUP(SUM(N54:N63),0)</f>
        <v>5328</v>
      </c>
      <c r="O65" s="230">
        <f t="shared" ref="O65" si="14">ROUNDUP(SUM(O54:O63),0)</f>
        <v>4969</v>
      </c>
      <c r="P65" s="230">
        <f t="shared" ref="P65" si="15">ROUNDUP(SUM(P54:P63),0)</f>
        <v>4806</v>
      </c>
      <c r="Q65" s="104">
        <f>AVERAGE(L65:P65)</f>
        <v>5350</v>
      </c>
    </row>
    <row r="66" spans="3:24" x14ac:dyDescent="0.25">
      <c r="C66" s="128"/>
      <c r="D66" s="210"/>
      <c r="E66" s="210"/>
      <c r="F66" s="210"/>
      <c r="G66" s="210"/>
      <c r="H66" s="210"/>
      <c r="I66" s="211"/>
      <c r="K66" s="128"/>
      <c r="L66" s="210"/>
      <c r="M66" s="210"/>
      <c r="N66" s="210"/>
      <c r="O66" s="210"/>
      <c r="P66" s="210"/>
      <c r="Q66" s="211"/>
    </row>
    <row r="67" spans="3:24" x14ac:dyDescent="0.25">
      <c r="C67" s="128" t="s">
        <v>384</v>
      </c>
      <c r="D67" s="210">
        <f>ROUNDUP(
(INDEX(OP_Rates_SME_1[[Ausnet]:[United Energy]],MATCH("Anytime - supply",OP_Rates_SME_1[[Rate name]:[Rate name]],0),MATCH(CostStackCalcs_SME_1[[#Headers],[Ausnet]],OP_Rates_SME_1[[#Headers],[Ausnet]:[United Energy]],0))*DiY)+
IFERROR((INDEX(OP_RatesTU_SME_1[[Ausnet]:[United Energy]],MATCH("Anytime",OP_RatesTU_SME_1[[Rate name]:[Rate name]],0),MATCH(CostStackCalcs_SME_1[[#Headers],[Ausnet]],OP_RatesTU_SME_1[[#Headers],[Ausnet]:[United Energy]],0))*$H$47),0)
+
(IFERROR((INDEX(OP_Rates_SME_1[[Ausnet]:[United Energy]],MATCH("Block 1",OP_Rates_SME_1[[Rate name]:[Rate name]],0),MATCH(CostStackCalcs_SME_1[[#Headers],[Ausnet]],OP_Rates_SME_1[[#Headers],[Ausnet]:[United Energy]],0))*$D$49),0)+
IFERROR((INDEX(OP_Rates_SME_1[[Ausnet]:[United Energy]],MATCH("Balance",OP_Rates_SME_1[[Rate name]:[Rate name]],0),MATCH(CostStackCalcs_SME_1[[#Headers],[Ausnet]],OP_Rates_SME_1[[#Headers],[Ausnet]:[United Energy]],0))*$D$50),0)+
IFERROR((INDEX(OP_Rates_SME_1[[Ausnet]:[United Energy]],MATCH("Single rate",OP_Rates_SME_1[[Rate name]:[Rate name]],0),MATCH(CostStackCalcs_SME_1[[#Headers],[Ausnet]],OP_Rates_SME_1[[#Headers],[Ausnet]:[United Energy]],0))*$D$47),0))
+
(IFERROR((INDEX(OP_RatesTU_SME_1[[Ausnet]:[United Energy]],MATCH("Block 1",OP_RatesTU_SME_1[[Rate name]:[Rate name]],0),MATCH(CostStackCalcs_SME_1[[#Headers],[Ausnet]],OP_RatesTU_SME_1[[#Headers],[Ausnet]:[United Energy]],0))*($D$49/$I$51)),0)+
IFERROR((INDEX(OP_RatesTU_SME_1[[Ausnet]:[United Energy]],MATCH("Balance",OP_RatesTU_SME_1[[Rate name]:[Rate name]],0),MATCH(CostStackCalcs_SME_1[[#Headers],[Ausnet]],OP_RatesTU_SME_1[[#Headers],[Ausnet]:[United Energy]],0))*($D$50/$I$51)),0)+
IFERROR((INDEX(OP_RatesTU_SME_1[[Ausnet]:[United Energy]],MATCH("Single rate",OP_RatesTU_SME_1[[Rate name]:[Rate name]],0),MATCH(CostStackCalcs_SME_1[[#Headers],[Ausnet]],OP_RatesTU_SME_1[[#Headers],[Ausnet]:[United Energy]],0))*($D$47/$I$51)),0)),0)</f>
        <v>7220</v>
      </c>
      <c r="E67" s="210">
        <f>ROUNDUP(
(INDEX(OP_Rates_SME_1[[Ausnet]:[United Energy]],MATCH("Anytime - supply",OP_Rates_SME_1[[Rate name]:[Rate name]],0),MATCH(CostStackCalcs_SME_1[[#Headers],[Citipower]],OP_Rates_SME_1[[#Headers],[Ausnet]:[United Energy]],0))*DiY)+
IFERROR((INDEX(OP_RatesTU_SME_1[[Ausnet]:[United Energy]],MATCH("Anytime",OP_RatesTU_SME_1[[Rate name]:[Rate name]],0),MATCH(CostStackCalcs_SME_1[[#Headers],[Citipower]],OP_RatesTU_SME_1[[#Headers],[Ausnet]:[United Energy]],0))*$H$47),0)
+
(IFERROR((INDEX(OP_Rates_SME_1[[Ausnet]:[United Energy]],MATCH("Block 1",OP_Rates_SME_1[[Rate name]:[Rate name]],0),MATCH(CostStackCalcs_SME_1[[#Headers],[Citipower]],OP_Rates_SME_1[[#Headers],[Ausnet]:[United Energy]],0))*$D$49),0)+
IFERROR((INDEX(OP_Rates_SME_1[[Ausnet]:[United Energy]],MATCH("Balance",OP_Rates_SME_1[[Rate name]:[Rate name]],0),MATCH(CostStackCalcs_SME_1[[#Headers],[Citipower]],OP_Rates_SME_1[[#Headers],[Ausnet]:[United Energy]],0))*$D$50),0)+
IFERROR((INDEX(OP_Rates_SME_1[[Ausnet]:[United Energy]],MATCH("Single rate",OP_Rates_SME_1[[Rate name]:[Rate name]],0),MATCH(CostStackCalcs_SME_1[[#Headers],[Citipower]],OP_Rates_SME_1[[#Headers],[Ausnet]:[United Energy]],0))*$D$47),0))
+
(IFERROR((INDEX(OP_RatesTU_SME_1[[Ausnet]:[United Energy]],MATCH("Block 1",OP_RatesTU_SME_1[[Rate name]:[Rate name]],0),MATCH(CostStackCalcs_SME_1[[#Headers],[Citipower]],OP_RatesTU_SME_1[[#Headers],[Ausnet]:[United Energy]],0))*($D$49/$I$51)),0)+
IFERROR((INDEX(OP_RatesTU_SME_1[[Ausnet]:[United Energy]],MATCH("Balance",OP_RatesTU_SME_1[[Rate name]:[Rate name]],0),MATCH(CostStackCalcs_SME_1[[#Headers],[Citipower]],OP_RatesTU_SME_1[[#Headers],[Ausnet]:[United Energy]],0))*($D$50/$I$51)),0)+
IFERROR((INDEX(OP_RatesTU_SME_1[[Ausnet]:[United Energy]],MATCH("Single rate",OP_RatesTU_SME_1[[Rate name]:[Rate name]],0),MATCH(CostStackCalcs_SME_1[[#Headers],[Citipower]],OP_RatesTU_SME_1[[#Headers],[Ausnet]:[United Energy]],0))*($D$47/$I$51)),0)),0)</f>
        <v>5080</v>
      </c>
      <c r="F67" s="210">
        <f>ROUNDUP(
(INDEX(OP_Rates_SME_1[[Ausnet]:[United Energy]],MATCH("Anytime - supply",OP_Rates_SME_1[[Rate name]:[Rate name]],0),MATCH(CostStackCalcs_SME_1[[#Headers],[Jemena]],OP_Rates_SME_1[[#Headers],[Ausnet]:[United Energy]],0))*DiY)+
IFERROR((INDEX(OP_RatesTU_SME_1[[Ausnet]:[United Energy]],MATCH("Anytime",OP_RatesTU_SME_1[[Rate name]:[Rate name]],0),MATCH(CostStackCalcs_SME_1[[#Headers],[Jemena]],OP_RatesTU_SME_1[[#Headers],[Ausnet]:[United Energy]],0))*$H$47),0)
+
(IFERROR((INDEX(OP_Rates_SME_1[[Ausnet]:[United Energy]],MATCH("Block 1",OP_Rates_SME_1[[Rate name]:[Rate name]],0),MATCH(CostStackCalcs_SME_1[[#Headers],[Jemena]],OP_Rates_SME_1[[#Headers],[Ausnet]:[United Energy]],0))*$D$49),0)+
IFERROR((INDEX(OP_Rates_SME_1[[Ausnet]:[United Energy]],MATCH("Balance",OP_Rates_SME_1[[Rate name]:[Rate name]],0),MATCH(CostStackCalcs_SME_1[[#Headers],[Jemena]],OP_Rates_SME_1[[#Headers],[Ausnet]:[United Energy]],0))*$D$50),0)+
IFERROR((INDEX(OP_Rates_SME_1[[Ausnet]:[United Energy]],MATCH("Single rate",OP_Rates_SME_1[[Rate name]:[Rate name]],0),MATCH(CostStackCalcs_SME_1[[#Headers],[Jemena]],OP_Rates_SME_1[[#Headers],[Ausnet]:[United Energy]],0))*$D$47),0))
+
(IFERROR((INDEX(OP_RatesTU_SME_1[[Ausnet]:[United Energy]],MATCH("Block 1",OP_RatesTU_SME_1[[Rate name]:[Rate name]],0),MATCH(CostStackCalcs_SME_1[[#Headers],[Jemena]],OP_RatesTU_SME_1[[#Headers],[Ausnet]:[United Energy]],0))*($D$49/$I$51)),0)+
IFERROR((INDEX(OP_RatesTU_SME_1[[Ausnet]:[United Energy]],MATCH("Balance",OP_RatesTU_SME_1[[Rate name]:[Rate name]],0),MATCH(CostStackCalcs_SME_1[[#Headers],[Jemena]],OP_RatesTU_SME_1[[#Headers],[Ausnet]:[United Energy]],0))*($D$50/$I$51)),0)+
IFERROR((INDEX(OP_RatesTU_SME_1[[Ausnet]:[United Energy]],MATCH("Single rate",OP_RatesTU_SME_1[[Rate name]:[Rate name]],0),MATCH(CostStackCalcs_SME_1[[#Headers],[Jemena]],OP_RatesTU_SME_1[[#Headers],[Ausnet]:[United Energy]],0))*($D$47/$I$51)),0)),0)</f>
        <v>5646</v>
      </c>
      <c r="G67" s="210">
        <f>ROUNDUP(
(INDEX(OP_Rates_SME_1[[Ausnet]:[United Energy]],MATCH("Anytime - supply",OP_Rates_SME_1[[Rate name]:[Rate name]],0),MATCH(CostStackCalcs_SME_1[[#Headers],[Powercor]],OP_Rates_SME_1[[#Headers],[Ausnet]:[United Energy]],0))*DiY)+
IFERROR((INDEX(OP_RatesTU_SME_1[[Ausnet]:[United Energy]],MATCH("Anytime",OP_RatesTU_SME_1[[Rate name]:[Rate name]],0),MATCH(CostStackCalcs_SME_1[[#Headers],[Powercor]],OP_RatesTU_SME_1[[#Headers],[Ausnet]:[United Energy]],0))*$H$47),0)
+
(IFERROR((INDEX(OP_Rates_SME_1[[Ausnet]:[United Energy]],MATCH("Block 1",OP_Rates_SME_1[[Rate name]:[Rate name]],0),MATCH(CostStackCalcs_SME_1[[#Headers],[Powercor]],OP_Rates_SME_1[[#Headers],[Ausnet]:[United Energy]],0))*$D$49),0)+
IFERROR((INDEX(OP_Rates_SME_1[[Ausnet]:[United Energy]],MATCH("Balance",OP_Rates_SME_1[[Rate name]:[Rate name]],0),MATCH(CostStackCalcs_SME_1[[#Headers],[Powercor]],OP_Rates_SME_1[[#Headers],[Ausnet]:[United Energy]],0))*$D$50),0)+
IFERROR((INDEX(OP_Rates_SME_1[[Ausnet]:[United Energy]],MATCH("Single rate",OP_Rates_SME_1[[Rate name]:[Rate name]],0),MATCH(CostStackCalcs_SME_1[[#Headers],[Powercor]],OP_Rates_SME_1[[#Headers],[Ausnet]:[United Energy]],0))*$D$47),0))
+
(IFERROR((INDEX(OP_RatesTU_SME_1[[Ausnet]:[United Energy]],MATCH("Block 1",OP_RatesTU_SME_1[[Rate name]:[Rate name]],0),MATCH(CostStackCalcs_SME_1[[#Headers],[Powercor]],OP_RatesTU_SME_1[[#Headers],[Ausnet]:[United Energy]],0))*($D$49/$I$51)),0)+
IFERROR((INDEX(OP_RatesTU_SME_1[[Ausnet]:[United Energy]],MATCH("Balance",OP_RatesTU_SME_1[[Rate name]:[Rate name]],0),MATCH(CostStackCalcs_SME_1[[#Headers],[Powercor]],OP_RatesTU_SME_1[[#Headers],[Ausnet]:[United Energy]],0))*($D$50/$I$51)),0)+
IFERROR((INDEX(OP_RatesTU_SME_1[[Ausnet]:[United Energy]],MATCH("Single rate",OP_RatesTU_SME_1[[Rate name]:[Rate name]],0),MATCH(CostStackCalcs_SME_1[[#Headers],[Powercor]],OP_RatesTU_SME_1[[#Headers],[Ausnet]:[United Energy]],0))*($D$47/$I$51)),0)),0)</f>
        <v>5285</v>
      </c>
      <c r="H67" s="210">
        <f>ROUNDUP(
(INDEX(OP_Rates_SME_1[[Ausnet]:[United Energy]],MATCH("Anytime - supply",OP_Rates_SME_1[[Rate name]:[Rate name]],0),MATCH(CostStackCalcs_SME_1[[#Headers],[United Energy]],OP_Rates_SME_1[[#Headers],[Ausnet]:[United Energy]],0))*DiY)+
IFERROR((INDEX(OP_RatesTU_SME_1[[Ausnet]:[United Energy]],MATCH("Anytime",OP_RatesTU_SME_1[[Rate name]:[Rate name]],0),MATCH(CostStackCalcs_SME_1[[#Headers],[United Energy]],OP_RatesTU_SME_1[[#Headers],[Ausnet]:[United Energy]],0))*$H$47),0)
+
(IFERROR((INDEX(OP_Rates_SME_1[[Ausnet]:[United Energy]],MATCH("Block 1",OP_Rates_SME_1[[Rate name]:[Rate name]],0),MATCH(CostStackCalcs_SME_1[[#Headers],[United Energy]],OP_Rates_SME_1[[#Headers],[Ausnet]:[United Energy]],0))*$D$49),0)+
IFERROR((INDEX(OP_Rates_SME_1[[Ausnet]:[United Energy]],MATCH("Balance",OP_Rates_SME_1[[Rate name]:[Rate name]],0),MATCH(CostStackCalcs_SME_1[[#Headers],[United Energy]],OP_Rates_SME_1[[#Headers],[Ausnet]:[United Energy]],0))*$D$50),0)+
IFERROR((INDEX(OP_Rates_SME_1[[Ausnet]:[United Energy]],MATCH("Single rate",OP_Rates_SME_1[[Rate name]:[Rate name]],0),MATCH(CostStackCalcs_SME_1[[#Headers],[United Energy]],OP_Rates_SME_1[[#Headers],[Ausnet]:[United Energy]],0))*$D$47),0))
+
(IFERROR((INDEX(OP_RatesTU_SME_1[[Ausnet]:[United Energy]],MATCH("Block 1",OP_RatesTU_SME_1[[Rate name]:[Rate name]],0),MATCH(CostStackCalcs_SME_1[[#Headers],[United Energy]],OP_RatesTU_SME_1[[#Headers],[Ausnet]:[United Energy]],0))*($D$49/$I$51)),0)+
IFERROR((INDEX(OP_RatesTU_SME_1[[Ausnet]:[United Energy]],MATCH("Balance",OP_RatesTU_SME_1[[Rate name]:[Rate name]],0),MATCH(CostStackCalcs_SME_1[[#Headers],[United Energy]],OP_RatesTU_SME_1[[#Headers],[Ausnet]:[United Energy]],0))*($D$50/$I$51)),0)+
IFERROR((INDEX(OP_RatesTU_SME_1[[Ausnet]:[United Energy]],MATCH("Single rate",OP_RatesTU_SME_1[[Rate name]:[Rate name]],0),MATCH(CostStackCalcs_SME_1[[#Headers],[United Energy]],OP_RatesTU_SME_1[[#Headers],[Ausnet]:[United Energy]],0))*($D$47/$I$51)),0)),0)</f>
        <v>5198</v>
      </c>
      <c r="I67" s="104">
        <f>ROUND(AVERAGE(D67:H67),0)</f>
        <v>5686</v>
      </c>
      <c r="K67" s="128" t="s">
        <v>384</v>
      </c>
      <c r="L67" s="210">
        <f>ROUNDUP(
(INDEX(OP_Rates_SME_2[[Ausnet]:[United Energy]],MATCH("Anytime - supply",OP_Rates_SME_2[[Rate name]:[Rate name]],0),MATCH(CostStackCalcs_SME_2[[#Headers],[Ausnet]],OP_Rates_SME_2[[#Headers],[Ausnet]:[United Energy]],0))*DiY)+
IFERROR((INDEX(OP_RatesTU_SME_2[[Ausnet]:[United Energy]],MATCH("Anytime",OP_RatesTU_SME_2[[Rate name]:[Rate name]],0),MATCH(CostStackCalcs_SME_2[[#Headers],[Ausnet]],OP_RatesTU_SME_2[[#Headers],[Ausnet]:[United Energy]],0))*$P$47),0)
+
(IFERROR((INDEX(OP_Rates_SME_2[[Ausnet]:[United Energy]],MATCH("Block 1",OP_Rates_SME_2[[Rate name]:[Rate name]],0),MATCH(CostStackCalcs_SME_2[[#Headers],[Ausnet]],OP_Rates_SME_2[[#Headers],[Ausnet]:[United Energy]],0))*$L$49),0)+
IFERROR((INDEX(OP_Rates_SME_2[[Ausnet]:[United Energy]],MATCH("Balance",OP_Rates_SME_2[[Rate name]:[Rate name]],0),MATCH(CostStackCalcs_SME_2[[#Headers],[Ausnet]],OP_Rates_SME_2[[#Headers],[Ausnet]:[United Energy]],0))*$L$50),0)+
IFERROR((INDEX(OP_Rates_SME_2[[Ausnet]:[United Energy]],MATCH("Single rate",OP_Rates_SME_2[[Rate name]:[Rate name]],0),MATCH(CostStackCalcs_SME_2[[#Headers],[Ausnet]],OP_Rates_SME_2[[#Headers],[Ausnet]:[United Energy]],0))*$L$47),0))
+
(IFERROR((INDEX(OP_RatesTU_SME_2[[Ausnet]:[United Energy]],MATCH("Block 1",OP_RatesTU_SME_2[[Rate name]:[Rate name]],0),MATCH(CostStackCalcs_SME_2[[#Headers],[Ausnet]],OP_RatesTU_SME_2[[#Headers],[Ausnet]:[United Energy]],0))*($L$49/$Q$51)),0)+
IFERROR((INDEX(OP_RatesTU_SME_2[[Ausnet]:[United Energy]],MATCH("Balance",OP_RatesTU_SME_2[[Rate name]:[Rate name]],0),MATCH(CostStackCalcs_SME_2[[#Headers],[Ausnet]],OP_RatesTU_SME_2[[#Headers],[Ausnet]:[United Energy]],0))*($L$50/$Q$51)),0)+
IFERROR((INDEX(OP_RatesTU_SME_2[[Ausnet]:[United Energy]],MATCH("Single rate",OP_RatesTU_SME_2[[Rate name]:[Rate name]],0),MATCH(CostStackCalcs_SME_2[[#Headers],[Ausnet]],OP_RatesTU_SME_2[[#Headers],[Ausnet]:[United Energy]],0))*($L$47/$Q$51)),0)),0)</f>
        <v>6934</v>
      </c>
      <c r="M67" s="210">
        <f>ROUNDUP(
(INDEX(OP_Rates_SME_2[[Ausnet]:[United Energy]],MATCH("Anytime - supply",OP_Rates_SME_2[[Rate name]:[Rate name]],0),MATCH(CostStackCalcs_SME_2[[#Headers],[Citipower]],OP_Rates_SME_2[[#Headers],[Ausnet]:[United Energy]],0))*DiY)+
IFERROR((INDEX(OP_RatesTU_SME_2[[Ausnet]:[United Energy]],MATCH("Anytime",OP_RatesTU_SME_2[[Rate name]:[Rate name]],0),MATCH(CostStackCalcs_SME_2[[#Headers],[Citipower]],OP_RatesTU_SME_2[[#Headers],[Ausnet]:[United Energy]],0))*$P$47),0)
+
(IFERROR((INDEX(OP_Rates_SME_2[[Ausnet]:[United Energy]],MATCH("Block 1",OP_Rates_SME_2[[Rate name]:[Rate name]],0),MATCH(CostStackCalcs_SME_2[[#Headers],[Citipower]],OP_Rates_SME_2[[#Headers],[Ausnet]:[United Energy]],0))*$L$49),0)+
IFERROR((INDEX(OP_Rates_SME_2[[Ausnet]:[United Energy]],MATCH("Balance",OP_Rates_SME_2[[Rate name]:[Rate name]],0),MATCH(CostStackCalcs_SME_2[[#Headers],[Citipower]],OP_Rates_SME_2[[#Headers],[Ausnet]:[United Energy]],0))*$L$50),0)+
IFERROR((INDEX(OP_Rates_SME_2[[Ausnet]:[United Energy]],MATCH("Single rate",OP_Rates_SME_2[[Rate name]:[Rate name]],0),MATCH(CostStackCalcs_SME_2[[#Headers],[Citipower]],OP_Rates_SME_2[[#Headers],[Ausnet]:[United Energy]],0))*$L$47),0))
+
(IFERROR((INDEX(OP_RatesTU_SME_2[[Ausnet]:[United Energy]],MATCH("Block 1",OP_RatesTU_SME_2[[Rate name]:[Rate name]],0),MATCH(CostStackCalcs_SME_2[[#Headers],[Citipower]],OP_RatesTU_SME_2[[#Headers],[Ausnet]:[United Energy]],0))*($L$49/$Q$51)),0)+
IFERROR((INDEX(OP_RatesTU_SME_2[[Ausnet]:[United Energy]],MATCH("Balance",OP_RatesTU_SME_2[[Rate name]:[Rate name]],0),MATCH(CostStackCalcs_SME_2[[#Headers],[Citipower]],OP_RatesTU_SME_2[[#Headers],[Ausnet]:[United Energy]],0))*($L$50/$Q$51)),0)+
IFERROR((INDEX(OP_RatesTU_SME_2[[Ausnet]:[United Energy]],MATCH("Single rate",OP_RatesTU_SME_2[[Rate name]:[Rate name]],0),MATCH(CostStackCalcs_SME_2[[#Headers],[Citipower]],OP_RatesTU_SME_2[[#Headers],[Ausnet]:[United Energy]],0))*($L$47/$Q$51)),0)),0)</f>
        <v>4713</v>
      </c>
      <c r="N67" s="210">
        <f>ROUNDUP(
(INDEX(OP_Rates_SME_2[[Ausnet]:[United Energy]],MATCH("Anytime - supply",OP_Rates_SME_2[[Rate name]:[Rate name]],0),MATCH(CostStackCalcs_SME_2[[#Headers],[Jemena]],OP_Rates_SME_2[[#Headers],[Ausnet]:[United Energy]],0))*DiY)+
IFERROR((INDEX(OP_RatesTU_SME_2[[Ausnet]:[United Energy]],MATCH("Anytime",OP_RatesTU_SME_2[[Rate name]:[Rate name]],0),MATCH(CostStackCalcs_SME_2[[#Headers],[Jemena]],OP_RatesTU_SME_2[[#Headers],[Ausnet]:[United Energy]],0))*$P$47),0)
+
(IFERROR((INDEX(OP_Rates_SME_2[[Ausnet]:[United Energy]],MATCH("Block 1",OP_Rates_SME_2[[Rate name]:[Rate name]],0),MATCH(CostStackCalcs_SME_2[[#Headers],[Jemena]],OP_Rates_SME_2[[#Headers],[Ausnet]:[United Energy]],0))*$L$49),0)+
IFERROR((INDEX(OP_Rates_SME_2[[Ausnet]:[United Energy]],MATCH("Balance",OP_Rates_SME_2[[Rate name]:[Rate name]],0),MATCH(CostStackCalcs_SME_2[[#Headers],[Jemena]],OP_Rates_SME_2[[#Headers],[Ausnet]:[United Energy]],0))*$L$50),0)+
IFERROR((INDEX(OP_Rates_SME_2[[Ausnet]:[United Energy]],MATCH("Single rate",OP_Rates_SME_2[[Rate name]:[Rate name]],0),MATCH(CostStackCalcs_SME_2[[#Headers],[Jemena]],OP_Rates_SME_2[[#Headers],[Ausnet]:[United Energy]],0))*$L$47),0))
+
(IFERROR((INDEX(OP_RatesTU_SME_2[[Ausnet]:[United Energy]],MATCH("Block 1",OP_RatesTU_SME_2[[Rate name]:[Rate name]],0),MATCH(CostStackCalcs_SME_2[[#Headers],[Jemena]],OP_RatesTU_SME_2[[#Headers],[Ausnet]:[United Energy]],0))*($L$49/$Q$51)),0)+
IFERROR((INDEX(OP_RatesTU_SME_2[[Ausnet]:[United Energy]],MATCH("Balance",OP_RatesTU_SME_2[[Rate name]:[Rate name]],0),MATCH(CostStackCalcs_SME_2[[#Headers],[Jemena]],OP_RatesTU_SME_2[[#Headers],[Ausnet]:[United Energy]],0))*($L$50/$Q$51)),0)+
IFERROR((INDEX(OP_RatesTU_SME_2[[Ausnet]:[United Energy]],MATCH("Single rate",OP_RatesTU_SME_2[[Rate name]:[Rate name]],0),MATCH(CostStackCalcs_SME_2[[#Headers],[Jemena]],OP_RatesTU_SME_2[[#Headers],[Ausnet]:[United Energy]],0))*($L$47/$Q$51)),0)),0)</f>
        <v>5328</v>
      </c>
      <c r="O67" s="210">
        <f>ROUNDUP(
(INDEX(OP_Rates_SME_2[[Ausnet]:[United Energy]],MATCH("Anytime - supply",OP_Rates_SME_2[[Rate name]:[Rate name]],0),MATCH(CostStackCalcs_SME_2[[#Headers],[Powercor]],OP_Rates_SME_2[[#Headers],[Ausnet]:[United Energy]],0))*DiY)+
IFERROR((INDEX(OP_RatesTU_SME_2[[Ausnet]:[United Energy]],MATCH("Anytime",OP_RatesTU_SME_2[[Rate name]:[Rate name]],0),MATCH(CostStackCalcs_SME_2[[#Headers],[Powercor]],OP_RatesTU_SME_2[[#Headers],[Ausnet]:[United Energy]],0))*$P$47),0)
+
(IFERROR((INDEX(OP_Rates_SME_2[[Ausnet]:[United Energy]],MATCH("Block 1",OP_Rates_SME_2[[Rate name]:[Rate name]],0),MATCH(CostStackCalcs_SME_2[[#Headers],[Powercor]],OP_Rates_SME_2[[#Headers],[Ausnet]:[United Energy]],0))*$L$49),0)+
IFERROR((INDEX(OP_Rates_SME_2[[Ausnet]:[United Energy]],MATCH("Balance",OP_Rates_SME_2[[Rate name]:[Rate name]],0),MATCH(CostStackCalcs_SME_2[[#Headers],[Powercor]],OP_Rates_SME_2[[#Headers],[Ausnet]:[United Energy]],0))*$L$50),0)+
IFERROR((INDEX(OP_Rates_SME_2[[Ausnet]:[United Energy]],MATCH("Single rate",OP_Rates_SME_2[[Rate name]:[Rate name]],0),MATCH(CostStackCalcs_SME_2[[#Headers],[Powercor]],OP_Rates_SME_2[[#Headers],[Ausnet]:[United Energy]],0))*$L$47),0))
+
(IFERROR((INDEX(OP_RatesTU_SME_2[[Ausnet]:[United Energy]],MATCH("Block 1",OP_RatesTU_SME_2[[Rate name]:[Rate name]],0),MATCH(CostStackCalcs_SME_2[[#Headers],[Powercor]],OP_RatesTU_SME_2[[#Headers],[Ausnet]:[United Energy]],0))*($L$49/$Q$51)),0)+
IFERROR((INDEX(OP_RatesTU_SME_2[[Ausnet]:[United Energy]],MATCH("Balance",OP_RatesTU_SME_2[[Rate name]:[Rate name]],0),MATCH(CostStackCalcs_SME_2[[#Headers],[Powercor]],OP_RatesTU_SME_2[[#Headers],[Ausnet]:[United Energy]],0))*($L$50/$Q$51)),0)+
IFERROR((INDEX(OP_RatesTU_SME_2[[Ausnet]:[United Energy]],MATCH("Single rate",OP_RatesTU_SME_2[[Rate name]:[Rate name]],0),MATCH(CostStackCalcs_SME_2[[#Headers],[Powercor]],OP_RatesTU_SME_2[[#Headers],[Ausnet]:[United Energy]],0))*($L$47/$Q$51)),0)),0)</f>
        <v>4969</v>
      </c>
      <c r="P67" s="210">
        <f>ROUNDUP(
(INDEX(OP_Rates_SME_2[[Ausnet]:[United Energy]],MATCH("Anytime - supply",OP_Rates_SME_2[[Rate name]:[Rate name]],0),MATCH(CostStackCalcs_SME_2[[#Headers],[United Energy]],OP_Rates_SME_2[[#Headers],[Ausnet]:[United Energy]],0))*DiY)+
IFERROR((INDEX(OP_RatesTU_SME_2[[Ausnet]:[United Energy]],MATCH("Anytime",OP_RatesTU_SME_2[[Rate name]:[Rate name]],0),MATCH(CostStackCalcs_SME_2[[#Headers],[United Energy]],OP_RatesTU_SME_2[[#Headers],[Ausnet]:[United Energy]],0))*$P$47),0)
+
(IFERROR((INDEX(OP_Rates_SME_2[[Ausnet]:[United Energy]],MATCH("Block 1",OP_Rates_SME_2[[Rate name]:[Rate name]],0),MATCH(CostStackCalcs_SME_2[[#Headers],[United Energy]],OP_Rates_SME_2[[#Headers],[Ausnet]:[United Energy]],0))*$L$49),0)+
IFERROR((INDEX(OP_Rates_SME_2[[Ausnet]:[United Energy]],MATCH("Balance",OP_Rates_SME_2[[Rate name]:[Rate name]],0),MATCH(CostStackCalcs_SME_2[[#Headers],[United Energy]],OP_Rates_SME_2[[#Headers],[Ausnet]:[United Energy]],0))*$L$50),0)+
IFERROR((INDEX(OP_Rates_SME_2[[Ausnet]:[United Energy]],MATCH("Single rate",OP_Rates_SME_2[[Rate name]:[Rate name]],0),MATCH(CostStackCalcs_SME_2[[#Headers],[United Energy]],OP_Rates_SME_2[[#Headers],[Ausnet]:[United Energy]],0))*$L$47),0))
+
(IFERROR((INDEX(OP_RatesTU_SME_2[[Ausnet]:[United Energy]],MATCH("Block 1",OP_RatesTU_SME_2[[Rate name]:[Rate name]],0),MATCH(CostStackCalcs_SME_2[[#Headers],[United Energy]],OP_RatesTU_SME_2[[#Headers],[Ausnet]:[United Energy]],0))*($L$49/$Q$51)),0)+
IFERROR((INDEX(OP_RatesTU_SME_2[[Ausnet]:[United Energy]],MATCH("Balance",OP_RatesTU_SME_2[[Rate name]:[Rate name]],0),MATCH(CostStackCalcs_SME_2[[#Headers],[United Energy]],OP_RatesTU_SME_2[[#Headers],[Ausnet]:[United Energy]],0))*($L$50/$Q$51)),0)+
IFERROR((INDEX(OP_RatesTU_SME_2[[Ausnet]:[United Energy]],MATCH("Single rate",OP_RatesTU_SME_2[[Rate name]:[Rate name]],0),MATCH(CostStackCalcs_SME_2[[#Headers],[United Energy]],OP_RatesTU_SME_2[[#Headers],[Ausnet]:[United Energy]],0))*($L$47/$Q$51)),0)),0)</f>
        <v>4806</v>
      </c>
      <c r="Q67" s="104">
        <f>ROUND(AVERAGE(L67:P67),0)</f>
        <v>5350</v>
      </c>
    </row>
    <row r="69" spans="3:24" ht="15.75" x14ac:dyDescent="0.25">
      <c r="C69" s="108" t="s">
        <v>25</v>
      </c>
      <c r="D69" s="94">
        <f>IF(AND(D67-D65&lt;=1,D67-D65&gt;=-1),0,1)</f>
        <v>0</v>
      </c>
      <c r="E69" s="94">
        <f t="shared" ref="E69:H69" si="16">IF(AND(E67-E65&lt;=1,E67-E65&gt;=-1),0,1)</f>
        <v>0</v>
      </c>
      <c r="F69" s="94">
        <f t="shared" si="16"/>
        <v>0</v>
      </c>
      <c r="G69" s="94">
        <f t="shared" si="16"/>
        <v>0</v>
      </c>
      <c r="H69" s="94">
        <f t="shared" si="16"/>
        <v>0</v>
      </c>
      <c r="K69" s="108" t="s">
        <v>25</v>
      </c>
      <c r="L69" s="94">
        <f>IF(AND(L67-L65&lt;=1,L67-L65&gt;=-1),0,1)</f>
        <v>0</v>
      </c>
      <c r="M69" s="94">
        <f t="shared" ref="M69:P69" si="17">IF(AND(M67-M65&lt;=1,M67-M65&gt;=-1),0,1)</f>
        <v>0</v>
      </c>
      <c r="N69" s="94">
        <f t="shared" si="17"/>
        <v>0</v>
      </c>
      <c r="O69" s="94">
        <f t="shared" si="17"/>
        <v>0</v>
      </c>
      <c r="P69" s="94">
        <f t="shared" si="17"/>
        <v>0</v>
      </c>
    </row>
    <row r="71" spans="3:24" ht="15.75" x14ac:dyDescent="0.25">
      <c r="C71" s="43" t="s">
        <v>211</v>
      </c>
      <c r="D71" s="101">
        <f>INDEX(Input_ForRateCalc[[F-CurrentVDO_InputDate]:[F-NextVDO_Input]],MATCH("Retail operating margin",Input_ForRateCalc[[Cost item]:[Cost item]],0),MATCH(CH_CostStack_SME!$D$44,Inputs!$H$8:$Q$8,0))</f>
        <v>6.0400000000000002E-2</v>
      </c>
      <c r="E71" s="101">
        <f>INDEX(Input_ForRateCalc[[F-CurrentVDO_InputDate]:[F-NextVDO_Input]],MATCH("Retail operating margin",Input_ForRateCalc[[Cost item]:[Cost item]],0),MATCH(CH_CostStack_SME!$D$44,Inputs!$H$8:$Q$8,0))</f>
        <v>6.0400000000000002E-2</v>
      </c>
      <c r="F71" s="101">
        <f>INDEX(Input_ForRateCalc[[F-CurrentVDO_InputDate]:[F-NextVDO_Input]],MATCH("Retail operating margin",Input_ForRateCalc[[Cost item]:[Cost item]],0),MATCH(CH_CostStack_SME!$D$44,Inputs!$H$8:$Q$8,0))</f>
        <v>6.0400000000000002E-2</v>
      </c>
      <c r="G71" s="101">
        <f>INDEX(Input_ForRateCalc[[F-CurrentVDO_InputDate]:[F-NextVDO_Input]],MATCH("Retail operating margin",Input_ForRateCalc[[Cost item]:[Cost item]],0),MATCH(CH_CostStack_SME!$D$44,Inputs!$H$8:$Q$8,0))</f>
        <v>6.0400000000000002E-2</v>
      </c>
      <c r="H71" s="101">
        <f>INDEX(Input_ForRateCalc[[F-CurrentVDO_InputDate]:[F-NextVDO_Input]],MATCH("Retail operating margin",Input_ForRateCalc[[Cost item]:[Cost item]],0),MATCH(CH_CostStack_SME!$D$44,Inputs!$H$8:$Q$8,0))</f>
        <v>6.0400000000000002E-2</v>
      </c>
      <c r="K71" s="43" t="s">
        <v>211</v>
      </c>
      <c r="L71" s="101">
        <f>INDEX(Input_ForRateCalc[[F-CurrentVDO_InputDate]:[F-NextVDO_Input]],MATCH("Retail operating margin",Input_ForRateCalc[[Cost item]:[Cost item]],0),MATCH(CH_CostStack_SME!$L$44,Inputs!$H$8:$Q$8,0))</f>
        <v>6.0400000000000002E-2</v>
      </c>
      <c r="M71" s="101">
        <f>INDEX(Input_ForRateCalc[[F-CurrentVDO_InputDate]:[F-NextVDO_Input]],MATCH("Retail operating margin",Input_ForRateCalc[[Cost item]:[Cost item]],0),MATCH(CH_CostStack_SME!$L$44,Inputs!$H$8:$Q$8,0))</f>
        <v>6.0400000000000002E-2</v>
      </c>
      <c r="N71" s="101">
        <f>INDEX(Input_ForRateCalc[[F-CurrentVDO_InputDate]:[F-NextVDO_Input]],MATCH("Retail operating margin",Input_ForRateCalc[[Cost item]:[Cost item]],0),MATCH(CH_CostStack_SME!$L$44,Inputs!$H$8:$Q$8,0))</f>
        <v>6.0400000000000002E-2</v>
      </c>
      <c r="O71" s="101">
        <f>INDEX(Input_ForRateCalc[[F-CurrentVDO_InputDate]:[F-NextVDO_Input]],MATCH("Retail operating margin",Input_ForRateCalc[[Cost item]:[Cost item]],0),MATCH(CH_CostStack_SME!$L$44,Inputs!$H$8:$Q$8,0))</f>
        <v>6.0400000000000002E-2</v>
      </c>
      <c r="P71" s="101">
        <f>INDEX(Input_ForRateCalc[[F-CurrentVDO_InputDate]:[F-NextVDO_Input]],MATCH("Retail operating margin",Input_ForRateCalc[[Cost item]:[Cost item]],0),MATCH(CH_CostStack_SME!$L$44,Inputs!$H$8:$Q$8,0))</f>
        <v>6.0400000000000002E-2</v>
      </c>
    </row>
    <row r="73" spans="3:24" ht="15.75" x14ac:dyDescent="0.25">
      <c r="C73" s="43" t="s">
        <v>293</v>
      </c>
      <c r="D73" s="101">
        <f>INDEX(Calc_Losses_1[[Ausnet]:[United Energy]],MATCH("Total loss factor",Calc_Losses_1[Cost item],0),MATCH(CH_CostStack_SME!D$53,Calc_Losses_1[[#Headers],[Ausnet]:[United Energy]],0))</f>
        <v>6.7042242499999904E-2</v>
      </c>
      <c r="E73" s="101">
        <f>INDEX(Calc_Losses_1[[Ausnet]:[United Energy]],MATCH("Total loss factor",Calc_Losses_1[Cost item],0),MATCH(CH_CostStack_SME!E$53,Calc_Losses_1[[#Headers],[Ausnet]:[United Energy]],0))</f>
        <v>4.8598528999999946E-2</v>
      </c>
      <c r="F73" s="101">
        <f>INDEX(Calc_Losses_1[[Ausnet]:[United Energy]],MATCH("Total loss factor",Calc_Losses_1[Cost item],0),MATCH(CH_CostStack_SME!F$53,Calc_Losses_1[[#Headers],[Ausnet]:[United Energy]],0))</f>
        <v>3.7644568888889118E-2</v>
      </c>
      <c r="G73" s="101">
        <f>INDEX(Calc_Losses_1[[Ausnet]:[United Energy]],MATCH("Total loss factor",Calc_Losses_1[Cost item],0),MATCH(CH_CostStack_SME!G$53,Calc_Losses_1[[#Headers],[Ausnet]:[United Energy]],0))</f>
        <v>7.1081852499999654E-2</v>
      </c>
      <c r="H73" s="101">
        <f>INDEX(Calc_Losses_1[[Ausnet]:[United Energy]],MATCH("Total loss factor",Calc_Losses_1[Cost item],0),MATCH(CH_CostStack_SME!H$53,Calc_Losses_1[[#Headers],[Ausnet]:[United Energy]],0))</f>
        <v>5.2423379000000159E-2</v>
      </c>
      <c r="K73" s="43" t="s">
        <v>293</v>
      </c>
      <c r="L73" s="101">
        <f>INDEX(Calc_Losses_2[[Ausnet]:[United Energy]],MATCH("Total loss factor",Calc_Losses_2[Cost item],0),MATCH(CH_CostStack_SME!L$53,Calc_Losses_2[[#Headers],[Ausnet]:[United Energy]],0))</f>
        <v>7.9452873939792834E-2</v>
      </c>
      <c r="M73" s="101">
        <f>INDEX(Calc_Losses_2[[Ausnet]:[United Energy]],MATCH("Total loss factor",Calc_Losses_2[Cost item],0),MATCH(CH_CostStack_SME!M$53,Calc_Losses_2[[#Headers],[Ausnet]:[United Energy]],0))</f>
        <v>4.7771666666666768E-2</v>
      </c>
      <c r="N73" s="101">
        <f>INDEX(Calc_Losses_2[[Ausnet]:[United Energy]],MATCH("Total loss factor",Calc_Losses_2[Cost item],0),MATCH(CH_CostStack_SME!N$53,Calc_Losses_2[[#Headers],[Ausnet]:[United Energy]],0))</f>
        <v>4.2295975000000041E-2</v>
      </c>
      <c r="O73" s="101">
        <f>INDEX(Calc_Losses_2[[Ausnet]:[United Energy]],MATCH("Total loss factor",Calc_Losses_2[Cost item],0),MATCH(CH_CostStack_SME!O$53,Calc_Losses_2[[#Headers],[Ausnet]:[United Energy]],0))</f>
        <v>7.1527608826401856E-2</v>
      </c>
      <c r="P73" s="101">
        <f>INDEX(Calc_Losses_2[[Ausnet]:[United Energy]],MATCH("Total loss factor",Calc_Losses_2[Cost item],0),MATCH(CH_CostStack_SME!P$53,Calc_Losses_2[[#Headers],[Ausnet]:[United Energy]],0))</f>
        <v>4.7935977272727248E-2</v>
      </c>
    </row>
    <row r="75" spans="3:24" ht="15.75" x14ac:dyDescent="0.25">
      <c r="C75" s="30" t="s">
        <v>381</v>
      </c>
      <c r="K75" s="30" t="s">
        <v>381</v>
      </c>
      <c r="V75" s="110"/>
    </row>
    <row r="76" spans="3:24" ht="15.75" x14ac:dyDescent="0.25">
      <c r="C76" s="43" t="s">
        <v>378</v>
      </c>
      <c r="D76" s="87">
        <f>SUM(Calc_Retail_1[Ausnet])</f>
        <v>181.75878095302619</v>
      </c>
      <c r="E76" s="87">
        <f>SUM(Calc_Retail_1[Citipower])</f>
        <v>181.75878095302619</v>
      </c>
      <c r="F76" s="87">
        <f>SUM(Calc_Retail_1[Jemena])</f>
        <v>181.75878095302619</v>
      </c>
      <c r="G76" s="87">
        <f>SUM(Calc_Retail_1[Powercor])</f>
        <v>181.75878095302619</v>
      </c>
      <c r="H76" s="87">
        <f>SUM(Calc_Retail_1[United Energy])</f>
        <v>181.75878095302619</v>
      </c>
      <c r="K76" s="43" t="s">
        <v>378</v>
      </c>
      <c r="L76" s="87">
        <f>SUM(Calc_Retail_2[Ausnet])</f>
        <v>181.37562065040649</v>
      </c>
      <c r="M76" s="87">
        <f>SUM(Calc_Retail_2[Citipower])</f>
        <v>181.37562065040649</v>
      </c>
      <c r="N76" s="87">
        <f>SUM(Calc_Retail_2[Jemena])</f>
        <v>181.37562065040649</v>
      </c>
      <c r="O76" s="87">
        <f>SUM(Calc_Retail_2[Powercor])</f>
        <v>181.37562065040649</v>
      </c>
      <c r="P76" s="87">
        <f>SUM(Calc_Retail_2[United Energy])</f>
        <v>181.37562065040649</v>
      </c>
      <c r="V76" s="110"/>
    </row>
    <row r="77" spans="3:24" x14ac:dyDescent="0.25">
      <c r="V77" s="110"/>
    </row>
    <row r="78" spans="3:24" ht="15.75" x14ac:dyDescent="0.25">
      <c r="C78" s="43" t="s">
        <v>380</v>
      </c>
      <c r="D78" s="87">
        <f>INDEX(Calc_NetworkF_1[[Ausnet]:[United Energy]],MATCH("Metering",Calc_NetworkF_1[Cost item],0),MATCH(CH_CostStack_SME!D$53,Calc_NetworkF_1[[#Headers],[Ausnet]:[United Energy]],0))+
SUMIFS(Calc_NetworkF_1[Ausnet],Calc_NetworkF_1[Cost item],"Anytime - supply",Calc_NetworkF_1[Customer type],IF(ISNUMBER(SEARCH("Residential",$C$47)),"Residential","Small business"))</f>
        <v>174.81</v>
      </c>
      <c r="E78" s="87">
        <f>INDEX(Calc_NetworkF_1[[Ausnet]:[United Energy]],MATCH("Metering",Calc_NetworkF_1[Cost item],0),MATCH(CH_CostStack_SME!E$53,Calc_NetworkF_1[[#Headers],[Ausnet]:[United Energy]],0))+
SUMIFS(Calc_NetworkF_1[Citipower],Calc_NetworkF_1[Cost item],"Anytime - supply",Calc_NetworkF_1[Customer type],IF(ISNUMBER(SEARCH("Residential",$C$47)),"Residential","Small business"))</f>
        <v>219.416</v>
      </c>
      <c r="F78" s="87">
        <f>INDEX(Calc_NetworkF_1[[Ausnet]:[United Energy]],MATCH("Metering",Calc_NetworkF_1[Cost item],0),MATCH(CH_CostStack_SME!F$53,Calc_NetworkF_1[[#Headers],[Ausnet]:[United Energy]],0))+
SUMIFS(Calc_NetworkF_1[Jemena],Calc_NetworkF_1[Cost item],"Anytime - supply",Calc_NetworkF_1[Customer type],IF(ISNUMBER(SEARCH("Residential",$C$47)),"Residential","Small business"))</f>
        <v>188.65600000000001</v>
      </c>
      <c r="G78" s="87">
        <f>INDEX(Calc_NetworkF_1[[Ausnet]:[United Energy]],MATCH("Metering",Calc_NetworkF_1[Cost item],0),MATCH(CH_CostStack_SME!G$53,Calc_NetworkF_1[[#Headers],[Ausnet]:[United Energy]],0))+
SUMIFS(Calc_NetworkF_1[Powercor],Calc_NetworkF_1[Cost item],"Anytime - supply",Calc_NetworkF_1[Customer type],IF(ISNUMBER(SEARCH("Residential",$C$47)),"Residential","Small business"))</f>
        <v>237.98150000000001</v>
      </c>
      <c r="H78" s="87">
        <f>INDEX(Calc_NetworkF_1[[Ausnet]:[United Energy]],MATCH("Metering",Calc_NetworkF_1[Cost item],0),MATCH(CH_CostStack_SME!H$53,Calc_NetworkF_1[[#Headers],[Ausnet]:[United Energy]],0))+
SUMIFS(Calc_NetworkF_1[United Energy],Calc_NetworkF_1[Cost item],"Anytime - supply",Calc_NetworkF_1[Customer type],IF(ISNUMBER(SEARCH("Residential",$C$47)),"Residential","Small business"))</f>
        <v>162.93199999999999</v>
      </c>
      <c r="K78" s="43" t="s">
        <v>380</v>
      </c>
      <c r="L78" s="87">
        <f>INDEX(Calc_NetworkF_2[[Ausnet]:[United Energy]],MATCH("Metering",Calc_NetworkF_2[Cost item],0),MATCH(CH_CostStack_SME!L$53,Calc_NetworkF_2[[#Headers],[Ausnet]:[United Energy]],0))+
SUMIFS(Calc_NetworkF_2[Ausnet],Calc_NetworkF_2[Cost item],"Anytime - supply",Calc_NetworkF_2[Customer type],IF(ISNUMBER(SEARCH("Residential",$K$47)),"Residential","Small business"))</f>
        <v>174.81</v>
      </c>
      <c r="M78" s="87">
        <f>INDEX(Calc_NetworkF_2[[Ausnet]:[United Energy]],MATCH("Metering",Calc_NetworkF_2[Cost item],0),MATCH(CH_CostStack_SME!M$53,Calc_NetworkF_2[[#Headers],[Ausnet]:[United Energy]],0))+
SUMIFS(Calc_NetworkF_2[Citipower],Calc_NetworkF_2[Cost item],"Anytime - supply",Calc_NetworkF_2[Customer type],IF(ISNUMBER(SEARCH("Residential",$K$47)),"Residential","Small business"))</f>
        <v>219.416</v>
      </c>
      <c r="N78" s="87">
        <f>INDEX(Calc_NetworkF_2[[Ausnet]:[United Energy]],MATCH("Metering",Calc_NetworkF_2[Cost item],0),MATCH(CH_CostStack_SME!N$53,Calc_NetworkF_2[[#Headers],[Ausnet]:[United Energy]],0))+
SUMIFS(Calc_NetworkF_2[Jemena],Calc_NetworkF_2[Cost item],"Anytime - supply",Calc_NetworkF_2[Customer type],IF(ISNUMBER(SEARCH("Residential",$K$47)),"Residential","Small business"))</f>
        <v>188.65600000000001</v>
      </c>
      <c r="O78" s="87">
        <f>INDEX(Calc_NetworkF_2[[Ausnet]:[United Energy]],MATCH("Metering",Calc_NetworkF_2[Cost item],0),MATCH(CH_CostStack_SME!O$53,Calc_NetworkF_2[[#Headers],[Ausnet]:[United Energy]],0))+
SUMIFS(Calc_NetworkF_2[Powercor],Calc_NetworkF_2[Cost item],"Anytime - supply",Calc_NetworkF_2[Customer type],IF(ISNUMBER(SEARCH("Residential",$K$47)),"Residential","Small business"))</f>
        <v>237.98150000000001</v>
      </c>
      <c r="P78" s="87">
        <f>INDEX(Calc_NetworkF_2[[Ausnet]:[United Energy]],MATCH("Metering",Calc_NetworkF_2[Cost item],0),MATCH(CH_CostStack_SME!P$53,Calc_NetworkF_2[[#Headers],[Ausnet]:[United Energy]],0))+
SUMIFS(Calc_NetworkF_2[United Energy],Calc_NetworkF_2[Cost item],"Anytime - supply",Calc_NetworkF_2[Customer type],IF(ISNUMBER(SEARCH("Residential",$K$47)),"Residential","Small business"))</f>
        <v>162.93199999999999</v>
      </c>
      <c r="V78" s="110"/>
    </row>
    <row r="79" spans="3:24" x14ac:dyDescent="0.25">
      <c r="V79" s="110"/>
      <c r="X79" s="109"/>
    </row>
    <row r="80" spans="3:24" ht="15.75" x14ac:dyDescent="0.25">
      <c r="C80" s="43" t="s">
        <v>282</v>
      </c>
      <c r="D80" s="87">
        <f>SUMIFS(Calc_OtherCosts_1[Ausnet],Calc_OtherCosts_1[[Fixed/Variable]:[Fixed/Variable]],"Fixed")</f>
        <v>6.126692642408659</v>
      </c>
      <c r="E80" s="87">
        <f>SUMIFS(Calc_OtherCosts_1[Citipower],Calc_OtherCosts_1[[Fixed/Variable]:[Fixed/Variable]],"Fixed")</f>
        <v>6.126692642408659</v>
      </c>
      <c r="F80" s="87">
        <f>SUMIFS(Calc_OtherCosts_1[Jemena],Calc_OtherCosts_1[[Fixed/Variable]:[Fixed/Variable]],"Fixed")</f>
        <v>6.126692642408659</v>
      </c>
      <c r="G80" s="87">
        <f>SUMIFS(Calc_OtherCosts_1[Powercor],Calc_OtherCosts_1[[Fixed/Variable]:[Fixed/Variable]],"Fixed")</f>
        <v>6.126692642408659</v>
      </c>
      <c r="H80" s="87">
        <f>SUMIFS(Calc_OtherCosts_1[United Energy],Calc_OtherCosts_1[[Fixed/Variable]:[Fixed/Variable]],"Fixed")</f>
        <v>6.126692642408659</v>
      </c>
      <c r="K80" s="43" t="s">
        <v>282</v>
      </c>
      <c r="L80" s="87">
        <f>SUMIFS(Calc_OtherCosts_2[Ausnet],Calc_OtherCosts_2[[Fixed/Variable]:[Fixed/Variable]],"Fixed")</f>
        <v>4.1198525061118714</v>
      </c>
      <c r="M80" s="87">
        <f>SUMIFS(Calc_OtherCosts_2[Citipower],Calc_OtherCosts_2[[Fixed/Variable]:[Fixed/Variable]],"Fixed")</f>
        <v>4.1198525061118714</v>
      </c>
      <c r="N80" s="87">
        <f>SUMIFS(Calc_OtherCosts_2[Jemena],Calc_OtherCosts_2[[Fixed/Variable]:[Fixed/Variable]],"Fixed")</f>
        <v>4.1198525061118714</v>
      </c>
      <c r="O80" s="87">
        <f>SUMIFS(Calc_OtherCosts_2[Powercor],Calc_OtherCosts_2[[Fixed/Variable]:[Fixed/Variable]],"Fixed")</f>
        <v>4.1198525061118714</v>
      </c>
      <c r="P80" s="87">
        <f>SUMIFS(Calc_OtherCosts_2[United Energy],Calc_OtherCosts_2[[Fixed/Variable]:[Fixed/Variable]],"Fixed")</f>
        <v>4.1198525061118714</v>
      </c>
    </row>
    <row r="82" spans="3:16" ht="15.75" x14ac:dyDescent="0.25">
      <c r="C82" s="43" t="s">
        <v>385</v>
      </c>
      <c r="D82" s="102">
        <f>INDEX(Calc_FiT_1[[Ausnet]:[United Energy]],1,MATCH(CH_CostStack_SME!D$53,Calc_FiT_1[[#Headers],[Ausnet]:[United Energy]],0))</f>
        <v>10.849248189087444</v>
      </c>
      <c r="E82" s="102">
        <f>INDEX(Calc_FiT_1[[Ausnet]:[United Energy]],1,MATCH(CH_CostStack_SME!E$53,Calc_FiT_1[[#Headers],[Ausnet]:[United Energy]],0))</f>
        <v>10.849248189087444</v>
      </c>
      <c r="F82" s="102">
        <f>INDEX(Calc_FiT_1[[Ausnet]:[United Energy]],1,MATCH(CH_CostStack_SME!F$53,Calc_FiT_1[[#Headers],[Ausnet]:[United Energy]],0))</f>
        <v>10.849248189087444</v>
      </c>
      <c r="G82" s="102">
        <f>INDEX(Calc_FiT_1[[Ausnet]:[United Energy]],1,MATCH(CH_CostStack_SME!G$53,Calc_FiT_1[[#Headers],[Ausnet]:[United Energy]],0))</f>
        <v>10.849248189087444</v>
      </c>
      <c r="H82" s="102">
        <f>INDEX(Calc_FiT_1[[Ausnet]:[United Energy]],1,MATCH(CH_CostStack_SME!H$53,Calc_FiT_1[[#Headers],[Ausnet]:[United Energy]],0))</f>
        <v>10.849248189087444</v>
      </c>
      <c r="K82" s="43" t="s">
        <v>385</v>
      </c>
      <c r="L82" s="102">
        <f>INDEX(Calc_FiT_2[[Ausnet]:[United Energy]],1,MATCH(CH_CostStack_SME!L$53,Calc_FiT_2[[#Headers],[Ausnet]:[United Energy]],0))</f>
        <v>13.337821545021233</v>
      </c>
      <c r="M82" s="102">
        <f>INDEX(Calc_FiT_2[[Ausnet]:[United Energy]],1,MATCH(CH_CostStack_SME!M$53,Calc_FiT_2[[#Headers],[Ausnet]:[United Energy]],0))</f>
        <v>13.337821545021233</v>
      </c>
      <c r="N82" s="102">
        <f>INDEX(Calc_FiT_2[[Ausnet]:[United Energy]],1,MATCH(CH_CostStack_SME!N$53,Calc_FiT_2[[#Headers],[Ausnet]:[United Energy]],0))</f>
        <v>13.337821545021233</v>
      </c>
      <c r="O82" s="102">
        <f>INDEX(Calc_FiT_2[[Ausnet]:[United Energy]],1,MATCH(CH_CostStack_SME!O$53,Calc_FiT_2[[#Headers],[Ausnet]:[United Energy]],0))</f>
        <v>13.337821545021233</v>
      </c>
      <c r="P82" s="102">
        <f>INDEX(Calc_FiT_2[[Ausnet]:[United Energy]],1,MATCH(CH_CostStack_SME!P$53,Calc_FiT_2[[#Headers],[Ausnet]:[United Energy]],0))</f>
        <v>13.337821545021233</v>
      </c>
    </row>
    <row r="84" spans="3:16" ht="15.75" x14ac:dyDescent="0.25">
      <c r="C84" s="30" t="s">
        <v>382</v>
      </c>
      <c r="K84" s="30" t="s">
        <v>382</v>
      </c>
    </row>
    <row r="85" spans="3:16" ht="15.75" x14ac:dyDescent="0.25">
      <c r="C85" s="43" t="s">
        <v>160</v>
      </c>
      <c r="D85" s="87">
        <f>INDEX(Calc_EnviroVEU_1[[Ausnet]:[United Energy]],MATCH("VEU cost",Calc_EnviroVEU_1[[Cost item]:[Cost item]],0),MATCH(CH_CostStack_SME!D$53,Calc_EnviroVEU_1[[#Headers],[Ausnet]:[United Energy]],0))+
INDEX(Calc_EnviroLRET_1[[Ausnet]:[United Energy]],MATCH("LRET cost",Calc_EnviroLRET_1[[Cost item]:[Cost item]],0),MATCH(CH_CostStack_SME!D$53,Calc_EnviroLRET_1[[#Headers],[Ausnet]:[United Energy]],0))+
INDEX(Calc_EnviroSRES_1[[Ausnet]:[United Energy]],MATCH("SRES cost",Calc_EnviroSRES_1[[Cost item]:[Cost item]],0),MATCH(CH_CostStack_SME!D$53,Calc_EnviroSRES_1[[#Headers],[Ausnet]:[United Energy]],0))</f>
        <v>2.3197834914089437E-2</v>
      </c>
      <c r="E85" s="87">
        <f>INDEX(Calc_EnviroVEU_1[[Ausnet]:[United Energy]],MATCH("VEU cost",Calc_EnviroVEU_1[[Cost item]:[Cost item]],0),MATCH(CH_CostStack_SME!E$53,Calc_EnviroVEU_1[[#Headers],[Ausnet]:[United Energy]],0))+
INDEX(Calc_EnviroLRET_1[[Ausnet]:[United Energy]],MATCH("LRET cost",Calc_EnviroLRET_1[[Cost item]:[Cost item]],0),MATCH(CH_CostStack_SME!E$53,Calc_EnviroLRET_1[[#Headers],[Ausnet]:[United Energy]],0))+
INDEX(Calc_EnviroSRES_1[[Ausnet]:[United Energy]],MATCH("SRES cost",Calc_EnviroSRES_1[[Cost item]:[Cost item]],0),MATCH(CH_CostStack_SME!E$53,Calc_EnviroSRES_1[[#Headers],[Ausnet]:[United Energy]],0))</f>
        <v>2.3197834914089437E-2</v>
      </c>
      <c r="F85" s="87">
        <f>INDEX(Calc_EnviroVEU_1[[Ausnet]:[United Energy]],MATCH("VEU cost",Calc_EnviroVEU_1[[Cost item]:[Cost item]],0),MATCH(CH_CostStack_SME!F$53,Calc_EnviroVEU_1[[#Headers],[Ausnet]:[United Energy]],0))+
INDEX(Calc_EnviroLRET_1[[Ausnet]:[United Energy]],MATCH("LRET cost",Calc_EnviroLRET_1[[Cost item]:[Cost item]],0),MATCH(CH_CostStack_SME!F$53,Calc_EnviroLRET_1[[#Headers],[Ausnet]:[United Energy]],0))+
INDEX(Calc_EnviroSRES_1[[Ausnet]:[United Energy]],MATCH("SRES cost",Calc_EnviroSRES_1[[Cost item]:[Cost item]],0),MATCH(CH_CostStack_SME!F$53,Calc_EnviroSRES_1[[#Headers],[Ausnet]:[United Energy]],0))</f>
        <v>2.3197834914089437E-2</v>
      </c>
      <c r="G85" s="87">
        <f>INDEX(Calc_EnviroVEU_1[[Ausnet]:[United Energy]],MATCH("VEU cost",Calc_EnviroVEU_1[[Cost item]:[Cost item]],0),MATCH(CH_CostStack_SME!G$53,Calc_EnviroVEU_1[[#Headers],[Ausnet]:[United Energy]],0))+
INDEX(Calc_EnviroLRET_1[[Ausnet]:[United Energy]],MATCH("LRET cost",Calc_EnviroLRET_1[[Cost item]:[Cost item]],0),MATCH(CH_CostStack_SME!G$53,Calc_EnviroLRET_1[[#Headers],[Ausnet]:[United Energy]],0))+
INDEX(Calc_EnviroSRES_1[[Ausnet]:[United Energy]],MATCH("SRES cost",Calc_EnviroSRES_1[[Cost item]:[Cost item]],0),MATCH(CH_CostStack_SME!G$53,Calc_EnviroSRES_1[[#Headers],[Ausnet]:[United Energy]],0))</f>
        <v>2.3197834914089437E-2</v>
      </c>
      <c r="H85" s="87">
        <f>INDEX(Calc_EnviroVEU_1[[Ausnet]:[United Energy]],MATCH("VEU cost",Calc_EnviroVEU_1[[Cost item]:[Cost item]],0),MATCH(CH_CostStack_SME!H$53,Calc_EnviroVEU_1[[#Headers],[Ausnet]:[United Energy]],0))+
INDEX(Calc_EnviroLRET_1[[Ausnet]:[United Energy]],MATCH("LRET cost",Calc_EnviroLRET_1[[Cost item]:[Cost item]],0),MATCH(CH_CostStack_SME!H$53,Calc_EnviroLRET_1[[#Headers],[Ausnet]:[United Energy]],0))+
INDEX(Calc_EnviroSRES_1[[Ausnet]:[United Energy]],MATCH("SRES cost",Calc_EnviroSRES_1[[Cost item]:[Cost item]],0),MATCH(CH_CostStack_SME!H$53,Calc_EnviroSRES_1[[#Headers],[Ausnet]:[United Energy]],0))</f>
        <v>2.3197834914089437E-2</v>
      </c>
      <c r="K85" s="43" t="s">
        <v>160</v>
      </c>
      <c r="L85" s="87">
        <f>INDEX(Calc_EnviroVEU_2[[Ausnet]:[United Energy]],MATCH("VEU cost",Calc_EnviroVEU_2[[Cost item]:[Cost item]],0),MATCH(CH_CostStack_SME!L$53,Calc_EnviroVEU_2[[#Headers],[Ausnet]:[United Energy]],0))+
INDEX(Calc_EnviroLRET_2[[Ausnet]:[United Energy]],MATCH("LRET cost",Calc_EnviroLRET_2[[Cost item]:[Cost item]],0),MATCH(CH_CostStack_SME!L$53,Calc_EnviroLRET_2[[#Headers],[Ausnet]:[United Energy]],0))+
INDEX(Calc_EnviroSRES_2[[Ausnet]:[United Energy]],MATCH("SRES cost",Calc_EnviroSRES_2[[Cost item]:[Cost item]],0),MATCH(CH_CostStack_SME!L$53,Calc_EnviroSRES_2[[#Headers],[Ausnet]:[United Energy]],0))</f>
        <v>2.6450055368152592E-2</v>
      </c>
      <c r="M85" s="87">
        <f>INDEX(Calc_EnviroVEU_2[[Ausnet]:[United Energy]],MATCH("VEU cost",Calc_EnviroVEU_2[[Cost item]:[Cost item]],0),MATCH(CH_CostStack_SME!M$53,Calc_EnviroVEU_2[[#Headers],[Ausnet]:[United Energy]],0))+
INDEX(Calc_EnviroLRET_2[[Ausnet]:[United Energy]],MATCH("LRET cost",Calc_EnviroLRET_2[[Cost item]:[Cost item]],0),MATCH(CH_CostStack_SME!M$53,Calc_EnviroLRET_2[[#Headers],[Ausnet]:[United Energy]],0))+
INDEX(Calc_EnviroSRES_2[[Ausnet]:[United Energy]],MATCH("SRES cost",Calc_EnviroSRES_2[[Cost item]:[Cost item]],0),MATCH(CH_CostStack_SME!M$53,Calc_EnviroSRES_2[[#Headers],[Ausnet]:[United Energy]],0))</f>
        <v>2.6450055368152592E-2</v>
      </c>
      <c r="N85" s="87">
        <f>INDEX(Calc_EnviroVEU_2[[Ausnet]:[United Energy]],MATCH("VEU cost",Calc_EnviroVEU_2[[Cost item]:[Cost item]],0),MATCH(CH_CostStack_SME!N$53,Calc_EnviroVEU_2[[#Headers],[Ausnet]:[United Energy]],0))+
INDEX(Calc_EnviroLRET_2[[Ausnet]:[United Energy]],MATCH("LRET cost",Calc_EnviroLRET_2[[Cost item]:[Cost item]],0),MATCH(CH_CostStack_SME!N$53,Calc_EnviroLRET_2[[#Headers],[Ausnet]:[United Energy]],0))+
INDEX(Calc_EnviroSRES_2[[Ausnet]:[United Energy]],MATCH("SRES cost",Calc_EnviroSRES_2[[Cost item]:[Cost item]],0),MATCH(CH_CostStack_SME!N$53,Calc_EnviroSRES_2[[#Headers],[Ausnet]:[United Energy]],0))</f>
        <v>2.6450055368152592E-2</v>
      </c>
      <c r="O85" s="87">
        <f>INDEX(Calc_EnviroVEU_2[[Ausnet]:[United Energy]],MATCH("VEU cost",Calc_EnviroVEU_2[[Cost item]:[Cost item]],0),MATCH(CH_CostStack_SME!O$53,Calc_EnviroVEU_2[[#Headers],[Ausnet]:[United Energy]],0))+
INDEX(Calc_EnviroLRET_2[[Ausnet]:[United Energy]],MATCH("LRET cost",Calc_EnviroLRET_2[[Cost item]:[Cost item]],0),MATCH(CH_CostStack_SME!O$53,Calc_EnviroLRET_2[[#Headers],[Ausnet]:[United Energy]],0))+
INDEX(Calc_EnviroSRES_2[[Ausnet]:[United Energy]],MATCH("SRES cost",Calc_EnviroSRES_2[[Cost item]:[Cost item]],0),MATCH(CH_CostStack_SME!O$53,Calc_EnviroSRES_2[[#Headers],[Ausnet]:[United Energy]],0))</f>
        <v>2.6450055368152592E-2</v>
      </c>
      <c r="P85" s="87">
        <f>INDEX(Calc_EnviroVEU_2[[Ausnet]:[United Energy]],MATCH("VEU cost",Calc_EnviroVEU_2[[Cost item]:[Cost item]],0),MATCH(CH_CostStack_SME!P$53,Calc_EnviroVEU_2[[#Headers],[Ausnet]:[United Energy]],0))+
INDEX(Calc_EnviroLRET_2[[Ausnet]:[United Energy]],MATCH("LRET cost",Calc_EnviroLRET_2[[Cost item]:[Cost item]],0),MATCH(CH_CostStack_SME!P$53,Calc_EnviroLRET_2[[#Headers],[Ausnet]:[United Energy]],0))+
INDEX(Calc_EnviroSRES_2[[Ausnet]:[United Energy]],MATCH("SRES cost",Calc_EnviroSRES_2[[Cost item]:[Cost item]],0),MATCH(CH_CostStack_SME!P$53,Calc_EnviroSRES_2[[#Headers],[Ausnet]:[United Energy]],0))</f>
        <v>2.6450055368152592E-2</v>
      </c>
    </row>
    <row r="87" spans="3:16" ht="15.75" x14ac:dyDescent="0.25">
      <c r="C87" s="43" t="s">
        <v>137</v>
      </c>
      <c r="D87" s="102">
        <f>IF(ISNUMBER(SEARCH("Residential",$C$47)),
INDEX(Calc_WholesaleRES_1[[Ausnet]:[United Energy]],MATCH("Wholesale cost",Calc_WholesaleRES_1[[Cost item]:[Cost item]],0),MATCH(CH_CostStack_SME!D$53,Calc_WholesaleRES_1[[#Headers],[Ausnet]:[United Energy]],0)),
INDEX(Calc_WholesaleSME_1[[Ausnet]:[United Energy]],MATCH("Wholesale cost",Calc_WholesaleSME_1[[Cost item]:[Cost item]],0),MATCH(CH_CostStack_SME!D$53,Calc_WholesaleSME_1[[#Headers],[Ausnet]:[United Energy]],0)))</f>
        <v>8.2619999999999999E-2</v>
      </c>
      <c r="E87" s="102">
        <f>IF(ISNUMBER(SEARCH("Residential",$C$47)),
INDEX(Calc_WholesaleRES_1[[Ausnet]:[United Energy]],MATCH("Wholesale cost",Calc_WholesaleRES_1[[Cost item]:[Cost item]],0),MATCH(CH_CostStack_SME!E$53,Calc_WholesaleRES_1[[#Headers],[Ausnet]:[United Energy]],0)),
INDEX(Calc_WholesaleSME_1[[Ausnet]:[United Energy]],MATCH("Wholesale cost",Calc_WholesaleSME_1[[Cost item]:[Cost item]],0),MATCH(CH_CostStack_SME!E$53,Calc_WholesaleSME_1[[#Headers],[Ausnet]:[United Energy]],0)))</f>
        <v>8.548E-2</v>
      </c>
      <c r="F87" s="102">
        <f>IF(ISNUMBER(SEARCH("Residential",$C$47)),
INDEX(Calc_WholesaleRES_1[[Ausnet]:[United Energy]],MATCH("Wholesale cost",Calc_WholesaleRES_1[[Cost item]:[Cost item]],0),MATCH(CH_CostStack_SME!F$53,Calc_WholesaleRES_1[[#Headers],[Ausnet]:[United Energy]],0)),
INDEX(Calc_WholesaleSME_1[[Ausnet]:[United Energy]],MATCH("Wholesale cost",Calc_WholesaleSME_1[[Cost item]:[Cost item]],0),MATCH(CH_CostStack_SME!F$53,Calc_WholesaleSME_1[[#Headers],[Ausnet]:[United Energy]],0)))</f>
        <v>8.4870000000000001E-2</v>
      </c>
      <c r="G87" s="102">
        <f>IF(ISNUMBER(SEARCH("Residential",$C$47)),
INDEX(Calc_WholesaleRES_1[[Ausnet]:[United Energy]],MATCH("Wholesale cost",Calc_WholesaleRES_1[[Cost item]:[Cost item]],0),MATCH(CH_CostStack_SME!G$53,Calc_WholesaleRES_1[[#Headers],[Ausnet]:[United Energy]],0)),
INDEX(Calc_WholesaleSME_1[[Ausnet]:[United Energy]],MATCH("Wholesale cost",Calc_WholesaleSME_1[[Cost item]:[Cost item]],0),MATCH(CH_CostStack_SME!G$53,Calc_WholesaleSME_1[[#Headers],[Ausnet]:[United Energy]],0)))</f>
        <v>8.0420000000000005E-2</v>
      </c>
      <c r="H87" s="102">
        <f>IF(ISNUMBER(SEARCH("Residential",$C$47)),
INDEX(Calc_WholesaleRES_1[[Ausnet]:[United Energy]],MATCH("Wholesale cost",Calc_WholesaleRES_1[[Cost item]:[Cost item]],0),MATCH(CH_CostStack_SME!H$53,Calc_WholesaleRES_1[[#Headers],[Ausnet]:[United Energy]],0)),
INDEX(Calc_WholesaleSME_1[[Ausnet]:[United Energy]],MATCH("Wholesale cost",Calc_WholesaleSME_1[[Cost item]:[Cost item]],0),MATCH(CH_CostStack_SME!H$53,Calc_WholesaleSME_1[[#Headers],[Ausnet]:[United Energy]],0)))</f>
        <v>8.7039999999999992E-2</v>
      </c>
      <c r="K87" s="43" t="s">
        <v>137</v>
      </c>
      <c r="L87" s="102">
        <f>IF(ISNUMBER(SEARCH("Residential",$K$47)),
INDEX(Calc_WholesaleRES_2[[Ausnet]:[United Energy]],MATCH("Wholesale cost",Calc_WholesaleRES_2[[Cost item]:[Cost item]],0),MATCH(CH_CostStack_SME!L$53,Calc_WholesaleRES_2[[#Headers],[Ausnet]:[United Energy]],0)),
INDEX(Calc_WholesaleSME_2[[Ausnet]:[United Energy]],MATCH("Wholesale cost",Calc_WholesaleSME_2[[Cost item]:[Cost item]],0),MATCH(CH_CostStack_SME!L$53,Calc_WholesaleSME_2[[#Headers],[Ausnet]:[United Energy]],0)))</f>
        <v>6.298999999999999E-2</v>
      </c>
      <c r="M87" s="102">
        <f>IF(ISNUMBER(SEARCH("Residential",$K$47)),
INDEX(Calc_WholesaleRES_2[[Ausnet]:[United Energy]],MATCH("Wholesale cost",Calc_WholesaleRES_2[[Cost item]:[Cost item]],0),MATCH(CH_CostStack_SME!M$53,Calc_WholesaleRES_2[[#Headers],[Ausnet]:[United Energy]],0)),
INDEX(Calc_WholesaleSME_2[[Ausnet]:[United Energy]],MATCH("Wholesale cost",Calc_WholesaleSME_2[[Cost item]:[Cost item]],0),MATCH(CH_CostStack_SME!M$53,Calc_WholesaleSME_2[[#Headers],[Ausnet]:[United Energy]],0)))</f>
        <v>6.411E-2</v>
      </c>
      <c r="N87" s="102">
        <f>IF(ISNUMBER(SEARCH("Residential",$K$47)),
INDEX(Calc_WholesaleRES_2[[Ausnet]:[United Energy]],MATCH("Wholesale cost",Calc_WholesaleRES_2[[Cost item]:[Cost item]],0),MATCH(CH_CostStack_SME!N$53,Calc_WholesaleRES_2[[#Headers],[Ausnet]:[United Energy]],0)),
INDEX(Calc_WholesaleSME_2[[Ausnet]:[United Energy]],MATCH("Wholesale cost",Calc_WholesaleSME_2[[Cost item]:[Cost item]],0),MATCH(CH_CostStack_SME!N$53,Calc_WholesaleSME_2[[#Headers],[Ausnet]:[United Energy]],0)))</f>
        <v>6.4180000000000001E-2</v>
      </c>
      <c r="O87" s="102">
        <f>IF(ISNUMBER(SEARCH("Residential",$K$47)),
INDEX(Calc_WholesaleRES_2[[Ausnet]:[United Energy]],MATCH("Wholesale cost",Calc_WholesaleRES_2[[Cost item]:[Cost item]],0),MATCH(CH_CostStack_SME!O$53,Calc_WholesaleRES_2[[#Headers],[Ausnet]:[United Energy]],0)),
INDEX(Calc_WholesaleSME_2[[Ausnet]:[United Energy]],MATCH("Wholesale cost",Calc_WholesaleSME_2[[Cost item]:[Cost item]],0),MATCH(CH_CostStack_SME!O$53,Calc_WholesaleSME_2[[#Headers],[Ausnet]:[United Energy]],0)))</f>
        <v>6.123E-2</v>
      </c>
      <c r="P87" s="102">
        <f>IF(ISNUMBER(SEARCH("Residential",$K$47)),
INDEX(Calc_WholesaleRES_2[[Ausnet]:[United Energy]],MATCH("Wholesale cost",Calc_WholesaleRES_2[[Cost item]:[Cost item]],0),MATCH(CH_CostStack_SME!P$53,Calc_WholesaleRES_2[[#Headers],[Ausnet]:[United Energy]],0)),
INDEX(Calc_WholesaleSME_2[[Ausnet]:[United Energy]],MATCH("Wholesale cost",Calc_WholesaleSME_2[[Cost item]:[Cost item]],0),MATCH(CH_CostStack_SME!P$53,Calc_WholesaleSME_2[[#Headers],[Ausnet]:[United Energy]],0)))</f>
        <v>6.5449999999999994E-2</v>
      </c>
    </row>
    <row r="89" spans="3:16" ht="15.75" x14ac:dyDescent="0.25">
      <c r="C89" s="43" t="s">
        <v>282</v>
      </c>
      <c r="D89" s="87">
        <f>SUMIFS(Calc_OtherCosts_1[Ausnet],Calc_OtherCosts_1[[Fixed/Variable]:[Fixed/Variable]],"Variable")</f>
        <v>7.3408637826745697E-4</v>
      </c>
      <c r="E89" s="87">
        <f>SUMIFS(Calc_OtherCosts_1[Citipower],Calc_OtherCosts_1[[Fixed/Variable]:[Fixed/Variable]],"Variable")</f>
        <v>7.3408637826745697E-4</v>
      </c>
      <c r="F89" s="87">
        <f>SUMIFS(Calc_OtherCosts_1[Jemena],Calc_OtherCosts_1[[Fixed/Variable]:[Fixed/Variable]],"Variable")</f>
        <v>7.3408637826745697E-4</v>
      </c>
      <c r="G89" s="87">
        <f>SUMIFS(Calc_OtherCosts_1[Powercor],Calc_OtherCosts_1[[Fixed/Variable]:[Fixed/Variable]],"Variable")</f>
        <v>7.3408637826745697E-4</v>
      </c>
      <c r="H89" s="87">
        <f>SUMIFS(Calc_OtherCosts_1[United Energy],Calc_OtherCosts_1[[Fixed/Variable]:[Fixed/Variable]],"Variable")</f>
        <v>7.3408637826745697E-4</v>
      </c>
      <c r="K89" s="43" t="s">
        <v>282</v>
      </c>
      <c r="L89" s="87">
        <f>SUMIFS(Calc_OtherCosts_2[Ausnet],Calc_OtherCosts_2[[Fixed/Variable]:[Fixed/Variable]],"Variable")</f>
        <v>8.7547970254075731E-4</v>
      </c>
      <c r="M89" s="87">
        <f>SUMIFS(Calc_OtherCosts_2[Citipower],Calc_OtherCosts_2[[Fixed/Variable]:[Fixed/Variable]],"Variable")</f>
        <v>8.7547970254075731E-4</v>
      </c>
      <c r="N89" s="87">
        <f>SUMIFS(Calc_OtherCosts_2[Jemena],Calc_OtherCosts_2[[Fixed/Variable]:[Fixed/Variable]],"Variable")</f>
        <v>8.7547970254075731E-4</v>
      </c>
      <c r="O89" s="87">
        <f>SUMIFS(Calc_OtherCosts_2[Powercor],Calc_OtherCosts_2[[Fixed/Variable]:[Fixed/Variable]],"Variable")</f>
        <v>8.7547970254075731E-4</v>
      </c>
      <c r="P89" s="87">
        <f>SUMIFS(Calc_OtherCosts_2[United Energy],Calc_OtherCosts_2[[Fixed/Variable]:[Fixed/Variable]],"Variable")</f>
        <v>8.7547970254075731E-4</v>
      </c>
    </row>
    <row r="91" spans="3:16" ht="15.75" x14ac:dyDescent="0.25">
      <c r="C91" s="43" t="s">
        <v>379</v>
      </c>
      <c r="K91" s="43" t="s">
        <v>379</v>
      </c>
    </row>
    <row r="92" spans="3:16" x14ac:dyDescent="0.25">
      <c r="C92" t="s">
        <v>230</v>
      </c>
      <c r="D92" s="102">
        <f>SUMIFS(Calc_NetworkV_1[Ausnet],Calc_NetworkV_1[[Cost item]:[Cost item]],$C92,Calc_NetworkV_1[[Customer type]:[Customer type]],IF(ISNUMBER(SEARCH("Residential",$C$47)),"Residential","Small business"))</f>
        <v>0.155386</v>
      </c>
      <c r="E92" s="102">
        <f>SUMIFS(Calc_NetworkV_1[Citipower],Calc_NetworkV_1[[Cost item]:[Cost item]],$C92,Calc_NetworkV_1[[Customer type]:[Customer type]],IF(ISNUMBER(SEARCH("Residential",$C$47)),"Residential","Small business"))</f>
        <v>0</v>
      </c>
      <c r="F92" s="102">
        <f>SUMIFS(Calc_NetworkV_1[Jemena],Calc_NetworkV_1[[Cost item]:[Cost item]],$C92,Calc_NetworkV_1[[Customer type]:[Customer type]],IF(ISNUMBER(SEARCH("Residential",$C$47)),"Residential","Small business"))</f>
        <v>0</v>
      </c>
      <c r="G92" s="102">
        <f>SUMIFS(Calc_NetworkV_1[Powercor],Calc_NetworkV_1[[Cost item]:[Cost item]],$C92,Calc_NetworkV_1[[Customer type]:[Customer type]],IF(ISNUMBER(SEARCH("Residential",$C$47)),"Residential","Small business"))</f>
        <v>0</v>
      </c>
      <c r="H92" s="102">
        <f>SUMIFS(Calc_NetworkV_1[United Energy],Calc_NetworkV_1[[Cost item]:[Cost item]],$C92,Calc_NetworkV_1[[Customer type]:[Customer type]],IF(ISNUMBER(SEARCH("Residential",$C$47)),"Residential","Small business"))</f>
        <v>0</v>
      </c>
      <c r="K92" t="s">
        <v>230</v>
      </c>
      <c r="L92" s="102">
        <f>SUMIFS(Calc_NetworkV_2[Ausnet],Calc_NetworkV_2[[Cost item]:[Cost item]],$K92,Calc_NetworkV_2[[Customer type]:[Customer type]],IF(ISNUMBER(SEARCH("Residential",$K$47)),"Residential","Small business"))</f>
        <v>0.155386</v>
      </c>
      <c r="M92" s="102">
        <f>SUMIFS(Calc_NetworkV_2[Citipower],Calc_NetworkV_2[[Cost item]:[Cost item]],$K92,Calc_NetworkV_2[[Customer type]:[Customer type]],IF(ISNUMBER(SEARCH("Residential",$K$47)),"Residential","Small business"))</f>
        <v>0</v>
      </c>
      <c r="N92" s="102">
        <f>SUMIFS(Calc_NetworkV_2[Jemena],Calc_NetworkV_2[[Cost item]:[Cost item]],$K92,Calc_NetworkV_2[[Customer type]:[Customer type]],IF(ISNUMBER(SEARCH("Residential",$K$47)),"Residential","Small business"))</f>
        <v>0</v>
      </c>
      <c r="O92" s="102">
        <f>SUMIFS(Calc_NetworkV_2[Powercor],Calc_NetworkV_2[[Cost item]:[Cost item]],$K92,Calc_NetworkV_2[[Customer type]:[Customer type]],IF(ISNUMBER(SEARCH("Residential",$K$47)),"Residential","Small business"))</f>
        <v>0</v>
      </c>
      <c r="P92" s="102">
        <f>SUMIFS(Calc_NetworkV_2[United Energy],Calc_NetworkV_2[[Cost item]:[Cost item]],$K92,Calc_NetworkV_2[[Customer type]:[Customer type]],IF(ISNUMBER(SEARCH("Residential",$K$47)),"Residential","Small business"))</f>
        <v>0</v>
      </c>
    </row>
    <row r="93" spans="3:16" x14ac:dyDescent="0.25">
      <c r="C93" t="s">
        <v>237</v>
      </c>
      <c r="D93" s="102">
        <f>SUMIFS(Calc_NetworkV_1[Ausnet],Calc_NetworkV_1[[Cost item]:[Cost item]],$C93,Calc_NetworkV_1[[Customer type]:[Customer type]],IF(ISNUMBER(SEARCH("Residential",$C$47)),"Residential","Small business"))</f>
        <v>0.182667</v>
      </c>
      <c r="E93" s="102">
        <f>SUMIFS(Calc_NetworkV_1[Citipower],Calc_NetworkV_1[[Cost item]:[Cost item]],$C93,Calc_NetworkV_1[[Customer type]:[Customer type]],IF(ISNUMBER(SEARCH("Residential",$C$47)),"Residential","Small business"))</f>
        <v>0</v>
      </c>
      <c r="F93" s="102">
        <f>SUMIFS(Calc_NetworkV_1[Jemena],Calc_NetworkV_1[[Cost item]:[Cost item]],$C93,Calc_NetworkV_1[[Customer type]:[Customer type]],IF(ISNUMBER(SEARCH("Residential",$C$47)),"Residential","Small business"))</f>
        <v>0</v>
      </c>
      <c r="G93" s="102">
        <f>SUMIFS(Calc_NetworkV_1[Powercor],Calc_NetworkV_1[[Cost item]:[Cost item]],$C93,Calc_NetworkV_1[[Customer type]:[Customer type]],IF(ISNUMBER(SEARCH("Residential",$C$47)),"Residential","Small business"))</f>
        <v>0</v>
      </c>
      <c r="H93" s="102">
        <f>SUMIFS(Calc_NetworkV_1[United Energy],Calc_NetworkV_1[[Cost item]:[Cost item]],$C93,Calc_NetworkV_1[[Customer type]:[Customer type]],IF(ISNUMBER(SEARCH("Residential",$C$47)),"Residential","Small business"))</f>
        <v>0</v>
      </c>
      <c r="K93" t="s">
        <v>237</v>
      </c>
      <c r="L93" s="102">
        <f>SUMIFS(Calc_NetworkV_2[Ausnet],Calc_NetworkV_2[[Cost item]:[Cost item]],$K93,Calc_NetworkV_2[[Customer type]:[Customer type]],IF(ISNUMBER(SEARCH("Residential",$K$47)),"Residential","Small business"))</f>
        <v>0.182667</v>
      </c>
      <c r="M93" s="102">
        <f>SUMIFS(Calc_NetworkV_2[Citipower],Calc_NetworkV_2[[Cost item]:[Cost item]],$K93,Calc_NetworkV_2[[Customer type]:[Customer type]],IF(ISNUMBER(SEARCH("Residential",$K$47)),"Residential","Small business"))</f>
        <v>0</v>
      </c>
      <c r="N93" s="102">
        <f>SUMIFS(Calc_NetworkV_2[Jemena],Calc_NetworkV_2[[Cost item]:[Cost item]],$K93,Calc_NetworkV_2[[Customer type]:[Customer type]],IF(ISNUMBER(SEARCH("Residential",$K$47)),"Residential","Small business"))</f>
        <v>0</v>
      </c>
      <c r="O93" s="102">
        <f>SUMIFS(Calc_NetworkV_2[Powercor],Calc_NetworkV_2[[Cost item]:[Cost item]],$K93,Calc_NetworkV_2[[Customer type]:[Customer type]],IF(ISNUMBER(SEARCH("Residential",$K$47)),"Residential","Small business"))</f>
        <v>0</v>
      </c>
      <c r="P93" s="102">
        <f>SUMIFS(Calc_NetworkV_2[United Energy],Calc_NetworkV_2[[Cost item]:[Cost item]],$K93,Calc_NetworkV_2[[Customer type]:[Customer type]],IF(ISNUMBER(SEARCH("Residential",$K$47)),"Residential","Small business"))</f>
        <v>0</v>
      </c>
    </row>
    <row r="94" spans="3:16" x14ac:dyDescent="0.25">
      <c r="C94" t="s">
        <v>508</v>
      </c>
      <c r="D94" s="102">
        <f>SUMIFS(Calc_NetworkV_1[Ausnet],Calc_NetworkV_1[[Cost item]:[Cost item]],$C94,Calc_NetworkV_1[[Customer type]:[Customer type]],IF(ISNUMBER(SEARCH("Residential",$C$47)),"Residential","Small business"))</f>
        <v>0</v>
      </c>
      <c r="E94" s="102">
        <f>SUMIFS(Calc_NetworkV_1[Citipower],Calc_NetworkV_1[[Cost item]:[Cost item]],$C94,Calc_NetworkV_1[[Customer type]:[Customer type]],IF(ISNUMBER(SEARCH("Residential",$C$47)),"Residential","Small business"))</f>
        <v>8.2100000000000006E-2</v>
      </c>
      <c r="F94" s="102">
        <f>SUMIFS(Calc_NetworkV_1[Jemena],Calc_NetworkV_1[[Cost item]:[Cost item]],$C94,Calc_NetworkV_1[[Customer type]:[Customer type]],IF(ISNUMBER(SEARCH("Residential",$C$47)),"Residential","Small business"))</f>
        <v>0.10973000000000001</v>
      </c>
      <c r="G94" s="102">
        <f>SUMIFS(Calc_NetworkV_1[Powercor],Calc_NetworkV_1[[Cost item]:[Cost item]],$C94,Calc_NetworkV_1[[Customer type]:[Customer type]],IF(ISNUMBER(SEARCH("Residential",$C$47)),"Residential","Small business"))</f>
        <v>9.2899999999999996E-2</v>
      </c>
      <c r="H94" s="102">
        <f>SUMIFS(Calc_NetworkV_1[United Energy],Calc_NetworkV_1[[Cost item]:[Cost item]],$C94,Calc_NetworkV_1[[Customer type]:[Customer type]],IF(ISNUMBER(SEARCH("Residential",$C$47)),"Residential","Small business"))</f>
        <v>8.7899999999999992E-2</v>
      </c>
      <c r="K94" t="s">
        <v>508</v>
      </c>
      <c r="L94" s="102">
        <f>SUMIFS(Calc_NetworkV_2[Ausnet],Calc_NetworkV_2[[Cost item]:[Cost item]],$K94,Calc_NetworkV_2[[Customer type]:[Customer type]],IF(ISNUMBER(SEARCH("Residential",$K$47)),"Residential","Small business"))</f>
        <v>0</v>
      </c>
      <c r="M94" s="102">
        <f>SUMIFS(Calc_NetworkV_2[Citipower],Calc_NetworkV_2[[Cost item]:[Cost item]],$K94,Calc_NetworkV_2[[Customer type]:[Customer type]],IF(ISNUMBER(SEARCH("Residential",$K$47)),"Residential","Small business"))</f>
        <v>8.2100000000000006E-2</v>
      </c>
      <c r="N94" s="102">
        <f>SUMIFS(Calc_NetworkV_2[Jemena],Calc_NetworkV_2[[Cost item]:[Cost item]],$K94,Calc_NetworkV_2[[Customer type]:[Customer type]],IF(ISNUMBER(SEARCH("Residential",$K$47)),"Residential","Small business"))</f>
        <v>0.10973000000000001</v>
      </c>
      <c r="O94" s="102">
        <f>SUMIFS(Calc_NetworkV_2[Powercor],Calc_NetworkV_2[[Cost item]:[Cost item]],$K94,Calc_NetworkV_2[[Customer type]:[Customer type]],IF(ISNUMBER(SEARCH("Residential",$K$47)),"Residential","Small business"))</f>
        <v>9.2899999999999996E-2</v>
      </c>
      <c r="P94" s="102">
        <f>SUMIFS(Calc_NetworkV_2[United Energy],Calc_NetworkV_2[[Cost item]:[Cost item]],$K94,Calc_NetworkV_2[[Customer type]:[Customer type]],IF(ISNUMBER(SEARCH("Residential",$K$47)),"Residential","Small business"))</f>
        <v>8.7899999999999992E-2</v>
      </c>
    </row>
    <row r="96" spans="3:16" ht="15.75" x14ac:dyDescent="0.25">
      <c r="C96" s="43" t="s">
        <v>550</v>
      </c>
      <c r="K96" s="43" t="s">
        <v>550</v>
      </c>
    </row>
    <row r="97" spans="3:16" x14ac:dyDescent="0.25">
      <c r="C97" t="s">
        <v>515</v>
      </c>
      <c r="D97" s="102" t="str" cm="1">
        <f t="array" ref="D97">IF(ISNUMBER(SEARCH("Residential",$C$47)),
INDEX(OP_RatesTU_RES_1[Ausnet],MATCH(1,(OP_RatesTU_RES_1[Cost element]="Network")*(OP_RatesTU_RES_1[Rate name]=CH_CostStack_SME!$C97),0),1),
INDEX(OP_RatesTU_SME_1[Ausnet],MATCH(1,(OP_RatesTU_SME_1[Cost element]="Network")*(OP_RatesTU_SME_1[Rate name]=CH_CostStack_SME!$C97),0),1))</f>
        <v>-</v>
      </c>
      <c r="E97" s="102" t="str" cm="1">
        <f t="array" ref="E97">IF(ISNUMBER(SEARCH("Residential",$C$47)),
INDEX(OP_RatesTU_RES_1[Citipower],MATCH(1,(OP_RatesTU_RES_1[Cost element]="Network")*(OP_RatesTU_RES_1[Rate name]=CH_CostStack_SME!$C97),0),1),
INDEX(OP_RatesTU_SME_1[Citipower],MATCH(1,(OP_RatesTU_SME_1[Cost element]="Network")*(OP_RatesTU_SME_1[Rate name]=CH_CostStack_SME!$C97),0),1))</f>
        <v>-</v>
      </c>
      <c r="F97" s="102" t="str" cm="1">
        <f t="array" ref="F97">IF(ISNUMBER(SEARCH("Residential",$C$47)),
INDEX(OP_RatesTU_RES_1[Jemena],MATCH(1,(OP_RatesTU_RES_1[Cost element]="Network")*(OP_RatesTU_RES_1[Rate name]=CH_CostStack_SME!$C97),0),1),
INDEX(OP_RatesTU_SME_1[Jemena],MATCH(1,(OP_RatesTU_SME_1[Cost element]="Network")*(OP_RatesTU_SME_1[Rate name]=CH_CostStack_SME!$C97),0),1))</f>
        <v>-</v>
      </c>
      <c r="G97" s="102" t="str" cm="1">
        <f t="array" ref="G97">IF(ISNUMBER(SEARCH("Residential",$C$47)),
INDEX(OP_RatesTU_RES_1[Powercor],MATCH(1,(OP_RatesTU_RES_1[Cost element]="Network")*(OP_RatesTU_RES_1[Rate name]=CH_CostStack_SME!$C97),0),1),
INDEX(OP_RatesTU_SME_1[Powercor],MATCH(1,(OP_RatesTU_SME_1[Cost element]="Network")*(OP_RatesTU_SME_1[Rate name]=CH_CostStack_SME!$C97),0),1))</f>
        <v>-</v>
      </c>
      <c r="H97" s="102" t="str" cm="1">
        <f t="array" ref="H97">IF(ISNUMBER(SEARCH("Residential",$C$47)),
INDEX(OP_RatesTU_RES_1[United Energy],MATCH(1,(OP_RatesTU_RES_1[Cost element]="Network")*(OP_RatesTU_RES_1[Rate name]=CH_CostStack_SME!$C97),0),1),
INDEX(OP_RatesTU_SME_1[United Energy],MATCH(1,(OP_RatesTU_SME_1[Cost element]="Network")*(OP_RatesTU_SME_1[Rate name]=CH_CostStack_SME!$C97),0),1))</f>
        <v>-</v>
      </c>
      <c r="K97" t="s">
        <v>515</v>
      </c>
      <c r="L97" s="102" cm="1">
        <f t="array" ref="L97">IF(ISNUMBER(SEARCH("Residential",$C$47)),
INDEX(OP_RatesTU_RES_2[Ausnet],MATCH(1,(OP_RatesTU_RES_2[Cost element]="Network")*(OP_RatesTU_RES_2[Rate name]=CH_CostStack_SME!$K97),0),1),
INDEX(OP_RatesTU_SME_2[Ausnet],MATCH(1,(OP_RatesTU_SME_2[Cost element]="Network")*(OP_RatesTU_SME_2[Rate name]=CH_CostStack_SME!$K97),0),1))</f>
        <v>0.14155426304843055</v>
      </c>
      <c r="M97" s="102" cm="1">
        <f t="array" ref="M97">IF(ISNUMBER(SEARCH("Residential",$C$47)),
INDEX(OP_RatesTU_RES_2[Citipower],MATCH(1,(OP_RatesTU_RES_2[Cost element]="Network")*(OP_RatesTU_RES_2[Rate name]=CH_CostStack_SME!$K97),0),1),
INDEX(OP_RatesTU_SME_2[Citipower],MATCH(1,(OP_RatesTU_SME_2[Cost element]="Network")*(OP_RatesTU_SME_2[Rate name]=CH_CostStack_SME!$K97),0),1))</f>
        <v>5.0997769858831137E-2</v>
      </c>
      <c r="N97" s="102" cm="1">
        <f t="array" ref="N97">IF(ISNUMBER(SEARCH("Residential",$C$47)),
INDEX(OP_RatesTU_RES_2[Jemena],MATCH(1,(OP_RatesTU_RES_2[Cost element]="Network")*(OP_RatesTU_RES_2[Rate name]=CH_CostStack_SME!$K97),0),1),
INDEX(OP_RatesTU_SME_2[Jemena],MATCH(1,(OP_RatesTU_SME_2[Cost element]="Network")*(OP_RatesTU_SME_2[Rate name]=CH_CostStack_SME!$K97),0),1))</f>
        <v>0.14652115442345531</v>
      </c>
      <c r="O97" s="102" cm="1">
        <f t="array" ref="O97">IF(ISNUMBER(SEARCH("Residential",$C$47)),
INDEX(OP_RatesTU_RES_2[Powercor],MATCH(1,(OP_RatesTU_RES_2[Cost element]="Network")*(OP_RatesTU_RES_2[Rate name]=CH_CostStack_SME!$K97),0),1),
INDEX(OP_RatesTU_SME_2[Powercor],MATCH(1,(OP_RatesTU_SME_2[Cost element]="Network")*(OP_RatesTU_SME_2[Rate name]=CH_CostStack_SME!$K97),0),1))</f>
        <v>6.5334232735095366E-2</v>
      </c>
      <c r="P97" s="102" cm="1">
        <f t="array" ref="P97">IF(ISNUMBER(SEARCH("Residential",$C$47)),
INDEX(OP_RatesTU_RES_2[United Energy],MATCH(1,(OP_RatesTU_RES_2[Cost element]="Network")*(OP_RatesTU_RES_2[Rate name]=CH_CostStack_SME!$K97),0),1),
INDEX(OP_RatesTU_SME_2[United Energy],MATCH(1,(OP_RatesTU_SME_2[Cost element]="Network")*(OP_RatesTU_SME_2[Rate name]=CH_CostStack_SME!$K97),0),1))</f>
        <v>-4.0499060250920585E-3</v>
      </c>
    </row>
    <row r="99" spans="3:16" ht="15.75" x14ac:dyDescent="0.25">
      <c r="C99" s="43" t="s">
        <v>551</v>
      </c>
      <c r="K99" s="43" t="s">
        <v>551</v>
      </c>
    </row>
    <row r="100" spans="3:16" x14ac:dyDescent="0.25">
      <c r="C100" t="s">
        <v>230</v>
      </c>
      <c r="D100" s="102" cm="1">
        <f t="array" ref="D100">IF(ISNUMBER(SEARCH("Residential",$C$47)),
INDEX(OP_RatesTU_RES_1[Ausnet],MATCH(1,(OP_RatesTU_RES_1[[Cost element]:[Cost element]]="Environmental")*(OP_RatesTU_RES_1[[Rate name]:[Rate name]]=CH_CostStack_RES!$C100),0),1),
INDEX(OP_RatesTU_SME_1[Ausnet],MATCH(1,(OP_RatesTU_SME_1[[Cost element]:[Cost element]]="Environmental")*(OP_RatesTU_SME_1[[Rate name]:[Rate name]]=CH_CostStack_RES!$C100),0),1))</f>
        <v>0</v>
      </c>
      <c r="E100" s="102" cm="1">
        <f t="array" ref="E100">IF(ISNUMBER(SEARCH("Residential",$C$47)),
INDEX(OP_RatesTU_RES_1[Citipower],MATCH(1,(OP_RatesTU_RES_1[[Cost element]:[Cost element]]="Environmental")*(OP_RatesTU_RES_1[[Rate name]:[Rate name]]=CH_CostStack_RES!$C100),0),1),
INDEX(OP_RatesTU_SME_1[Citipower],MATCH(1,(OP_RatesTU_SME_1[[Cost element]:[Cost element]]="Environmental")*(OP_RatesTU_SME_1[[Rate name]:[Rate name]]=CH_CostStack_RES!$C100),0),1))</f>
        <v>0</v>
      </c>
      <c r="F100" s="102" cm="1">
        <f t="array" ref="F100">IF(ISNUMBER(SEARCH("Residential",$C$47)),
INDEX(OP_RatesTU_RES_1[Jemena],MATCH(1,(OP_RatesTU_RES_1[[Cost element]:[Cost element]]="Environmental")*(OP_RatesTU_RES_1[[Rate name]:[Rate name]]=CH_CostStack_RES!$C100),0),1),
INDEX(OP_RatesTU_SME_1[Jemena],MATCH(1,(OP_RatesTU_SME_1[[Cost element]:[Cost element]]="Environmental")*(OP_RatesTU_SME_1[[Rate name]:[Rate name]]=CH_CostStack_RES!$C100),0),1))</f>
        <v>0</v>
      </c>
      <c r="G100" s="102" cm="1">
        <f t="array" ref="G100">IF(ISNUMBER(SEARCH("Residential",$C$47)),
INDEX(OP_RatesTU_RES_1[Powercor],MATCH(1,(OP_RatesTU_RES_1[[Cost element]:[Cost element]]="Environmental")*(OP_RatesTU_RES_1[[Rate name]:[Rate name]]=CH_CostStack_RES!$C100),0),1),
INDEX(OP_RatesTU_SME_1[Powercor],MATCH(1,(OP_RatesTU_SME_1[[Cost element]:[Cost element]]="Environmental")*(OP_RatesTU_SME_1[[Rate name]:[Rate name]]=CH_CostStack_RES!$C100),0),1))</f>
        <v>0</v>
      </c>
      <c r="H100" s="102" cm="1">
        <f t="array" ref="H100">IF(ISNUMBER(SEARCH("Residential",$C$47)),
INDEX(OP_RatesTU_RES_1[United Energy],MATCH(1,(OP_RatesTU_RES_1[[Cost element]:[Cost element]]="Environmental")*(OP_RatesTU_RES_1[[Rate name]:[Rate name]]=CH_CostStack_RES!$C100),0),1),
INDEX(OP_RatesTU_SME_1[United Energy],MATCH(1,(OP_RatesTU_SME_1[[Cost element]:[Cost element]]="Environmental")*(OP_RatesTU_SME_1[[Rate name]:[Rate name]]=CH_CostStack_RES!$C100),0),1))</f>
        <v>0</v>
      </c>
      <c r="K100" t="s">
        <v>230</v>
      </c>
      <c r="L100" s="102" cm="1">
        <f t="array" ref="L100">IF(ISNUMBER(SEARCH("Residential",$K$47)),
INDEX(OP_RatesTU_RES_2[Ausnet],MATCH(1,(OP_RatesTU_RES_2[[Cost element]:[Cost element]]="Environmental")*(OP_RatesTU_RES_2[[Rate name]:[Rate name]]=CH_CostStack_RES!$C100),0),1),
INDEX(OP_RatesTU_SME_2[Ausnet],MATCH(1,(OP_RatesTU_SME_2[[Cost element]:[Cost element]]="Environmental")*(OP_RatesTU_SME_2[[Rate name]:[Rate name]]=CH_CostStack_RES!$C100),0),1))</f>
        <v>6.66713910181736E-3</v>
      </c>
      <c r="M100" s="102" cm="1">
        <f t="array" ref="M100">IF(ISNUMBER(SEARCH("Residential",$K$47)),
INDEX(OP_RatesTU_RES_2[Citipower],MATCH(1,(OP_RatesTU_RES_2[[Cost element]:[Cost element]]="Environmental")*(OP_RatesTU_RES_2[[Rate name]:[Rate name]]=CH_CostStack_RES!$C100),0),1),
INDEX(OP_RatesTU_SME_2[Citipower],MATCH(1,(OP_RatesTU_SME_2[[Cost element]:[Cost element]]="Environmental")*(OP_RatesTU_SME_2[[Rate name]:[Rate name]]=CH_CostStack_RES!$C100),0),1))</f>
        <v>0</v>
      </c>
      <c r="N100" s="102" cm="1">
        <f t="array" ref="N100">IF(ISNUMBER(SEARCH("Residential",$K$47)),
INDEX(OP_RatesTU_RES_2[Jemena],MATCH(1,(OP_RatesTU_RES_2[[Cost element]:[Cost element]]="Environmental")*(OP_RatesTU_RES_2[[Rate name]:[Rate name]]=CH_CostStack_RES!$C100),0),1),
INDEX(OP_RatesTU_SME_2[Jemena],MATCH(1,(OP_RatesTU_SME_2[[Cost element]:[Cost element]]="Environmental")*(OP_RatesTU_SME_2[[Rate name]:[Rate name]]=CH_CostStack_RES!$C100),0),1))</f>
        <v>0</v>
      </c>
      <c r="O100" s="102" cm="1">
        <f t="array" ref="O100">IF(ISNUMBER(SEARCH("Residential",$K$47)),
INDEX(OP_RatesTU_RES_2[Powercor],MATCH(1,(OP_RatesTU_RES_2[[Cost element]:[Cost element]]="Environmental")*(OP_RatesTU_RES_2[[Rate name]:[Rate name]]=CH_CostStack_RES!$C100),0),1),
INDEX(OP_RatesTU_SME_2[Powercor],MATCH(1,(OP_RatesTU_SME_2[[Cost element]:[Cost element]]="Environmental")*(OP_RatesTU_SME_2[[Rate name]:[Rate name]]=CH_CostStack_RES!$C100),0),1))</f>
        <v>0</v>
      </c>
      <c r="P100" s="102" cm="1">
        <f t="array" ref="P100">IF(ISNUMBER(SEARCH("Residential",$K$47)),
INDEX(OP_RatesTU_RES_2[United Energy],MATCH(1,(OP_RatesTU_RES_2[[Cost element]:[Cost element]]="Environmental")*(OP_RatesTU_RES_2[[Rate name]:[Rate name]]=CH_CostStack_RES!$C100),0),1),
INDEX(OP_RatesTU_SME_2[United Energy],MATCH(1,(OP_RatesTU_SME_2[[Cost element]:[Cost element]]="Environmental")*(OP_RatesTU_SME_2[[Rate name]:[Rate name]]=CH_CostStack_RES!$C100),0),1))</f>
        <v>0</v>
      </c>
    </row>
    <row r="101" spans="3:16" x14ac:dyDescent="0.25">
      <c r="C101" t="s">
        <v>237</v>
      </c>
      <c r="D101" s="102" cm="1">
        <f t="array" ref="D101">IF(ISNUMBER(SEARCH("Residential",$C$47)),
INDEX(OP_RatesTU_RES_1[Ausnet],MATCH(1,(OP_RatesTU_RES_1[[Cost element]:[Cost element]]="Environmental")*(OP_RatesTU_RES_1[[Rate name]:[Rate name]]=CH_CostStack_RES!$C101),0),1),
INDEX(OP_RatesTU_SME_1[Ausnet],MATCH(1,(OP_RatesTU_SME_1[[Cost element]:[Cost element]]="Environmental")*(OP_RatesTU_SME_1[[Rate name]:[Rate name]]=CH_CostStack_RES!$C101),0),1))</f>
        <v>0</v>
      </c>
      <c r="E101" s="102" cm="1">
        <f t="array" ref="E101">IF(ISNUMBER(SEARCH("Residential",$C$47)),
INDEX(OP_RatesTU_RES_1[Citipower],MATCH(1,(OP_RatesTU_RES_1[[Cost element]:[Cost element]]="Environmental")*(OP_RatesTU_RES_1[[Rate name]:[Rate name]]=CH_CostStack_RES!$C101),0),1),
INDEX(OP_RatesTU_SME_1[Citipower],MATCH(1,(OP_RatesTU_SME_1[[Cost element]:[Cost element]]="Environmental")*(OP_RatesTU_SME_1[[Rate name]:[Rate name]]=CH_CostStack_RES!$C101),0),1))</f>
        <v>0</v>
      </c>
      <c r="F101" s="102" cm="1">
        <f t="array" ref="F101">IF(ISNUMBER(SEARCH("Residential",$C$47)),
INDEX(OP_RatesTU_RES_1[Jemena],MATCH(1,(OP_RatesTU_RES_1[[Cost element]:[Cost element]]="Environmental")*(OP_RatesTU_RES_1[[Rate name]:[Rate name]]=CH_CostStack_RES!$C101),0),1),
INDEX(OP_RatesTU_SME_1[Jemena],MATCH(1,(OP_RatesTU_SME_1[[Cost element]:[Cost element]]="Environmental")*(OP_RatesTU_SME_1[[Rate name]:[Rate name]]=CH_CostStack_RES!$C101),0),1))</f>
        <v>0</v>
      </c>
      <c r="G101" s="102" cm="1">
        <f t="array" ref="G101">IF(ISNUMBER(SEARCH("Residential",$C$47)),
INDEX(OP_RatesTU_RES_1[Powercor],MATCH(1,(OP_RatesTU_RES_1[[Cost element]:[Cost element]]="Environmental")*(OP_RatesTU_RES_1[[Rate name]:[Rate name]]=CH_CostStack_RES!$C101),0),1),
INDEX(OP_RatesTU_SME_1[Powercor],MATCH(1,(OP_RatesTU_SME_1[[Cost element]:[Cost element]]="Environmental")*(OP_RatesTU_SME_1[[Rate name]:[Rate name]]=CH_CostStack_RES!$C101),0),1))</f>
        <v>0</v>
      </c>
      <c r="H101" s="102" cm="1">
        <f t="array" ref="H101">IF(ISNUMBER(SEARCH("Residential",$C$47)),
INDEX(OP_RatesTU_RES_1[United Energy],MATCH(1,(OP_RatesTU_RES_1[[Cost element]:[Cost element]]="Environmental")*(OP_RatesTU_RES_1[[Rate name]:[Rate name]]=CH_CostStack_RES!$C101),0),1),
INDEX(OP_RatesTU_SME_1[United Energy],MATCH(1,(OP_RatesTU_SME_1[[Cost element]:[Cost element]]="Environmental")*(OP_RatesTU_SME_1[[Rate name]:[Rate name]]=CH_CostStack_RES!$C101),0),1))</f>
        <v>0</v>
      </c>
      <c r="K101" t="s">
        <v>237</v>
      </c>
      <c r="L101" s="102" cm="1">
        <f t="array" ref="L101">IF(ISNUMBER(SEARCH("Residential",$K$47)),
INDEX(OP_RatesTU_RES_2[Ausnet],MATCH(1,(OP_RatesTU_RES_2[[Cost element]:[Cost element]]="Environmental")*(OP_RatesTU_RES_2[[Rate name]:[Rate name]]=CH_CostStack_RES!$C101),0),1),
INDEX(OP_RatesTU_SME_2[Ausnet],MATCH(1,(OP_RatesTU_SME_2[[Cost element]:[Cost element]]="Environmental")*(OP_RatesTU_SME_2[[Rate name]:[Rate name]]=CH_CostStack_RES!$C101),0),1))</f>
        <v>6.66713910181736E-3</v>
      </c>
      <c r="M101" s="102" cm="1">
        <f t="array" ref="M101">IF(ISNUMBER(SEARCH("Residential",$K$47)),
INDEX(OP_RatesTU_RES_2[Citipower],MATCH(1,(OP_RatesTU_RES_2[[Cost element]:[Cost element]]="Environmental")*(OP_RatesTU_RES_2[[Rate name]:[Rate name]]=CH_CostStack_RES!$C101),0),1),
INDEX(OP_RatesTU_SME_2[Citipower],MATCH(1,(OP_RatesTU_SME_2[[Cost element]:[Cost element]]="Environmental")*(OP_RatesTU_SME_2[[Rate name]:[Rate name]]=CH_CostStack_RES!$C101),0),1))</f>
        <v>0</v>
      </c>
      <c r="N101" s="102" cm="1">
        <f t="array" ref="N101">IF(ISNUMBER(SEARCH("Residential",$K$47)),
INDEX(OP_RatesTU_RES_2[Jemena],MATCH(1,(OP_RatesTU_RES_2[[Cost element]:[Cost element]]="Environmental")*(OP_RatesTU_RES_2[[Rate name]:[Rate name]]=CH_CostStack_RES!$C101),0),1),
INDEX(OP_RatesTU_SME_2[Jemena],MATCH(1,(OP_RatesTU_SME_2[[Cost element]:[Cost element]]="Environmental")*(OP_RatesTU_SME_2[[Rate name]:[Rate name]]=CH_CostStack_RES!$C101),0),1))</f>
        <v>0</v>
      </c>
      <c r="O101" s="102" cm="1">
        <f t="array" ref="O101">IF(ISNUMBER(SEARCH("Residential",$K$47)),
INDEX(OP_RatesTU_RES_2[Powercor],MATCH(1,(OP_RatesTU_RES_2[[Cost element]:[Cost element]]="Environmental")*(OP_RatesTU_RES_2[[Rate name]:[Rate name]]=CH_CostStack_RES!$C101),0),1),
INDEX(OP_RatesTU_SME_2[Powercor],MATCH(1,(OP_RatesTU_SME_2[[Cost element]:[Cost element]]="Environmental")*(OP_RatesTU_SME_2[[Rate name]:[Rate name]]=CH_CostStack_RES!$C101),0),1))</f>
        <v>0</v>
      </c>
      <c r="P101" s="102" cm="1">
        <f t="array" ref="P101">IF(ISNUMBER(SEARCH("Residential",$K$47)),
INDEX(OP_RatesTU_RES_2[United Energy],MATCH(1,(OP_RatesTU_RES_2[[Cost element]:[Cost element]]="Environmental")*(OP_RatesTU_RES_2[[Rate name]:[Rate name]]=CH_CostStack_RES!$C101),0),1),
INDEX(OP_RatesTU_SME_2[United Energy],MATCH(1,(OP_RatesTU_SME_2[[Cost element]:[Cost element]]="Environmental")*(OP_RatesTU_SME_2[[Rate name]:[Rate name]]=CH_CostStack_RES!$C101),0),1))</f>
        <v>0</v>
      </c>
    </row>
    <row r="102" spans="3:16" x14ac:dyDescent="0.25">
      <c r="C102" t="s">
        <v>508</v>
      </c>
      <c r="D102" s="102" cm="1">
        <f t="array" ref="D102">IF(ISNUMBER(SEARCH("Residential",$C$47)),
INDEX(OP_RatesTU_RES_1[Ausnet],MATCH(1,(OP_RatesTU_RES_1[[Cost element]:[Cost element]]="Environmental")*(OP_RatesTU_RES_1[[Rate name]:[Rate name]]=CH_CostStack_RES!$C102),0),1),
INDEX(OP_RatesTU_SME_1[Ausnet],MATCH(1,(OP_RatesTU_SME_1[[Cost element]:[Cost element]]="Environmental")*(OP_RatesTU_SME_1[[Rate name]:[Rate name]]=CH_CostStack_RES!$C102),0),1))</f>
        <v>0</v>
      </c>
      <c r="E102" s="102" cm="1">
        <f t="array" ref="E102">IF(ISNUMBER(SEARCH("Residential",$C$47)),
INDEX(OP_RatesTU_RES_1[Citipower],MATCH(1,(OP_RatesTU_RES_1[[Cost element]:[Cost element]]="Environmental")*(OP_RatesTU_RES_1[[Rate name]:[Rate name]]=CH_CostStack_RES!$C102),0),1),
INDEX(OP_RatesTU_SME_1[Citipower],MATCH(1,(OP_RatesTU_SME_1[[Cost element]:[Cost element]]="Environmental")*(OP_RatesTU_SME_1[[Rate name]:[Rate name]]=CH_CostStack_RES!$C102),0),1))</f>
        <v>0</v>
      </c>
      <c r="F102" s="102" cm="1">
        <f t="array" ref="F102">IF(ISNUMBER(SEARCH("Residential",$C$47)),
INDEX(OP_RatesTU_RES_1[Jemena],MATCH(1,(OP_RatesTU_RES_1[[Cost element]:[Cost element]]="Environmental")*(OP_RatesTU_RES_1[[Rate name]:[Rate name]]=CH_CostStack_RES!$C102),0),1),
INDEX(OP_RatesTU_SME_1[Jemena],MATCH(1,(OP_RatesTU_SME_1[[Cost element]:[Cost element]]="Environmental")*(OP_RatesTU_SME_1[[Rate name]:[Rate name]]=CH_CostStack_RES!$C102),0),1))</f>
        <v>0</v>
      </c>
      <c r="G102" s="102" cm="1">
        <f t="array" ref="G102">IF(ISNUMBER(SEARCH("Residential",$C$47)),
INDEX(OP_RatesTU_RES_1[Powercor],MATCH(1,(OP_RatesTU_RES_1[[Cost element]:[Cost element]]="Environmental")*(OP_RatesTU_RES_1[[Rate name]:[Rate name]]=CH_CostStack_RES!$C102),0),1),
INDEX(OP_RatesTU_SME_1[Powercor],MATCH(1,(OP_RatesTU_SME_1[[Cost element]:[Cost element]]="Environmental")*(OP_RatesTU_SME_1[[Rate name]:[Rate name]]=CH_CostStack_RES!$C102),0),1))</f>
        <v>0</v>
      </c>
      <c r="H102" s="102" cm="1">
        <f t="array" ref="H102">IF(ISNUMBER(SEARCH("Residential",$C$47)),
INDEX(OP_RatesTU_RES_1[United Energy],MATCH(1,(OP_RatesTU_RES_1[[Cost element]:[Cost element]]="Environmental")*(OP_RatesTU_RES_1[[Rate name]:[Rate name]]=CH_CostStack_RES!$C102),0),1),
INDEX(OP_RatesTU_SME_1[United Energy],MATCH(1,(OP_RatesTU_SME_1[[Cost element]:[Cost element]]="Environmental")*(OP_RatesTU_SME_1[[Rate name]:[Rate name]]=CH_CostStack_RES!$C102),0),1))</f>
        <v>0</v>
      </c>
      <c r="K102" t="s">
        <v>508</v>
      </c>
      <c r="L102" s="102" cm="1">
        <f t="array" ref="L102">IF(ISNUMBER(SEARCH("Residential",$K$47)),
INDEX(OP_RatesTU_RES_2[Ausnet],MATCH(1,(OP_RatesTU_RES_2[[Cost element]:[Cost element]]="Environmental")*(OP_RatesTU_RES_2[[Rate name]:[Rate name]]=CH_CostStack_RES!$C102),0),1),
INDEX(OP_RatesTU_SME_2[Ausnet],MATCH(1,(OP_RatesTU_SME_2[[Cost element]:[Cost element]]="Environmental")*(OP_RatesTU_SME_2[[Rate name]:[Rate name]]=CH_CostStack_RES!$C102),0),1))</f>
        <v>0</v>
      </c>
      <c r="M102" s="102" cm="1">
        <f t="array" ref="M102">IF(ISNUMBER(SEARCH("Residential",$K$47)),
INDEX(OP_RatesTU_RES_2[Citipower],MATCH(1,(OP_RatesTU_RES_2[[Cost element]:[Cost element]]="Environmental")*(OP_RatesTU_RES_2[[Rate name]:[Rate name]]=CH_CostStack_RES!$C102),0),1),
INDEX(OP_RatesTU_SME_2[Citipower],MATCH(1,(OP_RatesTU_SME_2[[Cost element]:[Cost element]]="Environmental")*(OP_RatesTU_SME_2[[Rate name]:[Rate name]]=CH_CostStack_RES!$C102),0),1))</f>
        <v>6.5518983001313221E-3</v>
      </c>
      <c r="N102" s="102" cm="1">
        <f t="array" ref="N102">IF(ISNUMBER(SEARCH("Residential",$K$47)),
INDEX(OP_RatesTU_RES_2[Jemena],MATCH(1,(OP_RatesTU_RES_2[[Cost element]:[Cost element]]="Environmental")*(OP_RatesTU_RES_2[[Rate name]:[Rate name]]=CH_CostStack_RES!$C102),0),1),
INDEX(OP_RatesTU_SME_2[Jemena],MATCH(1,(OP_RatesTU_SME_2[[Cost element]:[Cost element]]="Environmental")*(OP_RatesTU_SME_2[[Rate name]:[Rate name]]=CH_CostStack_RES!$C102),0),1))</f>
        <v>6.4834552967827147E-3</v>
      </c>
      <c r="O102" s="102" cm="1">
        <f t="array" ref="O102">IF(ISNUMBER(SEARCH("Residential",$K$47)),
INDEX(OP_RatesTU_RES_2[Powercor],MATCH(1,(OP_RatesTU_RES_2[[Cost element]:[Cost element]]="Environmental")*(OP_RatesTU_RES_2[[Rate name]:[Rate name]]=CH_CostStack_RES!$C102),0),1),
INDEX(OP_RatesTU_SME_2[Powercor],MATCH(1,(OP_RatesTU_SME_2[[Cost element]:[Cost element]]="Environmental")*(OP_RatesTU_SME_2[[Rate name]:[Rate name]]=CH_CostStack_RES!$C102),0),1))</f>
        <v>6.6923795662660671E-3</v>
      </c>
      <c r="P102" s="102" cm="1">
        <f t="array" ref="P102">IF(ISNUMBER(SEARCH("Residential",$K$47)),
INDEX(OP_RatesTU_RES_2[United Energy],MATCH(1,(OP_RatesTU_RES_2[[Cost element]:[Cost element]]="Environmental")*(OP_RatesTU_RES_2[[Rate name]:[Rate name]]=CH_CostStack_RES!$C102),0),1),
INDEX(OP_RatesTU_SME_2[United Energy],MATCH(1,(OP_RatesTU_SME_2[[Cost element]:[Cost element]]="Environmental")*(OP_RatesTU_SME_2[[Rate name]:[Rate name]]=CH_CostStack_RES!$C102),0),1))</f>
        <v>6.5757968919376237E-3</v>
      </c>
    </row>
  </sheetData>
  <sheetProtection algorithmName="SHA-512" hashValue="fde+jDsLSOGKzlJ/gfMULUZm0ogbYCjGnd5qglJuEGmP7gqwL75FYDs0YNBLIHBsG1BKD07/wG6MykByv7fL5w==" saltValue="TJO2Q9M9T98xSBMdkPb7IA==" spinCount="100000" sheet="1" objects="1" scenarios="1"/>
  <mergeCells count="1">
    <mergeCell ref="A2:A3"/>
  </mergeCells>
  <dataValidations count="1">
    <dataValidation type="list" allowBlank="1" showInputMessage="1" showErrorMessage="1" sqref="D31" xr:uid="{2E8B7F87-4F81-4FCB-B793-DAA18FF4F06D}">
      <formula1>$D$53:$I$53</formula1>
    </dataValidation>
  </dataValidations>
  <pageMargins left="0.7" right="0.7" top="0.75" bottom="0.75" header="0.3" footer="0.3"/>
  <pageSetup paperSize="9" orientation="portrait" r:id="rId1"/>
  <drawing r:id="rId2"/>
  <tableParts count="2">
    <tablePart r:id="rId3"/>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9CEFFA8B-1223-4CEE-B827-FFA85CDBC99F}">
          <x14:formula1>
            <xm:f>'Lookup refs'!$I$8:$I$13</xm:f>
          </x14:formula1>
          <xm:sqref>C47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C0B42-988F-48F2-BE8F-46EF970AD3F0}">
  <sheetPr>
    <tabColor rgb="FFFFB13F"/>
  </sheetPr>
  <dimension ref="A1:BL201"/>
  <sheetViews>
    <sheetView showGridLines="0" zoomScale="70" zoomScaleNormal="70" workbookViewId="0">
      <pane xSplit="6" ySplit="3" topLeftCell="G4" activePane="bottomRight" state="frozen"/>
      <selection activeCell="AQ60" sqref="AQ60"/>
      <selection pane="topRight" activeCell="AQ60" sqref="AQ60"/>
      <selection pane="bottomLeft" activeCell="AQ60" sqref="AQ60"/>
      <selection pane="bottomRight" activeCell="AS27" sqref="AS27"/>
    </sheetView>
  </sheetViews>
  <sheetFormatPr defaultColWidth="9.140625" defaultRowHeight="15" outlineLevelRow="1" outlineLevelCol="1" x14ac:dyDescent="0.25"/>
  <cols>
    <col min="1" max="1" width="100.7109375" hidden="1" customWidth="1" outlineLevel="1"/>
    <col min="2" max="2" width="10.7109375" style="6" customWidth="1" collapsed="1"/>
    <col min="3" max="3" width="15.5703125" customWidth="1"/>
    <col min="4" max="4" width="40.5703125" customWidth="1"/>
    <col min="5" max="7" width="15.5703125" customWidth="1"/>
    <col min="8" max="12" width="15.5703125" hidden="1" customWidth="1" outlineLevel="1"/>
    <col min="13" max="13" width="5.5703125" customWidth="1" collapsed="1"/>
    <col min="14" max="14" width="15.5703125" customWidth="1"/>
    <col min="15" max="19" width="15.5703125" customWidth="1" outlineLevel="1"/>
    <col min="20" max="20" width="5.5703125" customWidth="1"/>
    <col min="21" max="21" width="15.5703125" customWidth="1"/>
    <col min="22" max="26" width="15.5703125" hidden="1" customWidth="1" outlineLevel="1"/>
    <col min="27" max="27" width="5.5703125" customWidth="1" collapsed="1"/>
    <col min="28" max="28" width="15.5703125" customWidth="1"/>
    <col min="29" max="33" width="15.5703125" hidden="1" customWidth="1" outlineLevel="1"/>
    <col min="34" max="34" width="15.5703125" customWidth="1" collapsed="1"/>
    <col min="35" max="35" width="15.5703125" customWidth="1"/>
    <col min="36" max="40" width="15.5703125" hidden="1" customWidth="1" outlineLevel="1"/>
    <col min="41" max="41" width="15.5703125" customWidth="1" collapsed="1"/>
    <col min="42" max="64" width="15.5703125" customWidth="1"/>
  </cols>
  <sheetData>
    <row r="1" spans="1:64" ht="15" customHeight="1" x14ac:dyDescent="0.25">
      <c r="A1" s="1" t="s">
        <v>27</v>
      </c>
      <c r="B1" s="22"/>
      <c r="C1" s="23"/>
      <c r="D1" s="23"/>
      <c r="E1" s="125" t="s">
        <v>422</v>
      </c>
      <c r="F1" s="97"/>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row>
    <row r="2" spans="1:64" s="4" customFormat="1" ht="50.1" customHeight="1" x14ac:dyDescent="0.25">
      <c r="A2" s="293" t="s">
        <v>28</v>
      </c>
      <c r="B2" s="26"/>
      <c r="C2" s="26" t="str">
        <f>Disclaimer!$B$1</f>
        <v>VDO calculation model</v>
      </c>
      <c r="D2" s="26"/>
      <c r="E2" s="202" t="str">
        <f>Calc_Rates!$D$5</f>
        <v>VDO 2021 - Variation final</v>
      </c>
      <c r="F2" s="202" t="str">
        <f>Calc_Rates!$D$251</f>
        <v>VDO 2022 - Final</v>
      </c>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row>
    <row r="3" spans="1:64" s="4" customFormat="1" ht="30" customHeight="1" x14ac:dyDescent="0.25">
      <c r="A3" s="294"/>
      <c r="B3" s="28">
        <f ca="1">_xlfn.SHEET()</f>
        <v>19</v>
      </c>
      <c r="C3" s="27" t="s">
        <v>617</v>
      </c>
      <c r="D3" s="27"/>
      <c r="E3" s="96">
        <f>SUM(G22:L22,G94:L94)</f>
        <v>0</v>
      </c>
      <c r="F3" s="96">
        <f>SUM(N22:S22,N94:S94)</f>
        <v>0</v>
      </c>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row>
    <row r="4" spans="1:64" x14ac:dyDescent="0.25">
      <c r="B4"/>
    </row>
    <row r="5" spans="1:64" ht="16.5" thickBot="1" x14ac:dyDescent="0.3">
      <c r="B5" s="9">
        <f ca="1">MAX(B$3:B4)+0.1</f>
        <v>19.100000000000001</v>
      </c>
      <c r="C5" s="29" t="s">
        <v>100</v>
      </c>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row>
    <row r="6" spans="1:64" outlineLevel="1" x14ac:dyDescent="0.25">
      <c r="B6"/>
    </row>
    <row r="7" spans="1:64" ht="15.75" outlineLevel="1" x14ac:dyDescent="0.25">
      <c r="D7" s="55" t="s">
        <v>99</v>
      </c>
      <c r="E7" s="105" t="s">
        <v>100</v>
      </c>
      <c r="N7" s="138"/>
      <c r="O7" s="138"/>
      <c r="P7" s="138"/>
      <c r="Q7" s="138"/>
      <c r="R7" s="138"/>
      <c r="S7" s="138"/>
    </row>
    <row r="8" spans="1:64" outlineLevel="1" x14ac:dyDescent="0.25">
      <c r="G8" s="138"/>
      <c r="H8" s="138"/>
      <c r="I8" s="138"/>
      <c r="J8" s="138"/>
      <c r="K8" s="138"/>
      <c r="L8" s="138"/>
      <c r="N8" s="138"/>
      <c r="O8" s="138"/>
      <c r="P8" s="138"/>
      <c r="Q8" s="138"/>
      <c r="R8" s="138"/>
      <c r="S8" s="138"/>
    </row>
    <row r="9" spans="1:64" ht="15.75" outlineLevel="1" x14ac:dyDescent="0.25">
      <c r="D9" s="55" t="s">
        <v>620</v>
      </c>
      <c r="F9" s="108" t="s">
        <v>238</v>
      </c>
      <c r="G9" s="105" cm="1">
        <f t="array" ref="G9">INDEX(Input_Usage[[F-CurrentVDO_Input]:[F-NextVDO_Input]],MATCH(1,(Input_Usage[[Profile name]:[Profile name]]=$E$7&amp;" - medium")*(Input_Usage[[Usage type]:[Usage type]]=$F9),0),MATCH($G$17,Inputs!$I$133:$M$133,0))</f>
        <v>4000</v>
      </c>
      <c r="I9" s="55" t="s">
        <v>513</v>
      </c>
      <c r="J9" s="83" t="str">
        <f>INDEX(Inputs!$H$10:$Q$10,1,MATCH($G$17,Inputs!$H$8:$Q$8,0))</f>
        <v>VF-CurrentVDO_Input</v>
      </c>
      <c r="K9" s="189" t="str">
        <f>INDEX(Input_TUNet_Dates[[F-CurrentVDO_Input]:[F-NextVDO_Input]],MATCH(I9,Input_TUNet_Dates[Item],0),MATCH(J9,Input_TUNet_Dates[[#Headers],[F-CurrentVDO_Input]:[F-NextVDO_Input]],0))</f>
        <v>-</v>
      </c>
      <c r="N9" s="105" cm="1">
        <f t="array" ref="N9">INDEX(Input_Usage[[F-CurrentVDO_Input]:[F-NextVDO_Input]],MATCH(1,(Input_Usage[[Profile name]:[Profile name]]=$E$7&amp;" - medium")*(Input_Usage[[Usage type]:[Usage type]]=$F9),0),MATCH($N$17,Inputs!$I$133:$M$133,0))</f>
        <v>4000</v>
      </c>
      <c r="P9" s="55" t="s">
        <v>513</v>
      </c>
      <c r="Q9" s="83" t="str">
        <f>INDEX(Inputs!$H$10:$Q$10,1,MATCH($N$17,Inputs!$H$8:$Q$8,0))</f>
        <v>F-NextVDO_Input</v>
      </c>
      <c r="R9" s="189">
        <f>INDEX(Input_TUNet_Dates[[F-CurrentVDO_Input]:[F-NextVDO_Input]],MATCH(P9,Input_TUNet_Dates[Item],0),MATCH(Q9,Input_TUNet_Dates[[#Headers],[F-CurrentVDO_Input]:[F-NextVDO_Input]],0))</f>
        <v>44562</v>
      </c>
      <c r="AB9" s="120"/>
      <c r="AI9" s="124"/>
    </row>
    <row r="10" spans="1:64" ht="15.75" outlineLevel="1" x14ac:dyDescent="0.25">
      <c r="F10" s="108" t="s">
        <v>230</v>
      </c>
      <c r="G10" s="105" cm="1">
        <f t="array" ref="G10">INDEX(Input_Usage[[F-CurrentVDO_Input]:[F-NextVDO_Input]],MATCH(1,(Input_Usage[[Profile name]:[Profile name]]=$E$7&amp;" - medium")*(Input_Usage[[Usage type]:[Usage type]]=$F10),0),MATCH($G$17,Inputs!$I$133:$M$133,0))</f>
        <v>4000</v>
      </c>
      <c r="I10" s="55" t="s">
        <v>514</v>
      </c>
      <c r="J10" s="83" t="str">
        <f>INDEX(Inputs!$H$10:$Q$10,1,MATCH($G$17,Inputs!$H$8:$Q$8,0))</f>
        <v>VF-CurrentVDO_Input</v>
      </c>
      <c r="K10" s="189" t="str">
        <f>INDEX(Input_TUNet_Dates[[F-CurrentVDO_Input]:[F-NextVDO_Input]],MATCH(I10,Input_TUNet_Dates[Item],0),MATCH(J10,Input_TUNet_Dates[[#Headers],[F-CurrentVDO_Input]:[F-NextVDO_Input]],0))</f>
        <v>-</v>
      </c>
      <c r="N10" s="105" cm="1">
        <f t="array" ref="N10">INDEX(Input_Usage[[F-CurrentVDO_Input]:[F-NextVDO_Input]],MATCH(1,(Input_Usage[[Profile name]:[Profile name]]=$E$7&amp;" - medium")*(Input_Usage[[Usage type]:[Usage type]]=$F10),0),MATCH($N$17,Inputs!$I$133:$M$133,0))</f>
        <v>4000</v>
      </c>
      <c r="P10" s="55" t="s">
        <v>514</v>
      </c>
      <c r="Q10" s="83" t="str">
        <f>INDEX(Inputs!$H$10:$Q$10,1,MATCH($N$17,Inputs!$H$8:$Q$8,0))</f>
        <v>F-NextVDO_Input</v>
      </c>
      <c r="R10" s="189">
        <f>INDEX(Input_TUNet_Dates[[F-CurrentVDO_Input]:[F-NextVDO_Input]],MATCH(P10,Input_TUNet_Dates[Item],0),MATCH(Q10,Input_TUNet_Dates[[#Headers],[F-CurrentVDO_Input]:[F-NextVDO_Input]],0))</f>
        <v>44742</v>
      </c>
      <c r="U10" s="124"/>
    </row>
    <row r="11" spans="1:64" ht="15.75" outlineLevel="1" x14ac:dyDescent="0.25">
      <c r="F11" s="108" t="s">
        <v>237</v>
      </c>
      <c r="G11" s="105" cm="1">
        <f t="array" ref="G11">INDEX(Input_Usage[[F-CurrentVDO_Input]:[F-NextVDO_Input]],MATCH(1,(Input_Usage[[Profile name]:[Profile name]]=$E$7&amp;" - medium")*(Input_Usage[[Usage type]:[Usage type]]=$F11),0),MATCH($G$17,Inputs!$I$133:$M$133,0))</f>
        <v>0</v>
      </c>
      <c r="I11" s="30"/>
      <c r="N11" s="105" cm="1">
        <f t="array" ref="N11">INDEX(Input_Usage[[F-CurrentVDO_Input]:[F-NextVDO_Input]],MATCH(1,(Input_Usage[[Profile name]:[Profile name]]=$E$7&amp;" - medium")*(Input_Usage[[Usage type]:[Usage type]]=$F11),0),MATCH($N$17,Inputs!$I$133:$M$133,0))</f>
        <v>0</v>
      </c>
      <c r="P11" s="30"/>
      <c r="AB11" s="114"/>
    </row>
    <row r="12" spans="1:64" ht="15.75" outlineLevel="1" x14ac:dyDescent="0.25">
      <c r="F12" s="108" t="s">
        <v>296</v>
      </c>
      <c r="G12" s="105" cm="1">
        <f t="array" ref="G12">INDEX(Input_Usage[[F-CurrentVDO_Input]:[F-NextVDO_Input]],MATCH(1,(Input_Usage[[Profile name]:[Profile name]]=$E$7&amp;" - medium")*(Input_Usage[[Usage type]:[Usage type]]=$F12),0),MATCH($G$17,Inputs!$I$133:$M$133,0))</f>
        <v>2000</v>
      </c>
      <c r="I12" s="55" t="s">
        <v>574</v>
      </c>
      <c r="K12" s="229" t="str">
        <f>IFERROR(_xlfn.DAYS(K10,K9)+1,"-")</f>
        <v>-</v>
      </c>
      <c r="N12" s="105" cm="1">
        <f t="array" ref="N12">INDEX(Input_Usage[[F-CurrentVDO_Input]:[F-NextVDO_Input]],MATCH(1,(Input_Usage[[Profile name]:[Profile name]]=$E$7&amp;" - medium")*(Input_Usage[[Usage type]:[Usage type]]=$F12),0),MATCH($N$17,Inputs!$I$133:$M$133,0))</f>
        <v>2000</v>
      </c>
      <c r="P12" s="55" t="s">
        <v>574</v>
      </c>
      <c r="R12" s="229">
        <f>IFERROR(_xlfn.DAYS(R10,R9)+1,"-")</f>
        <v>181</v>
      </c>
    </row>
    <row r="13" spans="1:64" outlineLevel="1" x14ac:dyDescent="0.25"/>
    <row r="14" spans="1:64" ht="15.75" outlineLevel="1" x14ac:dyDescent="0.25">
      <c r="I14" s="55" t="s">
        <v>658</v>
      </c>
      <c r="J14" t="s">
        <v>525</v>
      </c>
      <c r="K14" s="83" t="str">
        <f>INDEX(Input_DecisionActual[Decision],MATCH(K15,Input_DecisionActual[Actual],0),1)</f>
        <v>VDO 2021 - Final</v>
      </c>
      <c r="L14" s="77">
        <f>INDEX(Input_TU_Periods[[F-CurrentVDO_Input]:[F-NextVDO_Input]],1,MATCH(K14,Inputs!$F$237:$J$237,0))</f>
        <v>365</v>
      </c>
      <c r="P14" s="55" t="s">
        <v>658</v>
      </c>
      <c r="Q14" t="s">
        <v>525</v>
      </c>
      <c r="R14" s="83" t="str">
        <f>INDEX(Input_DecisionActual[Decision],MATCH(R15,Input_DecisionActual[Actual],0),1)</f>
        <v>VDO 2021 - Final</v>
      </c>
      <c r="S14" s="77">
        <f>INDEX(Input_TU_Periods[[F-CurrentVDO_Input]:[F-NextVDO_Input]],1,MATCH(R14,Inputs!$F$237:$J$237,0))</f>
        <v>365</v>
      </c>
    </row>
    <row r="15" spans="1:64" ht="15.75" outlineLevel="1" x14ac:dyDescent="0.25">
      <c r="I15" s="55" t="s">
        <v>658</v>
      </c>
      <c r="J15" t="s">
        <v>524</v>
      </c>
      <c r="K15" s="83" t="str">
        <f>G17</f>
        <v>VDO 2021 - Variation final</v>
      </c>
      <c r="L15" s="77">
        <f>INDEX(Input_TU_Periods[[F-CurrentVDO_Input]:[F-NextVDO_Input]],1,MATCH(K15,Inputs!$F$237:$J$237,0))</f>
        <v>62</v>
      </c>
      <c r="P15" s="55" t="s">
        <v>658</v>
      </c>
      <c r="Q15" t="s">
        <v>524</v>
      </c>
      <c r="R15" s="83" t="str">
        <f>N17</f>
        <v>VDO 2022 - Final</v>
      </c>
      <c r="S15" s="77">
        <f>INDEX(Input_TU_Periods[[F-CurrentVDO_Input]:[F-NextVDO_Input]],1,MATCH(R15,Inputs!$F$237:$J$237,0))</f>
        <v>181</v>
      </c>
    </row>
    <row r="16" spans="1:64" ht="15.75" outlineLevel="1" x14ac:dyDescent="0.25">
      <c r="I16" s="55" t="s">
        <v>657</v>
      </c>
      <c r="L16" s="241">
        <f>L14/L15</f>
        <v>5.887096774193548</v>
      </c>
      <c r="P16" s="55" t="s">
        <v>657</v>
      </c>
      <c r="S16" s="241">
        <f>S14/S15</f>
        <v>2.0165745856353592</v>
      </c>
    </row>
    <row r="17" spans="3:47" ht="30" outlineLevel="1" x14ac:dyDescent="0.25">
      <c r="G17" s="202" t="str">
        <f>Calc_Rates!$D$5</f>
        <v>VDO 2021 - Variation final</v>
      </c>
      <c r="N17" s="202" t="str">
        <f>Calc_Rates!$D$251</f>
        <v>VDO 2022 - Final</v>
      </c>
      <c r="U17" s="30" t="s">
        <v>328</v>
      </c>
      <c r="AB17" s="30" t="s">
        <v>619</v>
      </c>
      <c r="AI17" s="30" t="str">
        <f>"% of overall cost stack ("&amp;N17&amp;" values)"</f>
        <v>% of overall cost stack (VDO 2022 - Final values)</v>
      </c>
    </row>
    <row r="18" spans="3:47" ht="15.75" outlineLevel="1" x14ac:dyDescent="0.25">
      <c r="G18" s="51" t="s">
        <v>383</v>
      </c>
      <c r="H18" s="223" t="s">
        <v>277</v>
      </c>
      <c r="I18" s="223" t="s">
        <v>278</v>
      </c>
      <c r="J18" s="223" t="s">
        <v>279</v>
      </c>
      <c r="K18" s="223" t="s">
        <v>280</v>
      </c>
      <c r="L18" s="223" t="s">
        <v>281</v>
      </c>
      <c r="N18" s="51" t="s">
        <v>383</v>
      </c>
      <c r="O18" s="223" t="s">
        <v>277</v>
      </c>
      <c r="P18" s="223" t="s">
        <v>278</v>
      </c>
      <c r="Q18" s="223" t="s">
        <v>279</v>
      </c>
      <c r="R18" s="223" t="s">
        <v>280</v>
      </c>
      <c r="S18" s="223" t="s">
        <v>281</v>
      </c>
      <c r="U18" s="51" t="s">
        <v>383</v>
      </c>
      <c r="V18" s="223" t="s">
        <v>277</v>
      </c>
      <c r="W18" s="223" t="s">
        <v>278</v>
      </c>
      <c r="X18" s="223" t="s">
        <v>279</v>
      </c>
      <c r="Y18" s="223" t="s">
        <v>280</v>
      </c>
      <c r="Z18" s="223" t="s">
        <v>281</v>
      </c>
      <c r="AB18" s="51" t="s">
        <v>383</v>
      </c>
      <c r="AC18" s="223" t="s">
        <v>277</v>
      </c>
      <c r="AD18" s="223" t="s">
        <v>278</v>
      </c>
      <c r="AE18" s="223" t="s">
        <v>279</v>
      </c>
      <c r="AF18" s="223" t="s">
        <v>280</v>
      </c>
      <c r="AG18" s="223" t="s">
        <v>281</v>
      </c>
      <c r="AI18" s="51" t="s">
        <v>383</v>
      </c>
      <c r="AJ18" s="223" t="s">
        <v>277</v>
      </c>
      <c r="AK18" s="223" t="s">
        <v>278</v>
      </c>
      <c r="AL18" s="223" t="s">
        <v>279</v>
      </c>
      <c r="AM18" s="223" t="s">
        <v>280</v>
      </c>
      <c r="AN18" s="223" t="s">
        <v>281</v>
      </c>
    </row>
    <row r="19" spans="3:47" outlineLevel="1" x14ac:dyDescent="0.25"/>
    <row r="20" spans="3:47" outlineLevel="1" x14ac:dyDescent="0.25">
      <c r="D20" t="s">
        <v>650</v>
      </c>
      <c r="G20" s="143">
        <f>ROUNDUP(AVERAGE(H20:L20),0)</f>
        <v>1412</v>
      </c>
      <c r="H20" s="143">
        <f>IF($E$7="Residential",
INDEX(CostStackCalcs_RES_1[[Ausnet]:[Average]],MATCH("Total",CostStackCalcs_RES_1[[Labels]:[Labels]],0),MATCH(H$18,CostStackCalcs_RES_1[[#Headers],[Ausnet]:[Average]],0)),
IF($E$7="Small business",
INDEX(CostStackCalcs_SME_1[[Ausnet]:[Average]],MATCH("Total",CostStackCalcs_SME_1[[Labels]:[Labels]],0),MATCH(H$18,CostStackCalcs_SME_1[[#Headers],[Ausnet]:[Average]],0)),"-"))</f>
        <v>1560</v>
      </c>
      <c r="I20" s="143">
        <f>IF($E$7="Residential",
INDEX(CostStackCalcs_RES_1[[Ausnet]:[Average]],MATCH("Total",CostStackCalcs_RES_1[[Labels]:[Labels]],0),MATCH(I$18,CostStackCalcs_RES_1[[#Headers],[Ausnet]:[Average]],0)),
IF($E$7="Small business",
INDEX(CostStackCalcs_SME_1[[Ausnet]:[Average]],MATCH("Total",CostStackCalcs_SME_1[[Labels]:[Labels]],0),MATCH(I$18,CostStackCalcs_SME_1[[#Headers],[Ausnet]:[Average]],0)),"-"))</f>
        <v>1336</v>
      </c>
      <c r="J20" s="143">
        <f>IF($E$7="Residential",
INDEX(CostStackCalcs_RES_1[[Ausnet]:[Average]],MATCH("Total",CostStackCalcs_RES_1[[Labels]:[Labels]],0),MATCH(J$18,CostStackCalcs_RES_1[[#Headers],[Ausnet]:[Average]],0)),
IF($E$7="Small business",
INDEX(CostStackCalcs_SME_1[[Ausnet]:[Average]],MATCH("Total",CostStackCalcs_SME_1[[Labels]:[Labels]],0),MATCH(J$18,CostStackCalcs_SME_1[[#Headers],[Ausnet]:[Average]],0)),"-"))</f>
        <v>1387</v>
      </c>
      <c r="K20" s="143">
        <f>IF($E$7="Residential",
INDEX(CostStackCalcs_RES_1[[Ausnet]:[Average]],MATCH("Total",CostStackCalcs_RES_1[[Labels]:[Labels]],0),MATCH(K$18,CostStackCalcs_RES_1[[#Headers],[Ausnet]:[Average]],0)),
IF($E$7="Small business",
INDEX(CostStackCalcs_SME_1[[Ausnet]:[Average]],MATCH("Total",CostStackCalcs_SME_1[[Labels]:[Labels]],0),MATCH(K$18,CostStackCalcs_SME_1[[#Headers],[Ausnet]:[Average]],0)),"-"))</f>
        <v>1425</v>
      </c>
      <c r="L20" s="143">
        <f>IF($E$7="Residential",
INDEX(CostStackCalcs_RES_1[[Ausnet]:[Average]],MATCH("Total",CostStackCalcs_RES_1[[Labels]:[Labels]],0),MATCH(L$18,CostStackCalcs_RES_1[[#Headers],[Ausnet]:[Average]],0)),
IF($E$7="Small business",
INDEX(CostStackCalcs_SME_1[[Ausnet]:[Average]],MATCH("Total",CostStackCalcs_SME_1[[Labels]:[Labels]],0),MATCH(L$18,CostStackCalcs_SME_1[[#Headers],[Ausnet]:[Average]],0)),"-"))</f>
        <v>1351</v>
      </c>
      <c r="N20" s="143">
        <f>ROUNDUP(AVERAGE(O20:S20),0)</f>
        <v>1343</v>
      </c>
      <c r="O20" s="143">
        <f>IF($E$7="Residential",
INDEX(CostStackCalcs_RES_2[[Ausnet]:[Average]],MATCH("Total",CostStackCalcs_RES_2[[Labels]:[Labels]],0),MATCH(O$18,CostStackCalcs_RES_2[[#Headers],[Ausnet]:[Average]],0)),
IF($E$7="Small business",
INDEX(CostStackCalcs_SME_2[[Ausnet]:[Average]],MATCH("Total",CostStackCalcs_SME_2[[Labels]:[Labels]],0),MATCH(O$18,CostStackCalcs_SME_2[[#Headers],[Ausnet]:[Average]],0)),"-"))</f>
        <v>1494</v>
      </c>
      <c r="P20" s="143">
        <f>IF($E$7="Residential",
INDEX(CostStackCalcs_RES_2[[Ausnet]:[Average]],MATCH("Total",CostStackCalcs_RES_2[[Labels]:[Labels]],0),MATCH(P$18,CostStackCalcs_RES_2[[#Headers],[Ausnet]:[Average]],0)),
IF($E$7="Small business",
INDEX(CostStackCalcs_SME_2[[Ausnet]:[Average]],MATCH("Total",CostStackCalcs_SME_2[[Labels]:[Labels]],0),MATCH(P$18,CostStackCalcs_SME_2[[#Headers],[Ausnet]:[Average]],0)),"-"))</f>
        <v>1278</v>
      </c>
      <c r="Q20" s="143">
        <f>IF($E$7="Residential",
INDEX(CostStackCalcs_RES_2[[Ausnet]:[Average]],MATCH("Total",CostStackCalcs_RES_2[[Labels]:[Labels]],0),MATCH(Q$18,CostStackCalcs_RES_2[[#Headers],[Ausnet]:[Average]],0)),
IF($E$7="Small business",
INDEX(CostStackCalcs_SME_2[[Ausnet]:[Average]],MATCH("Total",CostStackCalcs_SME_2[[Labels]:[Labels]],0),MATCH(Q$18,CostStackCalcs_SME_2[[#Headers],[Ausnet]:[Average]],0)),"-"))</f>
        <v>1315</v>
      </c>
      <c r="R20" s="143">
        <f>IF($E$7="Residential",
INDEX(CostStackCalcs_RES_2[[Ausnet]:[Average]],MATCH("Total",CostStackCalcs_RES_2[[Labels]:[Labels]],0),MATCH(R$18,CostStackCalcs_RES_2[[#Headers],[Ausnet]:[Average]],0)),
IF($E$7="Small business",
INDEX(CostStackCalcs_SME_2[[Ausnet]:[Average]],MATCH("Total",CostStackCalcs_SME_2[[Labels]:[Labels]],0),MATCH(R$18,CostStackCalcs_SME_2[[#Headers],[Ausnet]:[Average]],0)),"-"))</f>
        <v>1358</v>
      </c>
      <c r="S20" s="143">
        <f>IF($E$7="Residential",
INDEX(CostStackCalcs_RES_2[[Ausnet]:[Average]],MATCH("Total",CostStackCalcs_RES_2[[Labels]:[Labels]],0),MATCH(S$18,CostStackCalcs_RES_2[[#Headers],[Ausnet]:[Average]],0)),
IF($E$7="Small business",
INDEX(CostStackCalcs_SME_2[[Ausnet]:[Average]],MATCH("Total",CostStackCalcs_SME_2[[Labels]:[Labels]],0),MATCH(S$18,CostStackCalcs_SME_2[[#Headers],[Ausnet]:[Average]],0)),"-"))</f>
        <v>1266</v>
      </c>
      <c r="U20" s="143">
        <f>IFERROR(N20-G20,"-")</f>
        <v>-69</v>
      </c>
      <c r="V20" s="143">
        <f>IFERROR(O20-H20,"-")</f>
        <v>-66</v>
      </c>
      <c r="W20" s="143">
        <f t="shared" ref="W20:Z20" si="0">IFERROR(P20-I20,"-")</f>
        <v>-58</v>
      </c>
      <c r="X20" s="143">
        <f t="shared" si="0"/>
        <v>-72</v>
      </c>
      <c r="Y20" s="143">
        <f t="shared" si="0"/>
        <v>-67</v>
      </c>
      <c r="Z20" s="143">
        <f t="shared" si="0"/>
        <v>-85</v>
      </c>
      <c r="AB20" s="222">
        <f>IFERROR(U20/G$20,"-")</f>
        <v>-4.8866855524079322E-2</v>
      </c>
      <c r="AC20" s="222">
        <f t="shared" ref="AC20:AG20" si="1">IFERROR(V20/H$20,"-")</f>
        <v>-4.230769230769231E-2</v>
      </c>
      <c r="AD20" s="222">
        <f t="shared" si="1"/>
        <v>-4.3413173652694613E-2</v>
      </c>
      <c r="AE20" s="222">
        <f>IFERROR(X20/J$20,"-")</f>
        <v>-5.1910598413842823E-2</v>
      </c>
      <c r="AF20" s="222">
        <f t="shared" si="1"/>
        <v>-4.7017543859649125E-2</v>
      </c>
      <c r="AG20" s="222">
        <f t="shared" si="1"/>
        <v>-6.2916358253145815E-2</v>
      </c>
      <c r="AI20" s="222">
        <f>IFERROR(N20/N$20,"-")</f>
        <v>1</v>
      </c>
      <c r="AJ20" s="222">
        <f t="shared" ref="AJ20:AN20" si="2">IFERROR(O20/O$20,"-")</f>
        <v>1</v>
      </c>
      <c r="AK20" s="222">
        <f t="shared" si="2"/>
        <v>1</v>
      </c>
      <c r="AL20" s="222">
        <f t="shared" si="2"/>
        <v>1</v>
      </c>
      <c r="AM20" s="222">
        <f t="shared" si="2"/>
        <v>1</v>
      </c>
      <c r="AN20" s="222">
        <f t="shared" si="2"/>
        <v>1</v>
      </c>
      <c r="AU20" s="114"/>
    </row>
    <row r="21" spans="3:47" outlineLevel="1" x14ac:dyDescent="0.25">
      <c r="D21" t="s">
        <v>651</v>
      </c>
      <c r="G21" s="143">
        <f>ROUNDUP(G24+G25+G48+G73+G30+G31+G32+G27,0)</f>
        <v>1412</v>
      </c>
      <c r="H21" s="143">
        <f>ROUNDUP(H24+H25+H48+H73+H30+H31+H32+H27,0)</f>
        <v>1560</v>
      </c>
      <c r="I21" s="143">
        <f>ROUNDUP(I24+I25+I48+I73+I30+I31+I32+I27,0)</f>
        <v>1336</v>
      </c>
      <c r="J21" s="143">
        <f t="shared" ref="J21:L21" si="3">ROUNDUP(J24+J25+J48+J73+J30+J31+J32+J27,0)</f>
        <v>1387</v>
      </c>
      <c r="K21" s="143">
        <f t="shared" si="3"/>
        <v>1425</v>
      </c>
      <c r="L21" s="143">
        <f t="shared" si="3"/>
        <v>1351</v>
      </c>
      <c r="N21" s="143">
        <f>ROUNDUP(N24+N25+N48+N73+N30+N31+N32+N27,0)</f>
        <v>1342</v>
      </c>
      <c r="O21" s="143">
        <f>ROUNDUP(O24+O25+O48+O73+O30+O31+O32+O27,0)</f>
        <v>1494</v>
      </c>
      <c r="P21" s="143">
        <f t="shared" ref="P21:S21" si="4">ROUNDUP(P24+P25+P48+P73+P30+P31+P32+P27,0)</f>
        <v>1278</v>
      </c>
      <c r="Q21" s="143">
        <f t="shared" si="4"/>
        <v>1315</v>
      </c>
      <c r="R21" s="143">
        <f t="shared" si="4"/>
        <v>1358</v>
      </c>
      <c r="S21" s="143">
        <f t="shared" si="4"/>
        <v>1266</v>
      </c>
      <c r="U21" s="143">
        <f t="shared" ref="U21:Y21" si="5">ROUNDUP(U24+U25+U48+U73+U30+U31+U32+U27,0)</f>
        <v>-70</v>
      </c>
      <c r="V21" s="143">
        <f t="shared" si="5"/>
        <v>-66</v>
      </c>
      <c r="W21" s="143">
        <f t="shared" si="5"/>
        <v>-59</v>
      </c>
      <c r="X21" s="143">
        <f t="shared" si="5"/>
        <v>-72</v>
      </c>
      <c r="Y21" s="143">
        <f t="shared" si="5"/>
        <v>-68</v>
      </c>
      <c r="Z21" s="143">
        <f>ROUNDUP(Z24+Z25+Z48+Z73+Z30+Z31+Z32+Z27,0)</f>
        <v>-85</v>
      </c>
      <c r="AB21" s="222">
        <f>AB24+AB25+AB48+AB73+AB30+AB31+AB32+AB27</f>
        <v>-4.9275643534423166E-2</v>
      </c>
      <c r="AC21" s="222">
        <f t="shared" ref="AC21:AG21" si="6">AC24+AC25+AC48+AC73+AC30+AC31+AC32+AC27</f>
        <v>-4.2087738394967322E-2</v>
      </c>
      <c r="AD21" s="222">
        <f t="shared" si="6"/>
        <v>-4.3663554986057389E-2</v>
      </c>
      <c r="AE21" s="222">
        <f t="shared" si="6"/>
        <v>-5.1878428297585974E-2</v>
      </c>
      <c r="AF21" s="222">
        <f t="shared" si="6"/>
        <v>-4.7196774385406724E-2</v>
      </c>
      <c r="AG21" s="222">
        <f t="shared" si="6"/>
        <v>-6.2682367466727992E-2</v>
      </c>
      <c r="AI21" s="159">
        <f>ROUNDUP(AI24+AI25+AI48+AI73+AI30+AI31+AI32+AI27,0)</f>
        <v>1</v>
      </c>
      <c r="AJ21" s="159">
        <f t="shared" ref="AJ21:AN21" si="7">ROUNDUP(AJ24+AJ25+AJ48+AJ73+AJ30+AJ31+AJ32+AJ27,0)</f>
        <v>1</v>
      </c>
      <c r="AK21" s="159">
        <f t="shared" si="7"/>
        <v>1</v>
      </c>
      <c r="AL21" s="159">
        <f t="shared" si="7"/>
        <v>1</v>
      </c>
      <c r="AM21" s="159">
        <f t="shared" si="7"/>
        <v>1</v>
      </c>
      <c r="AN21" s="159">
        <f t="shared" si="7"/>
        <v>1</v>
      </c>
      <c r="AU21" s="114"/>
    </row>
    <row r="22" spans="3:47" ht="15.75" outlineLevel="1" x14ac:dyDescent="0.25">
      <c r="G22" s="94">
        <f>IF(AND(G21-G20&lt;=1,G21-G20&gt;=-1),0,1)</f>
        <v>0</v>
      </c>
      <c r="H22" s="94">
        <f t="shared" ref="H22:L22" si="8">IF(AND(H21-H20&lt;=1,H21-H20&gt;=-1),0,1)</f>
        <v>0</v>
      </c>
      <c r="I22" s="94">
        <f>IF(AND(I21-I20&lt;=1,I21-I20&gt;=-1),0,1)</f>
        <v>0</v>
      </c>
      <c r="J22" s="94">
        <f t="shared" si="8"/>
        <v>0</v>
      </c>
      <c r="K22" s="94">
        <f t="shared" si="8"/>
        <v>0</v>
      </c>
      <c r="L22" s="94">
        <f t="shared" si="8"/>
        <v>0</v>
      </c>
      <c r="N22" s="94">
        <f>IF(AND(N21-N20&lt;=1,N21-N20&gt;=-1),0,1)</f>
        <v>0</v>
      </c>
      <c r="O22" s="94">
        <f t="shared" ref="O22" si="9">IF(AND(O21-O20&lt;=1,O21-O20&gt;=-1),0,1)</f>
        <v>0</v>
      </c>
      <c r="P22" s="94">
        <f t="shared" ref="P22" si="10">IF(AND(P21-P20&lt;=1,P21-P20&gt;=-1),0,1)</f>
        <v>0</v>
      </c>
      <c r="Q22" s="94">
        <f t="shared" ref="Q22" si="11">IF(AND(Q21-Q20&lt;=1,Q21-Q20&gt;=-1),0,1)</f>
        <v>0</v>
      </c>
      <c r="R22" s="94">
        <f t="shared" ref="R22" si="12">IF(AND(R21-R20&lt;=1,R21-R20&gt;=-1),0,1)</f>
        <v>0</v>
      </c>
      <c r="S22" s="94">
        <f t="shared" ref="S22" si="13">IF(AND(S21-S20&lt;=1,S21-S20&gt;=-1),0,1)</f>
        <v>0</v>
      </c>
      <c r="U22" s="94">
        <f>IF(AND(U21-U20&lt;=1,U21-U20&gt;=-1),0,1)</f>
        <v>0</v>
      </c>
      <c r="V22" s="94">
        <f t="shared" ref="V22" si="14">IF(AND(V21-V20&lt;=1,V21-V20&gt;=-1),0,1)</f>
        <v>0</v>
      </c>
      <c r="W22" s="94">
        <f t="shared" ref="W22" si="15">IF(AND(W21-W20&lt;=1,W21-W20&gt;=-1),0,1)</f>
        <v>0</v>
      </c>
      <c r="X22" s="94">
        <f t="shared" ref="X22" si="16">IF(AND(X21-X20&lt;=1,X21-X20&gt;=-1),0,1)</f>
        <v>0</v>
      </c>
      <c r="Y22" s="94">
        <f t="shared" ref="Y22" si="17">IF(AND(Y21-Y20&lt;=1,Y21-Y20&gt;=-1),0,1)</f>
        <v>0</v>
      </c>
      <c r="Z22" s="94">
        <f t="shared" ref="Z22" si="18">IF(AND(Z21-Z20&lt;=1,Z21-Z20&gt;=-1),0,1)</f>
        <v>0</v>
      </c>
      <c r="AB22" s="94">
        <f>IF(AND(AB21-AB20&lt;=0.01,AB21-AB20&gt;=-0.01),0,1)</f>
        <v>0</v>
      </c>
      <c r="AC22" s="94">
        <f t="shared" ref="AC22:AG22" si="19">IF(AND(AC21-AC20&lt;=0.01,AC21-AC20&gt;=-0.01),0,1)</f>
        <v>0</v>
      </c>
      <c r="AD22" s="94">
        <f t="shared" si="19"/>
        <v>0</v>
      </c>
      <c r="AE22" s="94">
        <f t="shared" si="19"/>
        <v>0</v>
      </c>
      <c r="AF22" s="94">
        <f t="shared" si="19"/>
        <v>0</v>
      </c>
      <c r="AG22" s="94">
        <f t="shared" si="19"/>
        <v>0</v>
      </c>
      <c r="AI22" s="94">
        <f t="shared" ref="AI22:AM22" si="20">IF(AND(AI21-AI20&lt;=0.01,AI21-AI20&gt;=-0.01),0,1)</f>
        <v>0</v>
      </c>
      <c r="AJ22" s="94">
        <f t="shared" si="20"/>
        <v>0</v>
      </c>
      <c r="AK22" s="94">
        <f t="shared" si="20"/>
        <v>0</v>
      </c>
      <c r="AL22" s="94">
        <f t="shared" si="20"/>
        <v>0</v>
      </c>
      <c r="AM22" s="94">
        <f t="shared" si="20"/>
        <v>0</v>
      </c>
      <c r="AN22" s="94">
        <f>IF(AND(AN21-AN20&lt;=0.01,AN21-AN20&gt;=-0.01),0,1)</f>
        <v>0</v>
      </c>
    </row>
    <row r="23" spans="3:47" outlineLevel="1" x14ac:dyDescent="0.25"/>
    <row r="24" spans="3:47" outlineLevel="1" x14ac:dyDescent="0.25">
      <c r="D24" t="s">
        <v>623</v>
      </c>
      <c r="G24" s="143">
        <f>AVERAGE(H24:L24)</f>
        <v>128.30681375845413</v>
      </c>
      <c r="H24" s="143">
        <f>((H48+H73)+H$25)*GST</f>
        <v>141.78016413694854</v>
      </c>
      <c r="I24" s="143">
        <f>((I48+I73)+I$25)*GST</f>
        <v>121.42905183340375</v>
      </c>
      <c r="J24" s="143">
        <f>((J48+J73)+J$25)*GST</f>
        <v>126.08647495041774</v>
      </c>
      <c r="K24" s="143">
        <f>((K48+K73)+K$25)*GST</f>
        <v>129.50988380290616</v>
      </c>
      <c r="L24" s="143">
        <f>((L48+L73)+L$25)*GST</f>
        <v>122.72849406859449</v>
      </c>
      <c r="N24" s="143">
        <f>AVERAGE(O24:S24)</f>
        <v>119.65338110674058</v>
      </c>
      <c r="O24" s="143">
        <f>((O48+O73)+O$25)*GST</f>
        <v>133.52405271899516</v>
      </c>
      <c r="P24" s="143">
        <f>((P48+P73)+P$25)*GST</f>
        <v>113.47289083665379</v>
      </c>
      <c r="Q24" s="143">
        <f>((Q48+Q73)+Q$25)*GST</f>
        <v>117.09526647310823</v>
      </c>
      <c r="R24" s="143">
        <f>((R48+R73)+R$25)*GST</f>
        <v>120.90849963659365</v>
      </c>
      <c r="S24" s="143">
        <f>((S48+S73)+S$25)*GST</f>
        <v>113.26619586835214</v>
      </c>
      <c r="U24" s="143">
        <f>IFERROR(N24-G24,"-")</f>
        <v>-8.653432651713544</v>
      </c>
      <c r="V24" s="143">
        <f t="shared" ref="V24:Z25" si="21">IFERROR(O24-H24,"-")</f>
        <v>-8.2561114179533774</v>
      </c>
      <c r="W24" s="143">
        <f t="shared" si="21"/>
        <v>-7.9561609967499578</v>
      </c>
      <c r="X24" s="143">
        <f t="shared" si="21"/>
        <v>-8.9912084773095131</v>
      </c>
      <c r="Y24" s="143">
        <f t="shared" si="21"/>
        <v>-8.6013841663125135</v>
      </c>
      <c r="Z24" s="143">
        <f t="shared" si="21"/>
        <v>-9.4622982002423441</v>
      </c>
      <c r="AB24" s="222">
        <f t="shared" ref="AB24:AG25" si="22">IFERROR(U24/G$20,"-")</f>
        <v>-6.1284933794005271E-3</v>
      </c>
      <c r="AC24" s="222">
        <f t="shared" si="22"/>
        <v>-5.2923791140726782E-3</v>
      </c>
      <c r="AD24" s="222">
        <f t="shared" si="22"/>
        <v>-5.955210326908651E-3</v>
      </c>
      <c r="AE24" s="222">
        <f t="shared" si="22"/>
        <v>-6.482486285010464E-3</v>
      </c>
      <c r="AF24" s="222">
        <f t="shared" si="22"/>
        <v>-6.0360590640789564E-3</v>
      </c>
      <c r="AG24" s="222">
        <f>IFERROR(Z24/L$20,"-")</f>
        <v>-7.0039216878181676E-3</v>
      </c>
      <c r="AI24" s="222">
        <f>IFERROR(N24/N$20,"-")</f>
        <v>8.9094103579106909E-2</v>
      </c>
      <c r="AJ24" s="222">
        <f t="shared" ref="AJ24" si="23">IFERROR(O24/O$20,"-")</f>
        <v>8.9373529263048979E-2</v>
      </c>
      <c r="AK24" s="222">
        <f t="shared" ref="AK24" si="24">IFERROR(P24/P$20,"-")</f>
        <v>8.8789429449650847E-2</v>
      </c>
      <c r="AL24" s="222">
        <f t="shared" ref="AL24" si="25">IFERROR(Q24/Q$20,"-")</f>
        <v>8.9045830017572797E-2</v>
      </c>
      <c r="AM24" s="222">
        <f t="shared" ref="AM24" si="26">IFERROR(R24/R$20,"-")</f>
        <v>8.9034241264060121E-2</v>
      </c>
      <c r="AN24" s="222">
        <f t="shared" ref="AN24" si="27">IFERROR(S24/S$20,"-")</f>
        <v>8.9467769248303436E-2</v>
      </c>
    </row>
    <row r="25" spans="3:47" outlineLevel="1" x14ac:dyDescent="0.25">
      <c r="D25" t="s">
        <v>624</v>
      </c>
      <c r="G25" s="143">
        <f>AVERAGE(H25:L25)</f>
        <v>73.083096482559696</v>
      </c>
      <c r="H25" s="143">
        <f>(H48+H73)*
INDEX(Input_ForRateCalc[[F-CurrentVDO_InputDate]:[F-NextVDO_Input]],
MATCH("Retail operating margin",Input_ForRateCalc[[Cost item]:[Cost item]],0),
MATCH($G$17,Inputs!$H$8:$Q$8,0))</f>
        <v>80.757468067443341</v>
      </c>
      <c r="I25" s="143">
        <f>(I48+I73)*
INDEX(Input_ForRateCalc[[F-CurrentVDO_InputDate]:[F-NextVDO_Input]],
MATCH("Retail operating margin",Input_ForRateCalc[[Cost item]:[Cost item]],0),
MATCH($G$17,Inputs!$H$8:$Q$8,0))</f>
        <v>69.165548196318241</v>
      </c>
      <c r="J25" s="143">
        <f>(J48+J73)*
INDEX(Input_ForRateCalc[[F-CurrentVDO_InputDate]:[F-NextVDO_Input]],
MATCH("Retail operating margin",Input_ForRateCalc[[Cost item]:[Cost item]],0),
MATCH($G$17,Inputs!$H$8:$Q$8,0))</f>
        <v>71.818399537959564</v>
      </c>
      <c r="K25" s="143">
        <f>(K48+K73)*
INDEX(Input_ForRateCalc[[F-CurrentVDO_InputDate]:[F-NextVDO_Input]],
MATCH("Retail operating margin",Input_ForRateCalc[[Cost item]:[Cost item]],0),
MATCH($G$17,Inputs!$H$8:$Q$8,0))</f>
        <v>73.768360823232101</v>
      </c>
      <c r="L25" s="143">
        <f>(L48+L73)*
INDEX(Input_ForRateCalc[[F-CurrentVDO_InputDate]:[F-NextVDO_Input]],
MATCH("Retail operating margin",Input_ForRateCalc[[Cost item]:[Cost item]],0),
MATCH($G$17,Inputs!$H$8:$Q$8,0))</f>
        <v>69.905705787845221</v>
      </c>
      <c r="N25" s="143">
        <f>AVERAGE(O25:S25)</f>
        <v>68.154132580602891</v>
      </c>
      <c r="O25" s="143">
        <f>(O48+O73)*
INDEX(Input_ForRateCalc[[F-CurrentVDO_InputDate]:[F-NextVDO_Input]],
MATCH("Retail operating margin",Input_ForRateCalc[[Cost item]:[Cost item]],0),
MATCH($N$17,Inputs!$H$8:$Q$8,0))</f>
        <v>76.054816901426889</v>
      </c>
      <c r="P25" s="143">
        <f>(P48+P73)*
INDEX(Input_ForRateCalc[[F-CurrentVDO_InputDate]:[F-NextVDO_Input]],
MATCH("Retail operating margin",Input_ForRateCalc[[Cost item]:[Cost item]],0),
MATCH($N$17,Inputs!$H$8:$Q$8,0))</f>
        <v>64.633747704016301</v>
      </c>
      <c r="Q25" s="143">
        <f>(Q48+Q73)*
INDEX(Input_ForRateCalc[[F-CurrentVDO_InputDate]:[F-NextVDO_Input]],
MATCH("Retail operating margin",Input_ForRateCalc[[Cost item]:[Cost item]],0),
MATCH($N$17,Inputs!$H$8:$Q$8,0))</f>
        <v>66.69703974892245</v>
      </c>
      <c r="R25" s="143">
        <f>(R48+R73)*
INDEX(Input_ForRateCalc[[F-CurrentVDO_InputDate]:[F-NextVDO_Input]],
MATCH("Retail operating margin",Input_ForRateCalc[[Cost item]:[Cost item]],0),
MATCH($N$17,Inputs!$H$8:$Q$8,0))</f>
        <v>68.869043550077862</v>
      </c>
      <c r="S25" s="143">
        <f>(S48+S73)*
INDEX(Input_ForRateCalc[[F-CurrentVDO_InputDate]:[F-NextVDO_Input]],
MATCH("Retail operating margin",Input_ForRateCalc[[Cost item]:[Cost item]],0),
MATCH($N$17,Inputs!$H$8:$Q$8,0))</f>
        <v>64.516014998570995</v>
      </c>
      <c r="U25" s="143">
        <f>IFERROR(N25-G25,"-")</f>
        <v>-4.9289639019568057</v>
      </c>
      <c r="V25" s="143">
        <f t="shared" si="21"/>
        <v>-4.7026511660164516</v>
      </c>
      <c r="W25" s="143">
        <f t="shared" si="21"/>
        <v>-4.5318004923019402</v>
      </c>
      <c r="X25" s="143">
        <f t="shared" si="21"/>
        <v>-5.1213597890371148</v>
      </c>
      <c r="Y25" s="143">
        <f t="shared" si="21"/>
        <v>-4.8993172731542387</v>
      </c>
      <c r="Z25" s="143">
        <f t="shared" si="21"/>
        <v>-5.3896907892742263</v>
      </c>
      <c r="AB25" s="222">
        <f t="shared" si="22"/>
        <v>-3.4907676359467463E-3</v>
      </c>
      <c r="AC25" s="222">
        <f t="shared" si="22"/>
        <v>-3.0145199782156741E-3</v>
      </c>
      <c r="AD25" s="222">
        <f t="shared" si="22"/>
        <v>-3.3920662367529493E-3</v>
      </c>
      <c r="AE25" s="222">
        <f t="shared" si="22"/>
        <v>-3.6924007130765065E-3</v>
      </c>
      <c r="AF25" s="222">
        <f t="shared" si="22"/>
        <v>-3.4381173846696413E-3</v>
      </c>
      <c r="AG25" s="222">
        <f t="shared" si="22"/>
        <v>-3.9894084302547934E-3</v>
      </c>
      <c r="AI25" s="222">
        <f>IFERROR(N25/N$20,"-")</f>
        <v>5.0747678764410192E-2</v>
      </c>
      <c r="AJ25" s="222">
        <f t="shared" ref="AJ25" si="28">IFERROR(O25/O$20,"-")</f>
        <v>5.0906838622106348E-2</v>
      </c>
      <c r="AK25" s="222">
        <f t="shared" ref="AK25" si="29">IFERROR(P25/P$20,"-")</f>
        <v>5.0574137483580833E-2</v>
      </c>
      <c r="AL25" s="222">
        <f t="shared" ref="AL25" si="30">IFERROR(Q25/Q$20,"-")</f>
        <v>5.0720182318572206E-2</v>
      </c>
      <c r="AM25" s="222">
        <f t="shared" ref="AM25" si="31">IFERROR(R25/R$20,"-")</f>
        <v>5.071358140653745E-2</v>
      </c>
      <c r="AN25" s="222">
        <f t="shared" ref="AN25" si="32">IFERROR(S25/S$20,"-")</f>
        <v>5.0960517376438384E-2</v>
      </c>
    </row>
    <row r="26" spans="3:47" outlineLevel="1" x14ac:dyDescent="0.25">
      <c r="AB26" s="124"/>
      <c r="AC26" s="124"/>
      <c r="AD26" s="124"/>
      <c r="AE26" s="124"/>
      <c r="AF26" s="124"/>
      <c r="AG26" s="124"/>
      <c r="AI26" s="124"/>
      <c r="AJ26" s="124"/>
      <c r="AK26" s="124"/>
      <c r="AL26" s="124"/>
      <c r="AM26" s="124"/>
      <c r="AN26" s="124"/>
    </row>
    <row r="27" spans="3:47" outlineLevel="1" x14ac:dyDescent="0.25">
      <c r="C27" t="s">
        <v>322</v>
      </c>
      <c r="D27" s="60" t="s">
        <v>130</v>
      </c>
      <c r="E27" s="60" t="s">
        <v>117</v>
      </c>
      <c r="G27" s="143">
        <f>AVERAGE(H27:L27)</f>
        <v>0</v>
      </c>
      <c r="H27" s="143" cm="1">
        <f t="array" ref="H27">IF(
INDEX(OP_RatesTU_RES_1[[Ausnet]:[United Energy]],
MATCH(1,(OP_RatesTU_RES_1[[Rate name]:[Rate name]]="Anytime")*(OP_RatesTU_RES_1[[Customer type]:[Customer type]]=$E$7),0),
MATCH(H$18,OP_RatesTU_RES_1[[#Headers],[Ausnet]:[United Energy]],0))="-",0,
INDEX(OP_RatesTU_RES_1[[Ausnet]:[United Energy]],
MATCH(1,(OP_RatesTU_RES_1[[Rate name]:[Rate name]]="Anytime")*(OP_RatesTU_RES_1[[Customer type]:[Customer type]]=$E$7),0),
MATCH(H$18,OP_RatesTU_RES_1[[#Headers],[Ausnet]:[United Energy]],0)))*IF($K$12="-",0,$K$12)</f>
        <v>0</v>
      </c>
      <c r="I27" s="143" cm="1">
        <f t="array" ref="I27">IF(
INDEX(OP_RatesTU_RES_1[[Ausnet]:[United Energy]],
MATCH(1,(OP_RatesTU_RES_1[[Rate name]:[Rate name]]="Anytime")*(OP_RatesTU_RES_1[[Customer type]:[Customer type]]=$E$7),0),
MATCH(I$18,OP_RatesTU_RES_1[[#Headers],[Ausnet]:[United Energy]],0))="-",0,
INDEX(OP_RatesTU_RES_1[[Ausnet]:[United Energy]],
MATCH(1,(OP_RatesTU_RES_1[[Rate name]:[Rate name]]="Anytime")*(OP_RatesTU_RES_1[[Customer type]:[Customer type]]=$E$7),0),
MATCH(I$18,OP_RatesTU_RES_1[[#Headers],[Ausnet]:[United Energy]],0)))*IF($K$12="-",0,$K$12)</f>
        <v>0</v>
      </c>
      <c r="J27" s="143" cm="1">
        <f t="array" ref="J27">IF(
INDEX(OP_RatesTU_RES_1[[Ausnet]:[United Energy]],
MATCH(1,(OP_RatesTU_RES_1[[Rate name]:[Rate name]]="Anytime")*(OP_RatesTU_RES_1[[Customer type]:[Customer type]]=$E$7),0),
MATCH(J$18,OP_RatesTU_RES_1[[#Headers],[Ausnet]:[United Energy]],0))="-",0,
INDEX(OP_RatesTU_RES_1[[Ausnet]:[United Energy]],
MATCH(1,(OP_RatesTU_RES_1[[Rate name]:[Rate name]]="Anytime")*(OP_RatesTU_RES_1[[Customer type]:[Customer type]]=$E$7),0),
MATCH(J$18,OP_RatesTU_RES_1[[#Headers],[Ausnet]:[United Energy]],0)))*IF($K$12="-",0,$K$12)</f>
        <v>0</v>
      </c>
      <c r="K27" s="143" cm="1">
        <f t="array" ref="K27">IF(
INDEX(OP_RatesTU_RES_1[[Ausnet]:[United Energy]],
MATCH(1,(OP_RatesTU_RES_1[[Rate name]:[Rate name]]="Anytime")*(OP_RatesTU_RES_1[[Customer type]:[Customer type]]=$E$7),0),
MATCH(K$18,OP_RatesTU_RES_1[[#Headers],[Ausnet]:[United Energy]],0))="-",0,
INDEX(OP_RatesTU_RES_1[[Ausnet]:[United Energy]],
MATCH(1,(OP_RatesTU_RES_1[[Rate name]:[Rate name]]="Anytime")*(OP_RatesTU_RES_1[[Customer type]:[Customer type]]=$E$7),0),
MATCH(K$18,OP_RatesTU_RES_1[[#Headers],[Ausnet]:[United Energy]],0)))*IF($K$12="-",0,$K$12)</f>
        <v>0</v>
      </c>
      <c r="L27" s="143" cm="1">
        <f t="array" ref="L27">IF(
INDEX(OP_RatesTU_RES_1[[Ausnet]:[United Energy]],
MATCH(1,(OP_RatesTU_RES_1[[Rate name]:[Rate name]]="Anytime")*(OP_RatesTU_RES_1[[Customer type]:[Customer type]]=$E$7),0),
MATCH(L$18,OP_RatesTU_RES_1[[#Headers],[Ausnet]:[United Energy]],0))="-",0,
INDEX(OP_RatesTU_RES_1[[Ausnet]:[United Energy]],
MATCH(1,(OP_RatesTU_RES_1[[Rate name]:[Rate name]]="Anytime")*(OP_RatesTU_RES_1[[Customer type]:[Customer type]]=$E$7),0),
MATCH(L$18,OP_RatesTU_RES_1[[#Headers],[Ausnet]:[United Energy]],0)))*IF($K$12="-",0,$K$12)</f>
        <v>0</v>
      </c>
      <c r="N27" s="143">
        <f>AVERAGE(O27:S27)</f>
        <v>12.530679555985406</v>
      </c>
      <c r="O27" s="143" cm="1">
        <f t="array" ref="O27">IF(
INDEX(OP_RatesTU_RES_2[[Ausnet]:[United Energy]],
MATCH(1,(OP_RatesTU_RES_2[[Rate name]:[Rate name]]="Anytime")*(OP_RatesTU_RES_2[[Customer type]:[Customer type]]=$E$7),0),
MATCH(O$18,OP_RatesTU_RES_2[[#Headers],[Ausnet]:[United Energy]],0))="-",0,
INDEX(OP_RatesTU_RES_2[[Ausnet]:[United Energy]],
MATCH(1,(OP_RatesTU_RES_2[[Rate name]:[Rate name]]="Anytime")*(OP_RatesTU_RES_2[[Customer type]:[Customer type]]=$E$7),0),
MATCH(O$18,OP_RatesTU_RES_2[[#Headers],[Ausnet]:[United Energy]],0)))*IF($R$12="-",0,$R$12)</f>
        <v>11.935672304856654</v>
      </c>
      <c r="P27" s="143" cm="1">
        <f t="array" ref="P27">IF(
INDEX(OP_RatesTU_RES_2[[Ausnet]:[United Energy]],
MATCH(1,(OP_RatesTU_RES_2[[Rate name]:[Rate name]]="Anytime")*(OP_RatesTU_RES_2[[Customer type]:[Customer type]]=$E$7),0),
MATCH(P$18,OP_RatesTU_RES_2[[#Headers],[Ausnet]:[United Energy]],0))="-",0,
INDEX(OP_RatesTU_RES_2[[Ausnet]:[United Energy]],
MATCH(1,(OP_RatesTU_RES_2[[Rate name]:[Rate name]]="Anytime")*(OP_RatesTU_RES_2[[Customer type]:[Customer type]]=$E$7),0),
MATCH(P$18,OP_RatesTU_RES_2[[#Headers],[Ausnet]:[United Energy]],0)))*IF($R$12="-",0,$R$12)</f>
        <v>16.187167340424587</v>
      </c>
      <c r="Q27" s="143" cm="1">
        <f t="array" ref="Q27">IF(
INDEX(OP_RatesTU_RES_2[[Ausnet]:[United Energy]],
MATCH(1,(OP_RatesTU_RES_2[[Rate name]:[Rate name]]="Anytime")*(OP_RatesTU_RES_2[[Customer type]:[Customer type]]=$E$7),0),
MATCH(Q$18,OP_RatesTU_RES_2[[#Headers],[Ausnet]:[United Energy]],0))="-",0,
INDEX(OP_RatesTU_RES_2[[Ausnet]:[United Energy]],
MATCH(1,(OP_RatesTU_RES_2[[Rate name]:[Rate name]]="Anytime")*(OP_RatesTU_RES_2[[Customer type]:[Customer type]]=$E$7),0),
MATCH(Q$18,OP_RatesTU_RES_2[[#Headers],[Ausnet]:[United Energy]],0)))*IF($R$12="-",0,$R$12)</f>
        <v>14.087579955431812</v>
      </c>
      <c r="R27" s="143" cm="1">
        <f t="array" ref="R27">IF(
INDEX(OP_RatesTU_RES_2[[Ausnet]:[United Energy]],
MATCH(1,(OP_RatesTU_RES_2[[Rate name]:[Rate name]]="Anytime")*(OP_RatesTU_RES_2[[Customer type]:[Customer type]]=$E$7),0),
MATCH(R$18,OP_RatesTU_RES_2[[#Headers],[Ausnet]:[United Energy]],0))="-",0,
INDEX(OP_RatesTU_RES_2[[Ausnet]:[United Energy]],
MATCH(1,(OP_RatesTU_RES_2[[Rate name]:[Rate name]]="Anytime")*(OP_RatesTU_RES_2[[Customer type]:[Customer type]]=$E$7),0),
MATCH(R$18,OP_RatesTU_RES_2[[#Headers],[Ausnet]:[United Energy]],0)))*IF($R$12="-",0,$R$12)</f>
        <v>14.085074916598433</v>
      </c>
      <c r="S27" s="143" cm="1">
        <f t="array" ref="S27">IF(
INDEX(OP_RatesTU_RES_2[[Ausnet]:[United Energy]],
MATCH(1,(OP_RatesTU_RES_2[[Rate name]:[Rate name]]="Anytime")*(OP_RatesTU_RES_2[[Customer type]:[Customer type]]=$E$7),0),
MATCH(S$18,OP_RatesTU_RES_2[[#Headers],[Ausnet]:[United Energy]],0))="-",0,
INDEX(OP_RatesTU_RES_2[[Ausnet]:[United Energy]],
MATCH(1,(OP_RatesTU_RES_2[[Rate name]:[Rate name]]="Anytime")*(OP_RatesTU_RES_2[[Customer type]:[Customer type]]=$E$7),0),
MATCH(S$18,OP_RatesTU_RES_2[[#Headers],[Ausnet]:[United Energy]],0)))*IF($R$12="-",0,$R$12)</f>
        <v>6.3579032626155501</v>
      </c>
      <c r="U27" s="143">
        <f>IFERROR(N27-G27,"-")</f>
        <v>12.530679555985406</v>
      </c>
      <c r="V27" s="143">
        <f t="shared" ref="V27:Z27" si="33">IFERROR(O27-H27,"-")</f>
        <v>11.935672304856654</v>
      </c>
      <c r="W27" s="143">
        <f t="shared" si="33"/>
        <v>16.187167340424587</v>
      </c>
      <c r="X27" s="143">
        <f t="shared" si="33"/>
        <v>14.087579955431812</v>
      </c>
      <c r="Y27" s="143">
        <f t="shared" si="33"/>
        <v>14.085074916598433</v>
      </c>
      <c r="Z27" s="143">
        <f t="shared" si="33"/>
        <v>6.3579032626155501</v>
      </c>
      <c r="AB27" s="222">
        <f>IFERROR(U27/G$20,"-")</f>
        <v>8.8744189489981633E-3</v>
      </c>
      <c r="AC27" s="222">
        <f t="shared" ref="AC27:AG27" si="34">IFERROR(V27/H$20,"-")</f>
        <v>7.6510719902927269E-3</v>
      </c>
      <c r="AD27" s="222">
        <f t="shared" si="34"/>
        <v>1.2116143218880679E-2</v>
      </c>
      <c r="AE27" s="222">
        <f t="shared" si="34"/>
        <v>1.0156870912351703E-2</v>
      </c>
      <c r="AF27" s="222">
        <f t="shared" si="34"/>
        <v>9.8842630993673224E-3</v>
      </c>
      <c r="AG27" s="222">
        <f t="shared" si="34"/>
        <v>4.7060719930537009E-3</v>
      </c>
      <c r="AI27" s="222">
        <f>IFERROR(N27/N$20,"-")</f>
        <v>9.3303645241886862E-3</v>
      </c>
      <c r="AJ27" s="222">
        <f t="shared" ref="AJ27" si="35">IFERROR(O27/O$20,"-")</f>
        <v>7.9890711545225254E-3</v>
      </c>
      <c r="AK27" s="222">
        <f t="shared" ref="AK27" si="36">IFERROR(P27/P$20,"-")</f>
        <v>1.2666015133352571E-2</v>
      </c>
      <c r="AL27" s="222">
        <f t="shared" ref="AL27" si="37">IFERROR(Q27/Q$20,"-")</f>
        <v>1.0712988559263736E-2</v>
      </c>
      <c r="AM27" s="222">
        <f t="shared" ref="AM27" si="38">IFERROR(R27/R$20,"-")</f>
        <v>1.0371925564505474E-2</v>
      </c>
      <c r="AN27" s="222">
        <f t="shared" ref="AN27" si="39">IFERROR(S27/S$20,"-")</f>
        <v>5.0220404917974328E-3</v>
      </c>
      <c r="AT27" s="231"/>
    </row>
    <row r="28" spans="3:47" outlineLevel="1" x14ac:dyDescent="0.25">
      <c r="AB28" s="124"/>
      <c r="AC28" s="124"/>
      <c r="AD28" s="124"/>
      <c r="AE28" s="124"/>
      <c r="AF28" s="124"/>
      <c r="AG28" s="124"/>
      <c r="AI28" s="124"/>
      <c r="AJ28" s="124"/>
      <c r="AK28" s="124"/>
      <c r="AL28" s="124"/>
      <c r="AM28" s="124"/>
      <c r="AN28" s="124"/>
    </row>
    <row r="29" spans="3:47" outlineLevel="1" x14ac:dyDescent="0.25">
      <c r="C29" t="s">
        <v>322</v>
      </c>
      <c r="D29" s="60" t="s">
        <v>621</v>
      </c>
      <c r="E29" s="24" t="s">
        <v>139</v>
      </c>
      <c r="G29" s="143">
        <f>AVERAGE((H30+H31),I32,J32,K32,L32)</f>
        <v>0</v>
      </c>
      <c r="N29" s="143">
        <f>AVERAGE((O30+O31),P32,Q32,R32,S32)</f>
        <v>13.079870942258086</v>
      </c>
      <c r="U29" s="143">
        <f>IFERROR(N29-G29,"-")</f>
        <v>13.079870942258086</v>
      </c>
      <c r="V29" s="143">
        <f t="shared" ref="V29:Z32" si="40">IFERROR(O29-H29,"-")</f>
        <v>0</v>
      </c>
      <c r="W29" s="143">
        <f t="shared" si="40"/>
        <v>0</v>
      </c>
      <c r="X29" s="143">
        <f t="shared" si="40"/>
        <v>0</v>
      </c>
      <c r="Y29" s="143">
        <f t="shared" si="40"/>
        <v>0</v>
      </c>
      <c r="Z29" s="143">
        <f t="shared" si="40"/>
        <v>0</v>
      </c>
      <c r="AB29" s="222">
        <f t="shared" ref="AB29:AG32" si="41">IFERROR(U29/G$20,"-")</f>
        <v>9.2633646899844806E-3</v>
      </c>
      <c r="AC29" s="222">
        <f t="shared" si="41"/>
        <v>0</v>
      </c>
      <c r="AD29" s="222">
        <f t="shared" si="41"/>
        <v>0</v>
      </c>
      <c r="AE29" s="222">
        <f t="shared" si="41"/>
        <v>0</v>
      </c>
      <c r="AF29" s="222">
        <f t="shared" si="41"/>
        <v>0</v>
      </c>
      <c r="AG29" s="222">
        <f t="shared" si="41"/>
        <v>0</v>
      </c>
      <c r="AI29" s="222">
        <f t="shared" ref="AI29:AI32" si="42">IFERROR(N29/N$20,"-")</f>
        <v>9.7392933300506964E-3</v>
      </c>
      <c r="AJ29" s="222">
        <f t="shared" ref="AJ29:AJ32" si="43">IFERROR(O29/O$20,"-")</f>
        <v>0</v>
      </c>
      <c r="AK29" s="222">
        <f t="shared" ref="AK29:AK32" si="44">IFERROR(P29/P$20,"-")</f>
        <v>0</v>
      </c>
      <c r="AL29" s="222">
        <f t="shared" ref="AL29:AL32" si="45">IFERROR(Q29/Q$20,"-")</f>
        <v>0</v>
      </c>
      <c r="AM29" s="222">
        <f t="shared" ref="AM29:AM32" si="46">IFERROR(R29/R$20,"-")</f>
        <v>0</v>
      </c>
      <c r="AN29" s="222">
        <f t="shared" ref="AN29:AN32" si="47">IFERROR(S29/S$20,"-")</f>
        <v>0</v>
      </c>
    </row>
    <row r="30" spans="3:47" outlineLevel="1" x14ac:dyDescent="0.25">
      <c r="D30" s="24" t="s">
        <v>230</v>
      </c>
      <c r="E30" s="24" t="s">
        <v>139</v>
      </c>
      <c r="G30" s="143">
        <f t="shared" ref="G30:G32" si="48">AVERAGE(H30:L30)</f>
        <v>0</v>
      </c>
      <c r="H30" s="143" cm="1">
        <f t="array" ref="H30">IF(LEFT($G$17,8)="VDO 2021",0,
IFERROR(
INDEX(OP_RatesTU_RES_2[[Ausnet]:[United Energy]],
MATCH(1,(OP_RatesTU_RES_2[[Cost element]:[Cost element]]="Environmental")*(OP_RatesTU_RES_2[[Rate name]:[Rate name]]=$D30),0),
MATCH(H$18,OP_RatesTU_RES_2[[#Headers],[Ausnet]:[United Energy]],0))*
(INDEX($G$9:$G$13,MATCH(IF($D30="Single rate","Annual",$D30),$F$9:$F$13,0),1)/$L$16),"-"))</f>
        <v>0</v>
      </c>
      <c r="I30" s="143" cm="1">
        <f t="array" ref="I30">IF(LEFT($G$17,8)="VDO 2021",0,
IFERROR(
INDEX(OP_RatesTU_RES_2[[Ausnet]:[United Energy]],
MATCH(1,(OP_RatesTU_RES_2[[Cost element]:[Cost element]]="Environmental")*(OP_RatesTU_RES_2[[Rate name]:[Rate name]]=$D30),0),
MATCH(I$18,OP_RatesTU_RES_2[[#Headers],[Ausnet]:[United Energy]],0))*
(INDEX($G$9:$G$13,MATCH(IF($D30="Single rate","Annual",$D30),$F$9:$F$13,0),1)/$L$16),"-"))</f>
        <v>0</v>
      </c>
      <c r="J30" s="143" cm="1">
        <f t="array" ref="J30">IF(LEFT($G$17,8)="VDO 2021",0,
IFERROR(
INDEX(OP_RatesTU_RES_2[[Ausnet]:[United Energy]],
MATCH(1,(OP_RatesTU_RES_2[[Cost element]:[Cost element]]="Environmental")*(OP_RatesTU_RES_2[[Rate name]:[Rate name]]=$D30),0),
MATCH(J$18,OP_RatesTU_RES_2[[#Headers],[Ausnet]:[United Energy]],0))*
(INDEX($G$9:$G$13,MATCH(IF($D30="Single rate","Annual",$D30),$F$9:$F$13,0),1)/$L$16),"-"))</f>
        <v>0</v>
      </c>
      <c r="K30" s="143" cm="1">
        <f t="array" ref="K30">IF(LEFT($G$17,8)="VDO 2021",0,
IFERROR(
INDEX(OP_RatesTU_RES_2[[Ausnet]:[United Energy]],
MATCH(1,(OP_RatesTU_RES_2[[Cost element]:[Cost element]]="Environmental")*(OP_RatesTU_RES_2[[Rate name]:[Rate name]]=$D30),0),
MATCH(K$18,OP_RatesTU_RES_2[[#Headers],[Ausnet]:[United Energy]],0))*
(INDEX($G$9:$G$13,MATCH(IF($D30="Single rate","Annual",$D30),$F$9:$F$13,0),1)/$L$16),"-"))</f>
        <v>0</v>
      </c>
      <c r="L30" s="143" cm="1">
        <f t="array" ref="L30">IF(LEFT($G$17,8)="VDO 2021",0,
IFERROR(
INDEX(OP_RatesTU_RES_2[[Ausnet]:[United Energy]],
MATCH(1,(OP_RatesTU_RES_2[[Cost element]:[Cost element]]="Environmental")*(OP_RatesTU_RES_2[[Rate name]:[Rate name]]=$D30),0),
MATCH(L$18,OP_RatesTU_RES_2[[#Headers],[Ausnet]:[United Energy]],0))*
(INDEX($G$9:$G$13,MATCH(IF($D30="Single rate","Annual",$D30),$F$9:$F$13,0),1)/$L$16),"-"))</f>
        <v>0</v>
      </c>
      <c r="N30" s="143">
        <f>AVERAGE(O30:S30)</f>
        <v>2.6449362792963114</v>
      </c>
      <c r="O30" s="143" cm="1">
        <f t="array" ref="O30">IFERROR(
INDEX(OP_RatesTU_RES_2[[Ausnet]:[United Energy]],
MATCH(1,(OP_RatesTU_RES_2[[Cost element]:[Cost element]]="Environmental")*(OP_RatesTU_RES_2[[Rate name]:[Rate name]]=$D30),0),
MATCH(O$18,OP_RatesTU_RES_2[[#Headers],[Ausnet]:[United Energy]],0))*
(INDEX($N$9:$N$13,MATCH(IF($D30="Single rate","Annual",$D30),$F$9:$F$13,0),1)/$S$16),"-")</f>
        <v>13.224681396481557</v>
      </c>
      <c r="P30" s="143" cm="1">
        <f t="array" ref="P30">IFERROR(
INDEX(OP_RatesTU_RES_2[[Ausnet]:[United Energy]],
MATCH(1,(OP_RatesTU_RES_2[[Cost element]:[Cost element]]="Environmental")*(OP_RatesTU_RES_2[[Rate name]:[Rate name]]=$D30),0),
MATCH(P$18,OP_RatesTU_RES_2[[#Headers],[Ausnet]:[United Energy]],0))*
(INDEX($N$9:$N$13,MATCH(IF($D30="Single rate","Annual",$D30),$F$9:$F$13,0),1)/$S$16),"-")</f>
        <v>0</v>
      </c>
      <c r="Q30" s="143" cm="1">
        <f t="array" ref="Q30">IFERROR(
INDEX(OP_RatesTU_RES_2[[Ausnet]:[United Energy]],
MATCH(1,(OP_RatesTU_RES_2[[Cost element]:[Cost element]]="Environmental")*(OP_RatesTU_RES_2[[Rate name]:[Rate name]]=$D30),0),
MATCH(Q$18,OP_RatesTU_RES_2[[#Headers],[Ausnet]:[United Energy]],0))*
(INDEX($N$9:$N$13,MATCH(IF($D30="Single rate","Annual",$D30),$F$9:$F$13,0),1)/$S$16),"-")</f>
        <v>0</v>
      </c>
      <c r="R30" s="143" cm="1">
        <f t="array" ref="R30">IFERROR(
INDEX(OP_RatesTU_RES_2[[Ausnet]:[United Energy]],
MATCH(1,(OP_RatesTU_RES_2[[Cost element]:[Cost element]]="Environmental")*(OP_RatesTU_RES_2[[Rate name]:[Rate name]]=$D30),0),
MATCH(R$18,OP_RatesTU_RES_2[[#Headers],[Ausnet]:[United Energy]],0))*
(INDEX($N$9:$N$13,MATCH(IF($D30="Single rate","Annual",$D30),$F$9:$F$13,0),1)/$S$16),"-")</f>
        <v>0</v>
      </c>
      <c r="S30" s="143" cm="1">
        <f t="array" ref="S30">IFERROR(
INDEX(OP_RatesTU_RES_2[[Ausnet]:[United Energy]],
MATCH(1,(OP_RatesTU_RES_2[[Cost element]:[Cost element]]="Environmental")*(OP_RatesTU_RES_2[[Rate name]:[Rate name]]=$D30),0),
MATCH(S$18,OP_RatesTU_RES_2[[#Headers],[Ausnet]:[United Energy]],0))*
(INDEX($N$9:$N$13,MATCH(IF($D30="Single rate","Annual",$D30),$F$9:$F$13,0),1)/$S$16),"-")</f>
        <v>0</v>
      </c>
      <c r="U30" s="143">
        <f t="shared" ref="U30:U32" si="49">IFERROR(N30-G30,"-")</f>
        <v>2.6449362792963114</v>
      </c>
      <c r="V30" s="143">
        <f t="shared" si="40"/>
        <v>13.224681396481557</v>
      </c>
      <c r="W30" s="143">
        <f t="shared" si="40"/>
        <v>0</v>
      </c>
      <c r="X30" s="143">
        <f t="shared" si="40"/>
        <v>0</v>
      </c>
      <c r="Y30" s="143">
        <f t="shared" si="40"/>
        <v>0</v>
      </c>
      <c r="Z30" s="143">
        <f t="shared" si="40"/>
        <v>0</v>
      </c>
      <c r="AB30" s="222">
        <f t="shared" si="41"/>
        <v>1.8731843337792574E-3</v>
      </c>
      <c r="AC30" s="222">
        <f t="shared" si="41"/>
        <v>8.4773598695394598E-3</v>
      </c>
      <c r="AD30" s="222">
        <f t="shared" si="41"/>
        <v>0</v>
      </c>
      <c r="AE30" s="222">
        <f t="shared" si="41"/>
        <v>0</v>
      </c>
      <c r="AF30" s="222">
        <f t="shared" si="41"/>
        <v>0</v>
      </c>
      <c r="AG30" s="222">
        <f t="shared" si="41"/>
        <v>0</v>
      </c>
      <c r="AI30" s="222">
        <f t="shared" si="42"/>
        <v>1.9694238862965831E-3</v>
      </c>
      <c r="AJ30" s="222">
        <f t="shared" si="43"/>
        <v>8.8518617111657018E-3</v>
      </c>
      <c r="AK30" s="222">
        <f t="shared" si="44"/>
        <v>0</v>
      </c>
      <c r="AL30" s="222">
        <f t="shared" si="45"/>
        <v>0</v>
      </c>
      <c r="AM30" s="222">
        <f t="shared" si="46"/>
        <v>0</v>
      </c>
      <c r="AN30" s="222">
        <f t="shared" si="47"/>
        <v>0</v>
      </c>
    </row>
    <row r="31" spans="3:47" outlineLevel="1" x14ac:dyDescent="0.25">
      <c r="D31" s="24" t="s">
        <v>237</v>
      </c>
      <c r="E31" s="24" t="s">
        <v>139</v>
      </c>
      <c r="G31" s="143">
        <f t="shared" si="48"/>
        <v>0</v>
      </c>
      <c r="H31" s="143" cm="1">
        <f t="array" ref="H31">IF(LEFT($G$17,8)="VDO 2021",0,
IFERROR(
INDEX(OP_RatesTU_RES_2[[Ausnet]:[United Energy]],
MATCH(1,(OP_RatesTU_RES_2[[Cost element]:[Cost element]]="Environmental")*(OP_RatesTU_RES_2[[Rate name]:[Rate name]]=$D31),0),
MATCH(H$18,OP_RatesTU_RES_2[[#Headers],[Ausnet]:[United Energy]],0))*
(INDEX($G$9:$G$13,MATCH(IF($D31="Single rate","Annual",$D31),$F$9:$F$13,0),1)/$L$16),"-"))</f>
        <v>0</v>
      </c>
      <c r="I31" s="143" cm="1">
        <f t="array" ref="I31">IF(LEFT($G$17,8)="VDO 2021",0,
IFERROR(
INDEX(OP_RatesTU_RES_2[[Ausnet]:[United Energy]],
MATCH(1,(OP_RatesTU_RES_2[[Cost element]:[Cost element]]="Environmental")*(OP_RatesTU_RES_2[[Rate name]:[Rate name]]=$D31),0),
MATCH(I$18,OP_RatesTU_RES_2[[#Headers],[Ausnet]:[United Energy]],0))*
(INDEX($G$9:$G$13,MATCH(IF($D31="Single rate","Annual",$D31),$F$9:$F$13,0),1)/$L$16),"-"))</f>
        <v>0</v>
      </c>
      <c r="J31" s="143" cm="1">
        <f t="array" ref="J31">IF(LEFT($G$17,8)="VDO 2021",0,
IFERROR(
INDEX(OP_RatesTU_RES_2[[Ausnet]:[United Energy]],
MATCH(1,(OP_RatesTU_RES_2[[Cost element]:[Cost element]]="Environmental")*(OP_RatesTU_RES_2[[Rate name]:[Rate name]]=$D31),0),
MATCH(J$18,OP_RatesTU_RES_2[[#Headers],[Ausnet]:[United Energy]],0))*
(INDEX($G$9:$G$13,MATCH(IF($D31="Single rate","Annual",$D31),$F$9:$F$13,0),1)/$L$16),"-"))</f>
        <v>0</v>
      </c>
      <c r="K31" s="143" cm="1">
        <f t="array" ref="K31">IF(LEFT($G$17,8)="VDO 2021",0,
IFERROR(
INDEX(OP_RatesTU_RES_2[[Ausnet]:[United Energy]],
MATCH(1,(OP_RatesTU_RES_2[[Cost element]:[Cost element]]="Environmental")*(OP_RatesTU_RES_2[[Rate name]:[Rate name]]=$D31),0),
MATCH(K$18,OP_RatesTU_RES_2[[#Headers],[Ausnet]:[United Energy]],0))*
(INDEX($G$9:$G$13,MATCH(IF($D31="Single rate","Annual",$D31),$F$9:$F$13,0),1)/$L$16),"-"))</f>
        <v>0</v>
      </c>
      <c r="L31" s="143" cm="1">
        <f t="array" ref="L31">IF(LEFT($G$17,8)="VDO 2021",0,
IFERROR(
INDEX(OP_RatesTU_RES_2[[Ausnet]:[United Energy]],
MATCH(1,(OP_RatesTU_RES_2[[Cost element]:[Cost element]]="Environmental")*(OP_RatesTU_RES_2[[Rate name]:[Rate name]]=$D31),0),
MATCH(L$18,OP_RatesTU_RES_2[[#Headers],[Ausnet]:[United Energy]],0))*
(INDEX($G$9:$G$13,MATCH(IF($D31="Single rate","Annual",$D31),$F$9:$F$13,0),1)/$L$16),"-"))</f>
        <v>0</v>
      </c>
      <c r="N31" s="143">
        <f t="shared" ref="N31" si="50">AVERAGE(O31:S31)</f>
        <v>0</v>
      </c>
      <c r="O31" s="143" cm="1">
        <f t="array" ref="O31">IFERROR(
INDEX(OP_RatesTU_RES_2[[Ausnet]:[United Energy]],
MATCH(1,(OP_RatesTU_RES_2[[Cost element]:[Cost element]]="Environmental")*(OP_RatesTU_RES_2[[Rate name]:[Rate name]]=$D31),0),
MATCH(O$18,OP_RatesTU_RES_2[[#Headers],[Ausnet]:[United Energy]],0))*
(INDEX($N$9:$N$13,MATCH(IF($D31="Single rate","Annual",$D31),$F$9:$F$13,0),1)/$S$16),"-")</f>
        <v>0</v>
      </c>
      <c r="P31" s="143" cm="1">
        <f t="array" ref="P31">IFERROR(
INDEX(OP_RatesTU_RES_2[[Ausnet]:[United Energy]],
MATCH(1,(OP_RatesTU_RES_2[[Cost element]:[Cost element]]="Environmental")*(OP_RatesTU_RES_2[[Rate name]:[Rate name]]=$D31),0),
MATCH(P$18,OP_RatesTU_RES_2[[#Headers],[Ausnet]:[United Energy]],0))*
(INDEX($N$9:$N$13,MATCH(IF($D31="Single rate","Annual",$D31),$F$9:$F$13,0),1)/$S$16),"-")</f>
        <v>0</v>
      </c>
      <c r="Q31" s="143" cm="1">
        <f t="array" ref="Q31">IFERROR(
INDEX(OP_RatesTU_RES_2[[Ausnet]:[United Energy]],
MATCH(1,(OP_RatesTU_RES_2[[Cost element]:[Cost element]]="Environmental")*(OP_RatesTU_RES_2[[Rate name]:[Rate name]]=$D31),0),
MATCH(Q$18,OP_RatesTU_RES_2[[#Headers],[Ausnet]:[United Energy]],0))*
(INDEX($N$9:$N$13,MATCH(IF($D31="Single rate","Annual",$D31),$F$9:$F$13,0),1)/$S$16),"-")</f>
        <v>0</v>
      </c>
      <c r="R31" s="143" cm="1">
        <f t="array" ref="R31">IFERROR(
INDEX(OP_RatesTU_RES_2[[Ausnet]:[United Energy]],
MATCH(1,(OP_RatesTU_RES_2[[Cost element]:[Cost element]]="Environmental")*(OP_RatesTU_RES_2[[Rate name]:[Rate name]]=$D31),0),
MATCH(R$18,OP_RatesTU_RES_2[[#Headers],[Ausnet]:[United Energy]],0))*
(INDEX($N$9:$N$13,MATCH(IF($D31="Single rate","Annual",$D31),$F$9:$F$13,0),1)/$S$16),"-")</f>
        <v>0</v>
      </c>
      <c r="S31" s="143" cm="1">
        <f t="array" ref="S31">IFERROR(
INDEX(OP_RatesTU_RES_2[[Ausnet]:[United Energy]],
MATCH(1,(OP_RatesTU_RES_2[[Cost element]:[Cost element]]="Environmental")*(OP_RatesTU_RES_2[[Rate name]:[Rate name]]=$D31),0),
MATCH(S$18,OP_RatesTU_RES_2[[#Headers],[Ausnet]:[United Energy]],0))*
(INDEX($N$9:$N$13,MATCH(IF($D31="Single rate","Annual",$D31),$F$9:$F$13,0),1)/$S$16),"-")</f>
        <v>0</v>
      </c>
      <c r="U31" s="143">
        <f t="shared" si="49"/>
        <v>0</v>
      </c>
      <c r="V31" s="143">
        <f t="shared" si="40"/>
        <v>0</v>
      </c>
      <c r="W31" s="143">
        <f t="shared" si="40"/>
        <v>0</v>
      </c>
      <c r="X31" s="143">
        <f t="shared" si="40"/>
        <v>0</v>
      </c>
      <c r="Y31" s="143">
        <f t="shared" si="40"/>
        <v>0</v>
      </c>
      <c r="Z31" s="143">
        <f t="shared" si="40"/>
        <v>0</v>
      </c>
      <c r="AB31" s="222">
        <f t="shared" si="41"/>
        <v>0</v>
      </c>
      <c r="AC31" s="222">
        <f t="shared" si="41"/>
        <v>0</v>
      </c>
      <c r="AD31" s="222">
        <f t="shared" si="41"/>
        <v>0</v>
      </c>
      <c r="AE31" s="222">
        <f t="shared" si="41"/>
        <v>0</v>
      </c>
      <c r="AF31" s="222">
        <f t="shared" si="41"/>
        <v>0</v>
      </c>
      <c r="AG31" s="222">
        <f t="shared" si="41"/>
        <v>0</v>
      </c>
      <c r="AI31" s="222">
        <f t="shared" si="42"/>
        <v>0</v>
      </c>
      <c r="AJ31" s="222">
        <f t="shared" si="43"/>
        <v>0</v>
      </c>
      <c r="AK31" s="222">
        <f t="shared" si="44"/>
        <v>0</v>
      </c>
      <c r="AL31" s="222">
        <f t="shared" si="45"/>
        <v>0</v>
      </c>
      <c r="AM31" s="222">
        <f t="shared" si="46"/>
        <v>0</v>
      </c>
      <c r="AN31" s="222">
        <f t="shared" si="47"/>
        <v>0</v>
      </c>
    </row>
    <row r="32" spans="3:47" outlineLevel="1" x14ac:dyDescent="0.25">
      <c r="D32" s="24" t="s">
        <v>508</v>
      </c>
      <c r="E32" s="24" t="s">
        <v>139</v>
      </c>
      <c r="G32" s="143">
        <f t="shared" si="48"/>
        <v>0</v>
      </c>
      <c r="H32" s="143" cm="1">
        <f t="array" ref="H32">IF(LEFT($G$17,8)="VDO 2021",0,
IFERROR(
INDEX(OP_RatesTU_RES_2[[Ausnet]:[United Energy]],
MATCH(1,(OP_RatesTU_RES_2[[Cost element]:[Cost element]]="Environmental")*(OP_RatesTU_RES_2[[Rate name]:[Rate name]]=$D32),0),
MATCH(H$18,OP_RatesTU_RES_2[[#Headers],[Ausnet]:[United Energy]],0))*
(INDEX($G$9:$G$13,MATCH(IF($D32="Single rate","Annual",$D32),$F$9:$F$13,0),1)/$L$16),"-"))</f>
        <v>0</v>
      </c>
      <c r="I32" s="143" cm="1">
        <f t="array" ref="I32">IF(LEFT($G$17,8)="VDO 2021",0,
IFERROR(
INDEX(OP_RatesTU_RES_2[[Ausnet]:[United Energy]],
MATCH(1,(OP_RatesTU_RES_2[[Cost element]:[Cost element]]="Environmental")*(OP_RatesTU_RES_2[[Rate name]:[Rate name]]=$D32),0),
MATCH(I$18,OP_RatesTU_RES_2[[#Headers],[Ausnet]:[United Energy]],0))*
(INDEX($G$9:$G$13,MATCH(IF($D32="Single rate","Annual",$D32),$F$9:$F$13,0),1)/$L$16),"-"))</f>
        <v>0</v>
      </c>
      <c r="J32" s="143" cm="1">
        <f t="array" ref="J32">IF(LEFT($G$17,8)="VDO 2021",0,
IFERROR(
INDEX(OP_RatesTU_RES_2[[Ausnet]:[United Energy]],
MATCH(1,(OP_RatesTU_RES_2[[Cost element]:[Cost element]]="Environmental")*(OP_RatesTU_RES_2[[Rate name]:[Rate name]]=$D32),0),
MATCH(J$18,OP_RatesTU_RES_2[[#Headers],[Ausnet]:[United Energy]],0))*
(INDEX($G$9:$G$13,MATCH(IF($D32="Single rate","Annual",$D32),$F$9:$F$13,0),1)/$L$16),"-"))</f>
        <v>0</v>
      </c>
      <c r="K32" s="143" cm="1">
        <f t="array" ref="K32">IF(LEFT($G$17,8)="VDO 2021",0,
IFERROR(
INDEX(OP_RatesTU_RES_2[[Ausnet]:[United Energy]],
MATCH(1,(OP_RatesTU_RES_2[[Cost element]:[Cost element]]="Environmental")*(OP_RatesTU_RES_2[[Rate name]:[Rate name]]=$D32),0),
MATCH(K$18,OP_RatesTU_RES_2[[#Headers],[Ausnet]:[United Energy]],0))*
(INDEX($G$9:$G$13,MATCH(IF($D32="Single rate","Annual",$D32),$F$9:$F$13,0),1)/$L$16),"-"))</f>
        <v>0</v>
      </c>
      <c r="L32" s="143" cm="1">
        <f t="array" ref="L32">IF(LEFT($G$17,8)="VDO 2021",0,
IFERROR(
INDEX(OP_RatesTU_RES_2[[Ausnet]:[United Energy]],
MATCH(1,(OP_RatesTU_RES_2[[Cost element]:[Cost element]]="Environmental")*(OP_RatesTU_RES_2[[Rate name]:[Rate name]]=$D32),0),
MATCH(L$18,OP_RatesTU_RES_2[[#Headers],[Ausnet]:[United Energy]],0))*
(INDEX($G$9:$G$13,MATCH(IF($D32="Single rate","Annual",$D32),$F$9:$F$13,0),1)/$L$16),"-"))</f>
        <v>0</v>
      </c>
      <c r="N32" s="143">
        <f>AVERAGE(O32:S32)</f>
        <v>10.434934662961773</v>
      </c>
      <c r="O32" s="143" cm="1">
        <f t="array" ref="O32">IFERROR(
INDEX(OP_RatesTU_RES_2[[Ausnet]:[United Energy]],
MATCH(1,(OP_RatesTU_RES_2[[Cost element]:[Cost element]]="Environmental")*(OP_RatesTU_RES_2[[Rate name]:[Rate name]]=$D32),0),
MATCH(O$18,OP_RatesTU_RES_2[[#Headers],[Ausnet]:[United Energy]],0))*
(INDEX($N$9:$N$13,MATCH(IF($D32="Single rate","Annual",$D32),$F$9:$F$13,0),1)/$S$16),"-")</f>
        <v>0</v>
      </c>
      <c r="P32" s="143" cm="1">
        <f t="array" ref="P32">IFERROR(
INDEX(OP_RatesTU_RES_2[[Ausnet]:[United Energy]],
MATCH(1,(OP_RatesTU_RES_2[[Cost element]:[Cost element]]="Environmental")*(OP_RatesTU_RES_2[[Rate name]:[Rate name]]=$D32),0),
MATCH(P$18,OP_RatesTU_RES_2[[#Headers],[Ausnet]:[United Energy]],0))*
(INDEX($N$9:$N$13,MATCH(IF($D32="Single rate","Annual",$D32),$F$9:$F$13,0),1)/$S$16),"-")</f>
        <v>12.996094162452266</v>
      </c>
      <c r="Q32" s="143" cm="1">
        <f t="array" ref="Q32">IFERROR(
INDEX(OP_RatesTU_RES_2[[Ausnet]:[United Energy]],
MATCH(1,(OP_RatesTU_RES_2[[Cost element]:[Cost element]]="Environmental")*(OP_RatesTU_RES_2[[Rate name]:[Rate name]]=$D32),0),
MATCH(Q$18,OP_RatesTU_RES_2[[#Headers],[Ausnet]:[United Energy]],0))*
(INDEX($N$9:$N$13,MATCH(IF($D32="Single rate","Annual",$D32),$F$9:$F$13,0),1)/$S$16),"-")</f>
        <v>12.860333246221057</v>
      </c>
      <c r="R32" s="143" cm="1">
        <f t="array" ref="R32">IFERROR(
INDEX(OP_RatesTU_RES_2[[Ausnet]:[United Energy]],
MATCH(1,(OP_RatesTU_RES_2[[Cost element]:[Cost element]]="Environmental")*(OP_RatesTU_RES_2[[Rate name]:[Rate name]]=$D32),0),
MATCH(R$18,OP_RatesTU_RES_2[[#Headers],[Ausnet]:[United Energy]],0))*
(INDEX($N$9:$N$13,MATCH(IF($D32="Single rate","Annual",$D32),$F$9:$F$13,0),1)/$S$16),"-")</f>
        <v>13.274747413634611</v>
      </c>
      <c r="S32" s="143" cm="1">
        <f t="array" ref="S32">IFERROR(
INDEX(OP_RatesTU_RES_2[[Ausnet]:[United Energy]],
MATCH(1,(OP_RatesTU_RES_2[[Cost element]:[Cost element]]="Environmental")*(OP_RatesTU_RES_2[[Rate name]:[Rate name]]=$D32),0),
MATCH(S$18,OP_RatesTU_RES_2[[#Headers],[Ausnet]:[United Energy]],0))*
(INDEX($N$9:$N$13,MATCH(IF($D32="Single rate","Annual",$D32),$F$9:$F$13,0),1)/$S$16),"-")</f>
        <v>13.04349849250093</v>
      </c>
      <c r="U32" s="143">
        <f t="shared" si="49"/>
        <v>10.434934662961773</v>
      </c>
      <c r="V32" s="143">
        <f t="shared" si="40"/>
        <v>0</v>
      </c>
      <c r="W32" s="143">
        <f t="shared" si="40"/>
        <v>12.996094162452266</v>
      </c>
      <c r="X32" s="143">
        <f t="shared" si="40"/>
        <v>12.860333246221057</v>
      </c>
      <c r="Y32" s="143">
        <f t="shared" si="40"/>
        <v>13.274747413634611</v>
      </c>
      <c r="Z32" s="143">
        <f t="shared" si="40"/>
        <v>13.04349849250093</v>
      </c>
      <c r="AB32" s="222">
        <f t="shared" si="41"/>
        <v>7.3901803562052212E-3</v>
      </c>
      <c r="AC32" s="222">
        <f t="shared" si="41"/>
        <v>0</v>
      </c>
      <c r="AD32" s="222">
        <f t="shared" si="41"/>
        <v>9.7276153910570862E-3</v>
      </c>
      <c r="AE32" s="222">
        <f t="shared" si="41"/>
        <v>9.2720499251774027E-3</v>
      </c>
      <c r="AF32" s="222">
        <f t="shared" si="41"/>
        <v>9.3156122200944644E-3</v>
      </c>
      <c r="AG32" s="222">
        <f t="shared" si="41"/>
        <v>9.6546991062183059E-3</v>
      </c>
      <c r="AI32" s="222">
        <f t="shared" si="42"/>
        <v>7.769869443754112E-3</v>
      </c>
      <c r="AJ32" s="222">
        <f t="shared" si="43"/>
        <v>0</v>
      </c>
      <c r="AK32" s="222">
        <f t="shared" si="44"/>
        <v>1.0169087764047157E-2</v>
      </c>
      <c r="AL32" s="222">
        <f t="shared" si="45"/>
        <v>9.7797210997878758E-3</v>
      </c>
      <c r="AM32" s="222">
        <f t="shared" si="46"/>
        <v>9.7752190085674592E-3</v>
      </c>
      <c r="AN32" s="222">
        <f t="shared" si="47"/>
        <v>1.0302921400079724E-2</v>
      </c>
    </row>
    <row r="33" spans="3:40" outlineLevel="1" x14ac:dyDescent="0.25">
      <c r="AB33" s="124"/>
      <c r="AC33" s="124"/>
      <c r="AD33" s="124"/>
      <c r="AE33" s="124"/>
      <c r="AF33" s="124"/>
      <c r="AG33" s="124"/>
      <c r="AI33" s="124"/>
      <c r="AJ33" s="124"/>
      <c r="AK33" s="124"/>
      <c r="AL33" s="124"/>
      <c r="AM33" s="124"/>
      <c r="AN33" s="124"/>
    </row>
    <row r="34" spans="3:40" ht="15.75" outlineLevel="1" x14ac:dyDescent="0.25">
      <c r="D34" s="30" t="s">
        <v>117</v>
      </c>
      <c r="AB34" s="124"/>
      <c r="AC34" s="124"/>
      <c r="AD34" s="124"/>
      <c r="AE34" s="124"/>
      <c r="AF34" s="124"/>
      <c r="AG34" s="124"/>
      <c r="AI34" s="124"/>
      <c r="AJ34" s="124"/>
      <c r="AK34" s="124"/>
      <c r="AL34" s="124"/>
      <c r="AM34" s="124"/>
      <c r="AN34" s="124"/>
    </row>
    <row r="35" spans="3:40" outlineLevel="1" x14ac:dyDescent="0.25">
      <c r="C35" t="s">
        <v>160</v>
      </c>
      <c r="D35" s="60" t="s">
        <v>125</v>
      </c>
      <c r="E35" s="24" t="s">
        <v>117</v>
      </c>
      <c r="G35" s="143">
        <f>AVERAGE(H35:L35)</f>
        <v>10.849248189087444</v>
      </c>
      <c r="H35" s="143">
        <f>INDEX(Calc_FiT_1[[Ausnet]:[United Energy]],MATCH($D35,Calc_FiT_1[[Cost item]:[Cost item]],0),MATCH(H$18,Calc_FiT_1[[#Headers],[Ausnet]:[United Energy]],1))</f>
        <v>10.849248189087444</v>
      </c>
      <c r="I35" s="143">
        <f>INDEX(Calc_FiT_1[[Ausnet]:[United Energy]],MATCH($D35,Calc_FiT_1[[Cost item]:[Cost item]],0),MATCH(I$18,Calc_FiT_1[[#Headers],[Ausnet]:[United Energy]],1))</f>
        <v>10.849248189087444</v>
      </c>
      <c r="J35" s="143">
        <f>INDEX(Calc_FiT_1[[Ausnet]:[United Energy]],MATCH($D35,Calc_FiT_1[[Cost item]:[Cost item]],0),MATCH(J$18,Calc_FiT_1[[#Headers],[Ausnet]:[United Energy]],1))</f>
        <v>10.849248189087444</v>
      </c>
      <c r="K35" s="143">
        <f>INDEX(Calc_FiT_1[[Ausnet]:[United Energy]],MATCH($D35,Calc_FiT_1[[Cost item]:[Cost item]],0),MATCH(K$18,Calc_FiT_1[[#Headers],[Ausnet]:[United Energy]],1))</f>
        <v>10.849248189087444</v>
      </c>
      <c r="L35" s="143">
        <f>INDEX(Calc_FiT_1[[Ausnet]:[United Energy]],MATCH($D35,Calc_FiT_1[[Cost item]:[Cost item]],0),MATCH(L$18,Calc_FiT_1[[#Headers],[Ausnet]:[United Energy]],1))</f>
        <v>10.849248189087444</v>
      </c>
      <c r="N35" s="143">
        <f>AVERAGE(O35:S35)</f>
        <v>13.337821545021233</v>
      </c>
      <c r="O35" s="143">
        <f>INDEX(Calc_FiT_2[[Ausnet]:[United Energy]],MATCH($D35,Calc_FiT_2[[Cost item]:[Cost item]],0),MATCH(O$18,Calc_FiT_2[[#Headers],[Ausnet]:[United Energy]],1))</f>
        <v>13.337821545021233</v>
      </c>
      <c r="P35" s="143">
        <f>INDEX(Calc_FiT_2[[Ausnet]:[United Energy]],MATCH($D35,Calc_FiT_2[[Cost item]:[Cost item]],0),MATCH(P$18,Calc_FiT_2[[#Headers],[Ausnet]:[United Energy]],1))</f>
        <v>13.337821545021233</v>
      </c>
      <c r="Q35" s="143">
        <f>INDEX(Calc_FiT_2[[Ausnet]:[United Energy]],MATCH($D35,Calc_FiT_2[[Cost item]:[Cost item]],0),MATCH(Q$18,Calc_FiT_2[[#Headers],[Ausnet]:[United Energy]],1))</f>
        <v>13.337821545021233</v>
      </c>
      <c r="R35" s="143">
        <f>INDEX(Calc_FiT_2[[Ausnet]:[United Energy]],MATCH($D35,Calc_FiT_2[[Cost item]:[Cost item]],0),MATCH(R$18,Calc_FiT_2[[#Headers],[Ausnet]:[United Energy]],1))</f>
        <v>13.337821545021233</v>
      </c>
      <c r="S35" s="143">
        <f>INDEX(Calc_FiT_2[[Ausnet]:[United Energy]],MATCH($D35,Calc_FiT_2[[Cost item]:[Cost item]],0),MATCH(S$18,Calc_FiT_2[[#Headers],[Ausnet]:[United Energy]],1))</f>
        <v>13.337821545021233</v>
      </c>
      <c r="U35" s="143">
        <f>IFERROR(N35-G35,"-")</f>
        <v>2.4885733559337897</v>
      </c>
      <c r="V35" s="143">
        <f t="shared" ref="V35:Z35" si="51">IFERROR(O35-H35,"-")</f>
        <v>2.4885733559337897</v>
      </c>
      <c r="W35" s="143">
        <f t="shared" si="51"/>
        <v>2.4885733559337897</v>
      </c>
      <c r="X35" s="143">
        <f t="shared" si="51"/>
        <v>2.4885733559337897</v>
      </c>
      <c r="Y35" s="143">
        <f t="shared" si="51"/>
        <v>2.4885733559337897</v>
      </c>
      <c r="Z35" s="143">
        <f t="shared" si="51"/>
        <v>2.4885733559337897</v>
      </c>
      <c r="AB35" s="222">
        <f>IFERROR(U35/G$20,"-")</f>
        <v>1.762445719499851E-3</v>
      </c>
      <c r="AC35" s="222">
        <f t="shared" ref="AC35:AD35" si="52">IFERROR(V35/H$20,"-")</f>
        <v>1.5952393307267882E-3</v>
      </c>
      <c r="AD35" s="222">
        <f t="shared" si="52"/>
        <v>1.8627046077348726E-3</v>
      </c>
      <c r="AE35" s="222">
        <f>IFERROR(X35/J$20,"-")</f>
        <v>1.7942129458787235E-3</v>
      </c>
      <c r="AF35" s="222">
        <f t="shared" ref="AF35:AG35" si="53">IFERROR(Y35/K$20,"-")</f>
        <v>1.7463672673219577E-3</v>
      </c>
      <c r="AG35" s="222">
        <f t="shared" si="53"/>
        <v>1.842023209425455E-3</v>
      </c>
      <c r="AI35" s="222">
        <f>IFERROR(N35/N$20,"-")</f>
        <v>9.931363771423108E-3</v>
      </c>
      <c r="AJ35" s="222">
        <f t="shared" ref="AJ35" si="54">IFERROR(O35/O$20,"-")</f>
        <v>8.927591395596542E-3</v>
      </c>
      <c r="AK35" s="222">
        <f t="shared" ref="AK35" si="55">IFERROR(P35/P$20,"-")</f>
        <v>1.0436480082176239E-2</v>
      </c>
      <c r="AL35" s="222">
        <f t="shared" ref="AL35" si="56">IFERROR(Q35/Q$20,"-")</f>
        <v>1.0142830072259494E-2</v>
      </c>
      <c r="AM35" s="222">
        <f t="shared" ref="AM35" si="57">IFERROR(R35/R$20,"-")</f>
        <v>9.821665349794723E-3</v>
      </c>
      <c r="AN35" s="222">
        <f t="shared" ref="AN35" si="58">IFERROR(S35/S$20,"-")</f>
        <v>1.0535404063997814E-2</v>
      </c>
    </row>
    <row r="36" spans="3:40" outlineLevel="1" x14ac:dyDescent="0.25">
      <c r="AB36" s="124"/>
      <c r="AC36" s="124"/>
      <c r="AD36" s="124"/>
      <c r="AE36" s="124"/>
      <c r="AF36" s="124"/>
      <c r="AG36" s="124"/>
      <c r="AI36" s="124"/>
      <c r="AJ36" s="124"/>
      <c r="AK36" s="124"/>
      <c r="AL36" s="124"/>
      <c r="AM36" s="124"/>
      <c r="AN36" s="124"/>
    </row>
    <row r="37" spans="3:40" outlineLevel="1" x14ac:dyDescent="0.25">
      <c r="C37" t="s">
        <v>282</v>
      </c>
      <c r="D37" s="24" t="s">
        <v>126</v>
      </c>
      <c r="E37" s="24" t="s">
        <v>117</v>
      </c>
      <c r="G37" s="143">
        <f t="shared" ref="G37:G40" si="59">AVERAGE(H37:L37)</f>
        <v>1.6939335514995686</v>
      </c>
      <c r="H37" s="143">
        <f>INDEX(Calc_OtherCosts_1[[Ausnet]:[United Energy]],MATCH($D37,Calc_OtherCosts_1[[Cost item]:[Cost item]],0),MATCH(H$18,Calc_OtherCosts_1[[#Headers],[Ausnet]:[United Energy]],0))</f>
        <v>1.6939335514995686</v>
      </c>
      <c r="I37" s="143">
        <f>INDEX(Calc_OtherCosts_1[[Ausnet]:[United Energy]],MATCH($D37,Calc_OtherCosts_1[[Cost item]:[Cost item]],0),MATCH(I$18,Calc_OtherCosts_1[[#Headers],[Ausnet]:[United Energy]],0))</f>
        <v>1.6939335514995686</v>
      </c>
      <c r="J37" s="143">
        <f>INDEX(Calc_OtherCosts_1[[Ausnet]:[United Energy]],MATCH($D37,Calc_OtherCosts_1[[Cost item]:[Cost item]],0),MATCH(J$18,Calc_OtherCosts_1[[#Headers],[Ausnet]:[United Energy]],0))</f>
        <v>1.6939335514995686</v>
      </c>
      <c r="K37" s="143">
        <f>INDEX(Calc_OtherCosts_1[[Ausnet]:[United Energy]],MATCH($D37,Calc_OtherCosts_1[[Cost item]:[Cost item]],0),MATCH(K$18,Calc_OtherCosts_1[[#Headers],[Ausnet]:[United Energy]],0))</f>
        <v>1.6939335514995686</v>
      </c>
      <c r="L37" s="143">
        <f>INDEX(Calc_OtherCosts_1[[Ausnet]:[United Energy]],MATCH($D37,Calc_OtherCosts_1[[Cost item]:[Cost item]],0),MATCH(L$18,Calc_OtherCosts_1[[#Headers],[Ausnet]:[United Energy]],0))</f>
        <v>1.6939335514995686</v>
      </c>
      <c r="N37" s="143">
        <f t="shared" ref="N37:N40" si="60">AVERAGE(O37:S37)</f>
        <v>2.1558125061118716</v>
      </c>
      <c r="O37" s="143">
        <f>INDEX(Calc_OtherCosts_2[[Ausnet]:[United Energy]],MATCH($D37,Calc_OtherCosts_2[[Cost item]:[Cost item]],0),MATCH(O$18,Calc_OtherCosts_2[[#Headers],[Ausnet]:[United Energy]],0))</f>
        <v>2.1558125061118716</v>
      </c>
      <c r="P37" s="143">
        <f>INDEX(Calc_OtherCosts_2[[Ausnet]:[United Energy]],MATCH($D37,Calc_OtherCosts_2[[Cost item]:[Cost item]],0),MATCH(P$18,Calc_OtherCosts_2[[#Headers],[Ausnet]:[United Energy]],0))</f>
        <v>2.1558125061118716</v>
      </c>
      <c r="Q37" s="143">
        <f>INDEX(Calc_OtherCosts_2[[Ausnet]:[United Energy]],MATCH($D37,Calc_OtherCosts_2[[Cost item]:[Cost item]],0),MATCH(Q$18,Calc_OtherCosts_2[[#Headers],[Ausnet]:[United Energy]],0))</f>
        <v>2.1558125061118716</v>
      </c>
      <c r="R37" s="143">
        <f>INDEX(Calc_OtherCosts_2[[Ausnet]:[United Energy]],MATCH($D37,Calc_OtherCosts_2[[Cost item]:[Cost item]],0),MATCH(R$18,Calc_OtherCosts_2[[#Headers],[Ausnet]:[United Energy]],0))</f>
        <v>2.1558125061118716</v>
      </c>
      <c r="S37" s="143">
        <f>INDEX(Calc_OtherCosts_2[[Ausnet]:[United Energy]],MATCH($D37,Calc_OtherCosts_2[[Cost item]:[Cost item]],0),MATCH(S$18,Calc_OtherCosts_2[[#Headers],[Ausnet]:[United Energy]],0))</f>
        <v>2.1558125061118716</v>
      </c>
      <c r="U37" s="143">
        <f t="shared" ref="U37:Z40" si="61">IFERROR(N37-G37,"-")</f>
        <v>0.46187895461230299</v>
      </c>
      <c r="V37" s="143">
        <f t="shared" si="61"/>
        <v>0.46187895461230299</v>
      </c>
      <c r="W37" s="143">
        <f t="shared" si="61"/>
        <v>0.46187895461230299</v>
      </c>
      <c r="X37" s="143">
        <f t="shared" si="61"/>
        <v>0.46187895461230299</v>
      </c>
      <c r="Y37" s="143">
        <f t="shared" si="61"/>
        <v>0.46187895461230299</v>
      </c>
      <c r="Z37" s="143">
        <f t="shared" si="61"/>
        <v>0.46187895461230299</v>
      </c>
      <c r="AB37" s="222">
        <f t="shared" ref="AB37:AG40" si="62">IFERROR(U37/G$20,"-")</f>
        <v>3.2710974122684348E-4</v>
      </c>
      <c r="AC37" s="222">
        <f t="shared" si="62"/>
        <v>2.9607625295660449E-4</v>
      </c>
      <c r="AD37" s="222">
        <f t="shared" si="62"/>
        <v>3.4571778039843039E-4</v>
      </c>
      <c r="AE37" s="222">
        <f t="shared" si="62"/>
        <v>3.3300573512062219E-4</v>
      </c>
      <c r="AF37" s="222">
        <f t="shared" si="62"/>
        <v>3.2412558218407225E-4</v>
      </c>
      <c r="AG37" s="222">
        <f t="shared" si="62"/>
        <v>3.4187931503501333E-4</v>
      </c>
      <c r="AI37" s="222">
        <f t="shared" ref="AI37:AI40" si="63">IFERROR(N37/N$20,"-")</f>
        <v>1.6052215235382514E-3</v>
      </c>
      <c r="AJ37" s="222">
        <f t="shared" ref="AJ37:AJ40" si="64">IFERROR(O37/O$20,"-")</f>
        <v>1.4429802584416812E-3</v>
      </c>
      <c r="AK37" s="222">
        <f t="shared" ref="AK37:AK40" si="65">IFERROR(P37/P$20,"-")</f>
        <v>1.686864245783937E-3</v>
      </c>
      <c r="AL37" s="222">
        <f t="shared" ref="AL37:AL40" si="66">IFERROR(Q37/Q$20,"-")</f>
        <v>1.6394011453322217E-3</v>
      </c>
      <c r="AM37" s="222">
        <f t="shared" ref="AM37:AM40" si="67">IFERROR(R37/R$20,"-")</f>
        <v>1.5874907997878288E-3</v>
      </c>
      <c r="AN37" s="222">
        <f t="shared" ref="AN37:AN40" si="68">IFERROR(S37/S$20,"-")</f>
        <v>1.7028534803411309E-3</v>
      </c>
    </row>
    <row r="38" spans="3:40" outlineLevel="1" x14ac:dyDescent="0.25">
      <c r="C38" t="s">
        <v>282</v>
      </c>
      <c r="D38" s="24" t="s">
        <v>127</v>
      </c>
      <c r="E38" s="24" t="s">
        <v>117</v>
      </c>
      <c r="G38" s="143">
        <f t="shared" si="59"/>
        <v>2.46</v>
      </c>
      <c r="H38" s="143">
        <f>INDEX(Calc_OtherCosts_1[[Ausnet]:[United Energy]],MATCH($D38,Calc_OtherCosts_1[[Cost item]:[Cost item]],0),MATCH(H$18,Calc_OtherCosts_1[[#Headers],[Ausnet]:[United Energy]],0))</f>
        <v>2.46</v>
      </c>
      <c r="I38" s="143">
        <f>INDEX(Calc_OtherCosts_1[[Ausnet]:[United Energy]],MATCH($D38,Calc_OtherCosts_1[[Cost item]:[Cost item]],0),MATCH(I$18,Calc_OtherCosts_1[[#Headers],[Ausnet]:[United Energy]],0))</f>
        <v>2.46</v>
      </c>
      <c r="J38" s="143">
        <f>INDEX(Calc_OtherCosts_1[[Ausnet]:[United Energy]],MATCH($D38,Calc_OtherCosts_1[[Cost item]:[Cost item]],0),MATCH(J$18,Calc_OtherCosts_1[[#Headers],[Ausnet]:[United Energy]],0))</f>
        <v>2.46</v>
      </c>
      <c r="K38" s="143">
        <f>INDEX(Calc_OtherCosts_1[[Ausnet]:[United Energy]],MATCH($D38,Calc_OtherCosts_1[[Cost item]:[Cost item]],0),MATCH(K$18,Calc_OtherCosts_1[[#Headers],[Ausnet]:[United Energy]],0))</f>
        <v>2.46</v>
      </c>
      <c r="L38" s="143">
        <f>INDEX(Calc_OtherCosts_1[[Ausnet]:[United Energy]],MATCH($D38,Calc_OtherCosts_1[[Cost item]:[Cost item]],0),MATCH(L$18,Calc_OtherCosts_1[[#Headers],[Ausnet]:[United Energy]],0))</f>
        <v>2.46</v>
      </c>
      <c r="N38" s="143">
        <f t="shared" si="60"/>
        <v>0</v>
      </c>
      <c r="O38" s="143">
        <f>INDEX(Calc_OtherCosts_2[[Ausnet]:[United Energy]],MATCH($D38,Calc_OtherCosts_2[[Cost item]:[Cost item]],0),MATCH(O$18,Calc_OtherCosts_2[[#Headers],[Ausnet]:[United Energy]],0))</f>
        <v>0</v>
      </c>
      <c r="P38" s="143">
        <f>INDEX(Calc_OtherCosts_2[[Ausnet]:[United Energy]],MATCH($D38,Calc_OtherCosts_2[[Cost item]:[Cost item]],0),MATCH(P$18,Calc_OtherCosts_2[[#Headers],[Ausnet]:[United Energy]],0))</f>
        <v>0</v>
      </c>
      <c r="Q38" s="143">
        <f>INDEX(Calc_OtherCosts_2[[Ausnet]:[United Energy]],MATCH($D38,Calc_OtherCosts_2[[Cost item]:[Cost item]],0),MATCH(Q$18,Calc_OtherCosts_2[[#Headers],[Ausnet]:[United Energy]],0))</f>
        <v>0</v>
      </c>
      <c r="R38" s="143">
        <f>INDEX(Calc_OtherCosts_2[[Ausnet]:[United Energy]],MATCH($D38,Calc_OtherCosts_2[[Cost item]:[Cost item]],0),MATCH(R$18,Calc_OtherCosts_2[[#Headers],[Ausnet]:[United Energy]],0))</f>
        <v>0</v>
      </c>
      <c r="S38" s="143">
        <f>INDEX(Calc_OtherCosts_2[[Ausnet]:[United Energy]],MATCH($D38,Calc_OtherCosts_2[[Cost item]:[Cost item]],0),MATCH(S$18,Calc_OtherCosts_2[[#Headers],[Ausnet]:[United Energy]],0))</f>
        <v>0</v>
      </c>
      <c r="U38" s="143">
        <f t="shared" si="61"/>
        <v>-2.46</v>
      </c>
      <c r="V38" s="143">
        <f t="shared" si="61"/>
        <v>-2.46</v>
      </c>
      <c r="W38" s="143">
        <f t="shared" si="61"/>
        <v>-2.46</v>
      </c>
      <c r="X38" s="143">
        <f t="shared" si="61"/>
        <v>-2.46</v>
      </c>
      <c r="Y38" s="143">
        <f t="shared" si="61"/>
        <v>-2.46</v>
      </c>
      <c r="Z38" s="143">
        <f t="shared" si="61"/>
        <v>-2.46</v>
      </c>
      <c r="AB38" s="222">
        <f t="shared" si="62"/>
        <v>-1.7422096317280453E-3</v>
      </c>
      <c r="AC38" s="222">
        <f t="shared" si="62"/>
        <v>-1.5769230769230769E-3</v>
      </c>
      <c r="AD38" s="222">
        <f t="shared" si="62"/>
        <v>-1.841317365269461E-3</v>
      </c>
      <c r="AE38" s="222">
        <f t="shared" si="62"/>
        <v>-1.7736121124729632E-3</v>
      </c>
      <c r="AF38" s="222">
        <f t="shared" si="62"/>
        <v>-1.7263157894736841E-3</v>
      </c>
      <c r="AG38" s="222">
        <f t="shared" si="62"/>
        <v>-1.8208734270910437E-3</v>
      </c>
      <c r="AI38" s="222">
        <f t="shared" si="63"/>
        <v>0</v>
      </c>
      <c r="AJ38" s="222">
        <f t="shared" si="64"/>
        <v>0</v>
      </c>
      <c r="AK38" s="222">
        <f t="shared" si="65"/>
        <v>0</v>
      </c>
      <c r="AL38" s="222">
        <f t="shared" si="66"/>
        <v>0</v>
      </c>
      <c r="AM38" s="222">
        <f t="shared" si="67"/>
        <v>0</v>
      </c>
      <c r="AN38" s="222">
        <f t="shared" si="68"/>
        <v>0</v>
      </c>
    </row>
    <row r="39" spans="3:40" outlineLevel="1" x14ac:dyDescent="0.25">
      <c r="C39" t="s">
        <v>282</v>
      </c>
      <c r="D39" s="60" t="s">
        <v>633</v>
      </c>
      <c r="E39" s="24" t="s">
        <v>117</v>
      </c>
      <c r="G39" s="143">
        <f t="shared" si="59"/>
        <v>0.62589545454545448</v>
      </c>
      <c r="H39" s="143">
        <f>INDEX(Calc_OtherCosts_1[[Ausnet]:[United Energy]],MATCH($D39,Calc_OtherCosts_1[[Cost item]:[Cost item]],0),MATCH(H$18,Calc_OtherCosts_1[[#Headers],[Ausnet]:[United Energy]],0))</f>
        <v>0.62589545454545448</v>
      </c>
      <c r="I39" s="143">
        <f>INDEX(Calc_OtherCosts_1[[Ausnet]:[United Energy]],MATCH($D39,Calc_OtherCosts_1[[Cost item]:[Cost item]],0),MATCH(I$18,Calc_OtherCosts_1[[#Headers],[Ausnet]:[United Energy]],0))</f>
        <v>0.62589545454545448</v>
      </c>
      <c r="J39" s="143">
        <f>INDEX(Calc_OtherCosts_1[[Ausnet]:[United Energy]],MATCH($D39,Calc_OtherCosts_1[[Cost item]:[Cost item]],0),MATCH(J$18,Calc_OtherCosts_1[[#Headers],[Ausnet]:[United Energy]],0))</f>
        <v>0.62589545454545448</v>
      </c>
      <c r="K39" s="143">
        <f>INDEX(Calc_OtherCosts_1[[Ausnet]:[United Energy]],MATCH($D39,Calc_OtherCosts_1[[Cost item]:[Cost item]],0),MATCH(K$18,Calc_OtherCosts_1[[#Headers],[Ausnet]:[United Energy]],0))</f>
        <v>0.62589545454545448</v>
      </c>
      <c r="L39" s="143">
        <f>INDEX(Calc_OtherCosts_1[[Ausnet]:[United Energy]],MATCH($D39,Calc_OtherCosts_1[[Cost item]:[Cost item]],0),MATCH(L$18,Calc_OtherCosts_1[[#Headers],[Ausnet]:[United Energy]],0))</f>
        <v>0.62589545454545448</v>
      </c>
      <c r="N39" s="143">
        <f t="shared" si="60"/>
        <v>0.61619999999999997</v>
      </c>
      <c r="O39" s="143">
        <f>INDEX(Calc_OtherCosts_2[[Ausnet]:[United Energy]],MATCH($D39,Calc_OtherCosts_2[[Cost item]:[Cost item]],0),MATCH(O$18,Calc_OtherCosts_2[[#Headers],[Ausnet]:[United Energy]],0))</f>
        <v>0.61619999999999997</v>
      </c>
      <c r="P39" s="143">
        <f>INDEX(Calc_OtherCosts_2[[Ausnet]:[United Energy]],MATCH($D39,Calc_OtherCosts_2[[Cost item]:[Cost item]],0),MATCH(P$18,Calc_OtherCosts_2[[#Headers],[Ausnet]:[United Energy]],0))</f>
        <v>0.61619999999999997</v>
      </c>
      <c r="Q39" s="143">
        <f>INDEX(Calc_OtherCosts_2[[Ausnet]:[United Energy]],MATCH($D39,Calc_OtherCosts_2[[Cost item]:[Cost item]],0),MATCH(Q$18,Calc_OtherCosts_2[[#Headers],[Ausnet]:[United Energy]],0))</f>
        <v>0.61619999999999997</v>
      </c>
      <c r="R39" s="143">
        <f>INDEX(Calc_OtherCosts_2[[Ausnet]:[United Energy]],MATCH($D39,Calc_OtherCosts_2[[Cost item]:[Cost item]],0),MATCH(R$18,Calc_OtherCosts_2[[#Headers],[Ausnet]:[United Energy]],0))</f>
        <v>0.61619999999999997</v>
      </c>
      <c r="S39" s="143">
        <f>INDEX(Calc_OtherCosts_2[[Ausnet]:[United Energy]],MATCH($D39,Calc_OtherCosts_2[[Cost item]:[Cost item]],0),MATCH(S$18,Calc_OtherCosts_2[[#Headers],[Ausnet]:[United Energy]],0))</f>
        <v>0.61619999999999997</v>
      </c>
      <c r="U39" s="143">
        <f t="shared" si="61"/>
        <v>-9.6954545454545071E-3</v>
      </c>
      <c r="V39" s="143">
        <f t="shared" si="61"/>
        <v>-9.6954545454545071E-3</v>
      </c>
      <c r="W39" s="143">
        <f t="shared" si="61"/>
        <v>-9.6954545454545071E-3</v>
      </c>
      <c r="X39" s="143">
        <f t="shared" si="61"/>
        <v>-9.6954545454545071E-3</v>
      </c>
      <c r="Y39" s="143">
        <f t="shared" si="61"/>
        <v>-9.6954545454545071E-3</v>
      </c>
      <c r="Z39" s="143">
        <f t="shared" si="61"/>
        <v>-9.6954545454545071E-3</v>
      </c>
      <c r="AB39" s="222">
        <f t="shared" si="62"/>
        <v>-6.8664692248261379E-6</v>
      </c>
      <c r="AC39" s="222">
        <f t="shared" si="62"/>
        <v>-6.2150349650349404E-6</v>
      </c>
      <c r="AD39" s="222">
        <f t="shared" si="62"/>
        <v>-7.2570767555797212E-6</v>
      </c>
      <c r="AE39" s="222">
        <f t="shared" si="62"/>
        <v>-6.9902339909549435E-6</v>
      </c>
      <c r="AF39" s="222">
        <f t="shared" si="62"/>
        <v>-6.8038277511961453E-6</v>
      </c>
      <c r="AG39" s="222">
        <f t="shared" si="62"/>
        <v>-7.1765022542224331E-6</v>
      </c>
      <c r="AI39" s="222">
        <f t="shared" si="63"/>
        <v>4.5882352941176467E-4</v>
      </c>
      <c r="AJ39" s="222">
        <f t="shared" si="64"/>
        <v>4.1244979919678715E-4</v>
      </c>
      <c r="AK39" s="222">
        <f t="shared" si="65"/>
        <v>4.821596244131455E-4</v>
      </c>
      <c r="AL39" s="222">
        <f t="shared" si="66"/>
        <v>4.6859315589353609E-4</v>
      </c>
      <c r="AM39" s="222">
        <f t="shared" si="67"/>
        <v>4.5375552282768774E-4</v>
      </c>
      <c r="AN39" s="222">
        <f t="shared" si="68"/>
        <v>4.8672985781990521E-4</v>
      </c>
    </row>
    <row r="40" spans="3:40" outlineLevel="1" x14ac:dyDescent="0.25">
      <c r="C40" t="s">
        <v>282</v>
      </c>
      <c r="D40" s="24" t="s">
        <v>129</v>
      </c>
      <c r="E40" s="24" t="s">
        <v>117</v>
      </c>
      <c r="G40" s="143">
        <f t="shared" si="59"/>
        <v>1.3468636363636362</v>
      </c>
      <c r="H40" s="143">
        <f>INDEX(Calc_OtherCosts_1[[Ausnet]:[United Energy]],MATCH($D40,Calc_OtherCosts_1[[Cost item]:[Cost item]],0),MATCH(H$18,Calc_OtherCosts_1[[#Headers],[Ausnet]:[United Energy]],0))</f>
        <v>1.3468636363636362</v>
      </c>
      <c r="I40" s="143">
        <f>INDEX(Calc_OtherCosts_1[[Ausnet]:[United Energy]],MATCH($D40,Calc_OtherCosts_1[[Cost item]:[Cost item]],0),MATCH(I$18,Calc_OtherCosts_1[[#Headers],[Ausnet]:[United Energy]],0))</f>
        <v>1.3468636363636362</v>
      </c>
      <c r="J40" s="143">
        <f>INDEX(Calc_OtherCosts_1[[Ausnet]:[United Energy]],MATCH($D40,Calc_OtherCosts_1[[Cost item]:[Cost item]],0),MATCH(J$18,Calc_OtherCosts_1[[#Headers],[Ausnet]:[United Energy]],0))</f>
        <v>1.3468636363636362</v>
      </c>
      <c r="K40" s="143">
        <f>INDEX(Calc_OtherCosts_1[[Ausnet]:[United Energy]],MATCH($D40,Calc_OtherCosts_1[[Cost item]:[Cost item]],0),MATCH(K$18,Calc_OtherCosts_1[[#Headers],[Ausnet]:[United Energy]],0))</f>
        <v>1.3468636363636362</v>
      </c>
      <c r="L40" s="143">
        <f>INDEX(Calc_OtherCosts_1[[Ausnet]:[United Energy]],MATCH($D40,Calc_OtherCosts_1[[Cost item]:[Cost item]],0),MATCH(L$18,Calc_OtherCosts_1[[#Headers],[Ausnet]:[United Energy]],0))</f>
        <v>1.3468636363636362</v>
      </c>
      <c r="N40" s="143">
        <f t="shared" si="60"/>
        <v>1.3478399999999999</v>
      </c>
      <c r="O40" s="143">
        <f>INDEX(Calc_OtherCosts_2[[Ausnet]:[United Energy]],MATCH($D40,Calc_OtherCosts_2[[Cost item]:[Cost item]],0),MATCH(O$18,Calc_OtherCosts_2[[#Headers],[Ausnet]:[United Energy]],0))</f>
        <v>1.3478399999999999</v>
      </c>
      <c r="P40" s="143">
        <f>INDEX(Calc_OtherCosts_2[[Ausnet]:[United Energy]],MATCH($D40,Calc_OtherCosts_2[[Cost item]:[Cost item]],0),MATCH(P$18,Calc_OtherCosts_2[[#Headers],[Ausnet]:[United Energy]],0))</f>
        <v>1.3478399999999999</v>
      </c>
      <c r="Q40" s="143">
        <f>INDEX(Calc_OtherCosts_2[[Ausnet]:[United Energy]],MATCH($D40,Calc_OtherCosts_2[[Cost item]:[Cost item]],0),MATCH(Q$18,Calc_OtherCosts_2[[#Headers],[Ausnet]:[United Energy]],0))</f>
        <v>1.3478399999999999</v>
      </c>
      <c r="R40" s="143">
        <f>INDEX(Calc_OtherCosts_2[[Ausnet]:[United Energy]],MATCH($D40,Calc_OtherCosts_2[[Cost item]:[Cost item]],0),MATCH(R$18,Calc_OtherCosts_2[[#Headers],[Ausnet]:[United Energy]],0))</f>
        <v>1.3478399999999999</v>
      </c>
      <c r="S40" s="143">
        <f>INDEX(Calc_OtherCosts_2[[Ausnet]:[United Energy]],MATCH($D40,Calc_OtherCosts_2[[Cost item]:[Cost item]],0),MATCH(S$18,Calc_OtherCosts_2[[#Headers],[Ausnet]:[United Energy]],0))</f>
        <v>1.3478399999999999</v>
      </c>
      <c r="U40" s="143">
        <f t="shared" si="61"/>
        <v>9.763636363637751E-4</v>
      </c>
      <c r="V40" s="143">
        <f t="shared" si="61"/>
        <v>9.763636363637751E-4</v>
      </c>
      <c r="W40" s="143">
        <f t="shared" si="61"/>
        <v>9.763636363637751E-4</v>
      </c>
      <c r="X40" s="143">
        <f t="shared" si="61"/>
        <v>9.763636363637751E-4</v>
      </c>
      <c r="Y40" s="143">
        <f t="shared" si="61"/>
        <v>9.763636363637751E-4</v>
      </c>
      <c r="Z40" s="143">
        <f t="shared" si="61"/>
        <v>9.763636363637751E-4</v>
      </c>
      <c r="AB40" s="222">
        <f t="shared" si="62"/>
        <v>6.9147566314714951E-7</v>
      </c>
      <c r="AC40" s="222">
        <f t="shared" si="62"/>
        <v>6.2587412587421483E-7</v>
      </c>
      <c r="AD40" s="222">
        <f t="shared" si="62"/>
        <v>7.3081110506270596E-7</v>
      </c>
      <c r="AE40" s="222">
        <f t="shared" si="62"/>
        <v>7.0393917546054437E-7</v>
      </c>
      <c r="AF40" s="222">
        <f t="shared" si="62"/>
        <v>6.8516746411492993E-7</v>
      </c>
      <c r="AG40" s="222">
        <f t="shared" si="62"/>
        <v>7.2269699212714661E-7</v>
      </c>
      <c r="AI40" s="222">
        <f t="shared" si="63"/>
        <v>1.0036038719285181E-3</v>
      </c>
      <c r="AJ40" s="222">
        <f t="shared" si="64"/>
        <v>9.0216867469879516E-4</v>
      </c>
      <c r="AK40" s="222">
        <f t="shared" si="65"/>
        <v>1.0546478873239436E-3</v>
      </c>
      <c r="AL40" s="222">
        <f t="shared" si="66"/>
        <v>1.0249733840304181E-3</v>
      </c>
      <c r="AM40" s="222">
        <f t="shared" si="67"/>
        <v>9.9251840942562596E-4</v>
      </c>
      <c r="AN40" s="222">
        <f t="shared" si="68"/>
        <v>1.0646445497630331E-3</v>
      </c>
    </row>
    <row r="41" spans="3:40" outlineLevel="1" x14ac:dyDescent="0.25">
      <c r="AB41" s="124"/>
      <c r="AC41" s="124"/>
      <c r="AD41" s="124"/>
      <c r="AE41" s="124"/>
      <c r="AF41" s="124"/>
      <c r="AG41" s="124"/>
      <c r="AI41" s="124"/>
      <c r="AJ41" s="124"/>
      <c r="AK41" s="124"/>
      <c r="AL41" s="124"/>
      <c r="AM41" s="124"/>
      <c r="AN41" s="124"/>
    </row>
    <row r="42" spans="3:40" outlineLevel="1" x14ac:dyDescent="0.25">
      <c r="C42" t="s">
        <v>130</v>
      </c>
      <c r="D42" s="24" t="s">
        <v>509</v>
      </c>
      <c r="E42" s="60" t="s">
        <v>117</v>
      </c>
      <c r="G42" s="143">
        <f t="shared" ref="G42:G43" si="69">AVERAGE(H42:L42)</f>
        <v>100.6601</v>
      </c>
      <c r="H42" s="143" cm="1">
        <f t="array" ref="H42">INDEX(Calc_NetworkF_1[[Ausnet]:[United Energy]],MATCH(1,(Calc_NetworkF_1[[Cost item]:[Cost item]]=$D42)*(Calc_NetworkF_1[[Customer type]:[Customer type]]=$E$7),0),MATCH(H$18,Calc_NetworkF_1[[#Headers],[Ausnet]:[United Energy]],0))</f>
        <v>111.11</v>
      </c>
      <c r="I42" s="143" cm="1">
        <f t="array" ref="I42">INDEX(Calc_NetworkF_1[[Ausnet]:[United Energy]],MATCH(1,(Calc_NetworkF_1[[Cost item]:[Cost item]]=$D42)*(Calc_NetworkF_1[[Customer type]:[Customer type]]=$E$7),0),MATCH(I$18,Calc_NetworkF_1[[#Headers],[Ausnet]:[United Energy]],0))</f>
        <v>90.009</v>
      </c>
      <c r="J42" s="143" cm="1">
        <f t="array" ref="J42">INDEX(Calc_NetworkF_1[[Ausnet]:[United Energy]],MATCH(1,(Calc_NetworkF_1[[Cost item]:[Cost item]]=$D42)*(Calc_NetworkF_1[[Customer type]:[Customer type]]=$E$7),0),MATCH(J$18,Calc_NetworkF_1[[#Headers],[Ausnet]:[United Energy]],0))</f>
        <v>82.195999999999998</v>
      </c>
      <c r="K42" s="143" cm="1">
        <f t="array" ref="K42">INDEX(Calc_NetworkF_1[[Ausnet]:[United Energy]],MATCH(1,(Calc_NetworkF_1[[Cost item]:[Cost item]]=$D42)*(Calc_NetworkF_1[[Customer type]:[Customer type]]=$E$7),0),MATCH(K$18,Calc_NetworkF_1[[#Headers],[Ausnet]:[United Energy]],0))</f>
        <v>139.97749999999999</v>
      </c>
      <c r="L42" s="143" cm="1">
        <f t="array" ref="L42">INDEX(Calc_NetworkF_1[[Ausnet]:[United Energy]],MATCH(1,(Calc_NetworkF_1[[Cost item]:[Cost item]]=$D42)*(Calc_NetworkF_1[[Customer type]:[Customer type]]=$E$7),0),MATCH(L$18,Calc_NetworkF_1[[#Headers],[Ausnet]:[United Energy]],0))</f>
        <v>80.007999999999996</v>
      </c>
      <c r="N42" s="143">
        <f t="shared" ref="N42:N43" si="70">AVERAGE(O42:S42)</f>
        <v>100.6601</v>
      </c>
      <c r="O42" s="143" cm="1">
        <f t="array" ref="O42">INDEX(Calc_NetworkF_2[[Ausnet]:[United Energy]],MATCH(1,(Calc_NetworkF_2[[Cost item]:[Cost item]]=$D42)*(Calc_NetworkF_2[[Customer type]:[Customer type]]=$E$7),0),MATCH(O$18,Calc_NetworkF_2[[#Headers],[Ausnet]:[United Energy]],0))</f>
        <v>111.11</v>
      </c>
      <c r="P42" s="143" cm="1">
        <f t="array" ref="P42">INDEX(Calc_NetworkF_2[[Ausnet]:[United Energy]],MATCH(1,(Calc_NetworkF_2[[Cost item]:[Cost item]]=$D42)*(Calc_NetworkF_2[[Customer type]:[Customer type]]=$E$7),0),MATCH(P$18,Calc_NetworkF_2[[#Headers],[Ausnet]:[United Energy]],0))</f>
        <v>90.009</v>
      </c>
      <c r="Q42" s="143" cm="1">
        <f t="array" ref="Q42">INDEX(Calc_NetworkF_2[[Ausnet]:[United Energy]],MATCH(1,(Calc_NetworkF_2[[Cost item]:[Cost item]]=$D42)*(Calc_NetworkF_2[[Customer type]:[Customer type]]=$E$7),0),MATCH(Q$18,Calc_NetworkF_2[[#Headers],[Ausnet]:[United Energy]],0))</f>
        <v>82.195999999999998</v>
      </c>
      <c r="R42" s="143" cm="1">
        <f t="array" ref="R42">INDEX(Calc_NetworkF_2[[Ausnet]:[United Energy]],MATCH(1,(Calc_NetworkF_2[[Cost item]:[Cost item]]=$D42)*(Calc_NetworkF_2[[Customer type]:[Customer type]]=$E$7),0),MATCH(R$18,Calc_NetworkF_2[[#Headers],[Ausnet]:[United Energy]],0))</f>
        <v>139.97749999999999</v>
      </c>
      <c r="S42" s="143" cm="1">
        <f t="array" ref="S42">INDEX(Calc_NetworkF_2[[Ausnet]:[United Energy]],MATCH(1,(Calc_NetworkF_2[[Cost item]:[Cost item]]=$D42)*(Calc_NetworkF_2[[Customer type]:[Customer type]]=$E$7),0),MATCH(S$18,Calc_NetworkF_2[[#Headers],[Ausnet]:[United Energy]],0))</f>
        <v>80.007999999999996</v>
      </c>
      <c r="U42" s="143">
        <f t="shared" ref="U42:Z43" si="71">IFERROR(N42-G42,"-")</f>
        <v>0</v>
      </c>
      <c r="V42" s="143">
        <f t="shared" si="71"/>
        <v>0</v>
      </c>
      <c r="W42" s="143">
        <f t="shared" si="71"/>
        <v>0</v>
      </c>
      <c r="X42" s="143">
        <f t="shared" si="71"/>
        <v>0</v>
      </c>
      <c r="Y42" s="143">
        <f t="shared" si="71"/>
        <v>0</v>
      </c>
      <c r="Z42" s="143">
        <f t="shared" si="71"/>
        <v>0</v>
      </c>
      <c r="AB42" s="222">
        <f t="shared" ref="AB42:AG43" si="72">IFERROR(U42/G$20,"-")</f>
        <v>0</v>
      </c>
      <c r="AC42" s="222">
        <f t="shared" si="72"/>
        <v>0</v>
      </c>
      <c r="AD42" s="222">
        <f t="shared" si="72"/>
        <v>0</v>
      </c>
      <c r="AE42" s="222">
        <f t="shared" si="72"/>
        <v>0</v>
      </c>
      <c r="AF42" s="222">
        <f t="shared" si="72"/>
        <v>0</v>
      </c>
      <c r="AG42" s="222">
        <f t="shared" si="72"/>
        <v>0</v>
      </c>
      <c r="AI42" s="222">
        <f t="shared" ref="AI42:AI43" si="73">IFERROR(N42/N$20,"-")</f>
        <v>7.4951675353685784E-2</v>
      </c>
      <c r="AJ42" s="222">
        <f t="shared" ref="AJ42:AJ43" si="74">IFERROR(O42/O$20,"-")</f>
        <v>7.4370816599732256E-2</v>
      </c>
      <c r="AK42" s="222">
        <f t="shared" ref="AK42:AK43" si="75">IFERROR(P42/P$20,"-")</f>
        <v>7.0429577464788728E-2</v>
      </c>
      <c r="AL42" s="222">
        <f t="shared" ref="AL42:AL43" si="76">IFERROR(Q42/Q$20,"-")</f>
        <v>6.2506463878326993E-2</v>
      </c>
      <c r="AM42" s="222">
        <f t="shared" ref="AM42:AM43" si="77">IFERROR(R42/R$20,"-")</f>
        <v>0.1030762150220913</v>
      </c>
      <c r="AN42" s="222">
        <f t="shared" ref="AN42:AN43" si="78">IFERROR(S42/S$20,"-")</f>
        <v>6.3197472353870451E-2</v>
      </c>
    </row>
    <row r="43" spans="3:40" outlineLevel="1" x14ac:dyDescent="0.25">
      <c r="C43" t="s">
        <v>130</v>
      </c>
      <c r="D43" s="60" t="s">
        <v>284</v>
      </c>
      <c r="E43" s="60" t="s">
        <v>117</v>
      </c>
      <c r="G43" s="143">
        <f t="shared" si="69"/>
        <v>55.641999999999996</v>
      </c>
      <c r="H43" s="143">
        <f>INDEX(Calc_NetworkF_1[[Ausnet]:[United Energy]],MATCH($D43,Calc_NetworkF_1[[Cost item]:[Cost item]],0),MATCH(H$18,Calc_NetworkF_1[[#Headers],[Ausnet]:[United Energy]],0))</f>
        <v>63.7</v>
      </c>
      <c r="I43" s="143">
        <f>INDEX(Calc_NetworkF_1[[Ausnet]:[United Energy]],MATCH($D43,Calc_NetworkF_1[[Cost item]:[Cost item]],0),MATCH(I$18,Calc_NetworkF_1[[#Headers],[Ausnet]:[United Energy]],0))</f>
        <v>59.4</v>
      </c>
      <c r="J43" s="143">
        <f>INDEX(Calc_NetworkF_1[[Ausnet]:[United Energy]],MATCH($D43,Calc_NetworkF_1[[Cost item]:[Cost item]],0),MATCH(J$18,Calc_NetworkF_1[[#Headers],[Ausnet]:[United Energy]],0))</f>
        <v>54.19</v>
      </c>
      <c r="K43" s="143">
        <f>INDEX(Calc_NetworkF_1[[Ausnet]:[United Energy]],MATCH($D43,Calc_NetworkF_1[[Cost item]:[Cost item]],0),MATCH(K$18,Calc_NetworkF_1[[#Headers],[Ausnet]:[United Energy]],0))</f>
        <v>58</v>
      </c>
      <c r="L43" s="143">
        <f>INDEX(Calc_NetworkF_1[[Ausnet]:[United Energy]],MATCH($D43,Calc_NetworkF_1[[Cost item]:[Cost item]],0),MATCH(L$18,Calc_NetworkF_1[[#Headers],[Ausnet]:[United Energy]],0))</f>
        <v>42.92</v>
      </c>
      <c r="N43" s="143">
        <f t="shared" si="70"/>
        <v>55.641999999999996</v>
      </c>
      <c r="O43" s="143">
        <f>INDEX(Calc_NetworkF_2[[Ausnet]:[United Energy]],MATCH($D43,Calc_NetworkF_2[[Cost item]:[Cost item]],0),MATCH(O$18,Calc_NetworkF_2[[#Headers],[Ausnet]:[United Energy]],0))</f>
        <v>63.7</v>
      </c>
      <c r="P43" s="143">
        <f>INDEX(Calc_NetworkF_2[[Ausnet]:[United Energy]],MATCH($D43,Calc_NetworkF_2[[Cost item]:[Cost item]],0),MATCH(P$18,Calc_NetworkF_2[[#Headers],[Ausnet]:[United Energy]],0))</f>
        <v>59.4</v>
      </c>
      <c r="Q43" s="143">
        <f>INDEX(Calc_NetworkF_2[[Ausnet]:[United Energy]],MATCH($D43,Calc_NetworkF_2[[Cost item]:[Cost item]],0),MATCH(Q$18,Calc_NetworkF_2[[#Headers],[Ausnet]:[United Energy]],0))</f>
        <v>54.19</v>
      </c>
      <c r="R43" s="143">
        <f>INDEX(Calc_NetworkF_2[[Ausnet]:[United Energy]],MATCH($D43,Calc_NetworkF_2[[Cost item]:[Cost item]],0),MATCH(R$18,Calc_NetworkF_2[[#Headers],[Ausnet]:[United Energy]],0))</f>
        <v>58</v>
      </c>
      <c r="S43" s="143">
        <f>INDEX(Calc_NetworkF_2[[Ausnet]:[United Energy]],MATCH($D43,Calc_NetworkF_2[[Cost item]:[Cost item]],0),MATCH(S$18,Calc_NetworkF_2[[#Headers],[Ausnet]:[United Energy]],0))</f>
        <v>42.92</v>
      </c>
      <c r="U43" s="143">
        <f t="shared" si="71"/>
        <v>0</v>
      </c>
      <c r="V43" s="143">
        <f t="shared" si="71"/>
        <v>0</v>
      </c>
      <c r="W43" s="143">
        <f t="shared" si="71"/>
        <v>0</v>
      </c>
      <c r="X43" s="143">
        <f t="shared" si="71"/>
        <v>0</v>
      </c>
      <c r="Y43" s="143">
        <f t="shared" si="71"/>
        <v>0</v>
      </c>
      <c r="Z43" s="143">
        <f t="shared" si="71"/>
        <v>0</v>
      </c>
      <c r="AB43" s="222">
        <f t="shared" si="72"/>
        <v>0</v>
      </c>
      <c r="AC43" s="222">
        <f t="shared" si="72"/>
        <v>0</v>
      </c>
      <c r="AD43" s="222">
        <f t="shared" si="72"/>
        <v>0</v>
      </c>
      <c r="AE43" s="222">
        <f t="shared" si="72"/>
        <v>0</v>
      </c>
      <c r="AF43" s="222">
        <f t="shared" si="72"/>
        <v>0</v>
      </c>
      <c r="AG43" s="222">
        <f t="shared" si="72"/>
        <v>0</v>
      </c>
      <c r="AI43" s="222">
        <f t="shared" si="73"/>
        <v>4.1431124348473562E-2</v>
      </c>
      <c r="AJ43" s="222">
        <f t="shared" si="74"/>
        <v>4.2637215528781795E-2</v>
      </c>
      <c r="AK43" s="222">
        <f t="shared" si="75"/>
        <v>4.647887323943662E-2</v>
      </c>
      <c r="AL43" s="222">
        <f t="shared" si="76"/>
        <v>4.1209125475285172E-2</v>
      </c>
      <c r="AM43" s="222">
        <f t="shared" si="77"/>
        <v>4.2709867452135494E-2</v>
      </c>
      <c r="AN43" s="222">
        <f t="shared" si="78"/>
        <v>3.3902053712480257E-2</v>
      </c>
    </row>
    <row r="44" spans="3:40" outlineLevel="1" x14ac:dyDescent="0.25">
      <c r="AB44" s="124"/>
      <c r="AC44" s="124"/>
      <c r="AD44" s="124"/>
      <c r="AE44" s="124"/>
      <c r="AF44" s="124"/>
      <c r="AG44" s="124"/>
      <c r="AI44" s="124"/>
      <c r="AJ44" s="124"/>
      <c r="AK44" s="124"/>
      <c r="AL44" s="124"/>
      <c r="AM44" s="124"/>
      <c r="AN44" s="124"/>
    </row>
    <row r="45" spans="3:40" outlineLevel="1" x14ac:dyDescent="0.25">
      <c r="C45" t="s">
        <v>115</v>
      </c>
      <c r="D45" s="24" t="s">
        <v>301</v>
      </c>
      <c r="E45" s="24" t="s">
        <v>117</v>
      </c>
      <c r="G45" s="143">
        <f t="shared" ref="G45:G46" si="79">AVERAGE(H45:L45)</f>
        <v>143.29536631887984</v>
      </c>
      <c r="H45" s="143">
        <f>AVERAGE(INDEX(Calc_Retail_1[[Ausnet]:[United Energy]],MATCH($D45,Calc_Retail_1[[Cost item]:[Cost item]],0),MATCH(H$18,Calc_Retail_1[[#Headers],[Ausnet]:[United Energy]],0)))</f>
        <v>143.29536631887984</v>
      </c>
      <c r="I45" s="143">
        <f>AVERAGE(INDEX(Calc_Retail_1[[Ausnet]:[United Energy]],MATCH($D45,Calc_Retail_1[[Cost item]:[Cost item]],0),MATCH(I$18,Calc_Retail_1[[#Headers],[Ausnet]:[United Energy]],0)))</f>
        <v>143.29536631887984</v>
      </c>
      <c r="J45" s="143">
        <f>AVERAGE(INDEX(Calc_Retail_1[[Ausnet]:[United Energy]],MATCH($D45,Calc_Retail_1[[Cost item]:[Cost item]],0),MATCH(J$18,Calc_Retail_1[[#Headers],[Ausnet]:[United Energy]],0)))</f>
        <v>143.29536631887984</v>
      </c>
      <c r="K45" s="143">
        <f>AVERAGE(INDEX(Calc_Retail_1[[Ausnet]:[United Energy]],MATCH($D45,Calc_Retail_1[[Cost item]:[Cost item]],0),MATCH(K$18,Calc_Retail_1[[#Headers],[Ausnet]:[United Energy]],0)))</f>
        <v>143.29536631887984</v>
      </c>
      <c r="L45" s="143">
        <f>AVERAGE(INDEX(Calc_Retail_1[[Ausnet]:[United Energy]],MATCH($D45,Calc_Retail_1[[Cost item]:[Cost item]],0),MATCH(L$18,Calc_Retail_1[[#Headers],[Ausnet]:[United Energy]],0)))</f>
        <v>143.29536631887984</v>
      </c>
      <c r="N45" s="143">
        <f t="shared" ref="N45:N46" si="80">AVERAGE(O45:S45)</f>
        <v>141.75366943089429</v>
      </c>
      <c r="O45" s="143">
        <f>AVERAGE(INDEX(Calc_Retail_2[[Ausnet]:[United Energy]],MATCH($D45,Calc_Retail_2[[Cost item]:[Cost item]],0),MATCH(O$18,Calc_Retail_2[[#Headers],[Ausnet]:[United Energy]],0)))</f>
        <v>141.75366943089429</v>
      </c>
      <c r="P45" s="143">
        <f>AVERAGE(INDEX(Calc_Retail_2[[Ausnet]:[United Energy]],MATCH($D45,Calc_Retail_2[[Cost item]:[Cost item]],0),MATCH(P$18,Calc_Retail_2[[#Headers],[Ausnet]:[United Energy]],0)))</f>
        <v>141.75366943089429</v>
      </c>
      <c r="Q45" s="143">
        <f>AVERAGE(INDEX(Calc_Retail_2[[Ausnet]:[United Energy]],MATCH($D45,Calc_Retail_2[[Cost item]:[Cost item]],0),MATCH(Q$18,Calc_Retail_2[[#Headers],[Ausnet]:[United Energy]],0)))</f>
        <v>141.75366943089429</v>
      </c>
      <c r="R45" s="143">
        <f>AVERAGE(INDEX(Calc_Retail_2[[Ausnet]:[United Energy]],MATCH($D45,Calc_Retail_2[[Cost item]:[Cost item]],0),MATCH(R$18,Calc_Retail_2[[#Headers],[Ausnet]:[United Energy]],0)))</f>
        <v>141.75366943089429</v>
      </c>
      <c r="S45" s="143">
        <f>AVERAGE(INDEX(Calc_Retail_2[[Ausnet]:[United Energy]],MATCH($D45,Calc_Retail_2[[Cost item]:[Cost item]],0),MATCH(S$18,Calc_Retail_2[[#Headers],[Ausnet]:[United Energy]],0)))</f>
        <v>141.75366943089429</v>
      </c>
      <c r="U45" s="143">
        <f t="shared" ref="U45:Z46" si="81">IFERROR(N45-G45,"-")</f>
        <v>-1.5416968879855517</v>
      </c>
      <c r="V45" s="143">
        <f t="shared" si="81"/>
        <v>-1.5416968879855517</v>
      </c>
      <c r="W45" s="143">
        <f t="shared" si="81"/>
        <v>-1.5416968879855517</v>
      </c>
      <c r="X45" s="143">
        <f t="shared" si="81"/>
        <v>-1.5416968879855517</v>
      </c>
      <c r="Y45" s="143">
        <f t="shared" si="81"/>
        <v>-1.5416968879855517</v>
      </c>
      <c r="Z45" s="143">
        <f t="shared" si="81"/>
        <v>-1.5416968879855517</v>
      </c>
      <c r="AB45" s="222">
        <f t="shared" ref="AB45:AG46" si="82">IFERROR(U45/G$20,"-")</f>
        <v>-1.0918533201030819E-3</v>
      </c>
      <c r="AC45" s="222">
        <f t="shared" si="82"/>
        <v>-9.8826723588817415E-4</v>
      </c>
      <c r="AD45" s="222">
        <f t="shared" si="82"/>
        <v>-1.1539647365161314E-3</v>
      </c>
      <c r="AE45" s="222">
        <f t="shared" si="82"/>
        <v>-1.1115334448345722E-3</v>
      </c>
      <c r="AF45" s="222">
        <f t="shared" si="82"/>
        <v>-1.0818925529723169E-3</v>
      </c>
      <c r="AG45" s="222">
        <f t="shared" si="82"/>
        <v>-1.1411523967324586E-3</v>
      </c>
      <c r="AI45" s="222">
        <f t="shared" ref="AI45:AI46" si="83">IFERROR(N45/N$20,"-")</f>
        <v>0.10555001446827572</v>
      </c>
      <c r="AJ45" s="222">
        <f t="shared" ref="AJ45:AJ46" si="84">IFERROR(O45/O$20,"-")</f>
        <v>9.4881974183998852E-2</v>
      </c>
      <c r="AK45" s="222">
        <f t="shared" ref="AK45:AK46" si="85">IFERROR(P45/P$20,"-")</f>
        <v>0.11091836418692824</v>
      </c>
      <c r="AL45" s="222">
        <f t="shared" ref="AL45:AL46" si="86">IFERROR(Q45/Q$20,"-")</f>
        <v>0.10779746724782836</v>
      </c>
      <c r="AM45" s="222">
        <f t="shared" ref="AM45:AM46" si="87">IFERROR(R45/R$20,"-")</f>
        <v>0.10438414538357459</v>
      </c>
      <c r="AN45" s="222">
        <f t="shared" ref="AN45:AN46" si="88">IFERROR(S45/S$20,"-")</f>
        <v>0.11196972308917401</v>
      </c>
    </row>
    <row r="46" spans="3:40" outlineLevel="1" x14ac:dyDescent="0.25">
      <c r="C46" t="s">
        <v>115</v>
      </c>
      <c r="D46" s="60" t="s">
        <v>123</v>
      </c>
      <c r="E46" s="60" t="s">
        <v>117</v>
      </c>
      <c r="G46" s="143">
        <f t="shared" si="79"/>
        <v>38.463414634146346</v>
      </c>
      <c r="H46" s="143">
        <f>AVERAGE(INDEX(Calc_Retail_1[[Ausnet]:[United Energy]],MATCH($D46,Calc_Retail_1[[Cost item]:[Cost item]],0),MATCH(H$18,Calc_Retail_1[[#Headers],[Ausnet]:[United Energy]],0)))</f>
        <v>38.463414634146346</v>
      </c>
      <c r="I46" s="143">
        <f>AVERAGE(INDEX(Calc_Retail_1[[Ausnet]:[United Energy]],MATCH($D46,Calc_Retail_1[[Cost item]:[Cost item]],0),MATCH(I$18,Calc_Retail_1[[#Headers],[Ausnet]:[United Energy]],0)))</f>
        <v>38.463414634146346</v>
      </c>
      <c r="J46" s="143">
        <f>AVERAGE(INDEX(Calc_Retail_1[[Ausnet]:[United Energy]],MATCH($D46,Calc_Retail_1[[Cost item]:[Cost item]],0),MATCH(J$18,Calc_Retail_1[[#Headers],[Ausnet]:[United Energy]],0)))</f>
        <v>38.463414634146346</v>
      </c>
      <c r="K46" s="143">
        <f>AVERAGE(INDEX(Calc_Retail_1[[Ausnet]:[United Energy]],MATCH($D46,Calc_Retail_1[[Cost item]:[Cost item]],0),MATCH(K$18,Calc_Retail_1[[#Headers],[Ausnet]:[United Energy]],0)))</f>
        <v>38.463414634146346</v>
      </c>
      <c r="L46" s="143">
        <f>AVERAGE(INDEX(Calc_Retail_1[[Ausnet]:[United Energy]],MATCH($D46,Calc_Retail_1[[Cost item]:[Cost item]],0),MATCH(L$18,Calc_Retail_1[[#Headers],[Ausnet]:[United Energy]],0)))</f>
        <v>38.463414634146346</v>
      </c>
      <c r="N46" s="143">
        <f t="shared" si="80"/>
        <v>39.621951219512198</v>
      </c>
      <c r="O46" s="143">
        <f>AVERAGE(INDEX(Calc_Retail_2[[Ausnet]:[United Energy]],MATCH($D46,Calc_Retail_2[[Cost item]:[Cost item]],0),MATCH(O$18,Calc_Retail_2[[#Headers],[Ausnet]:[United Energy]],0)))</f>
        <v>39.621951219512198</v>
      </c>
      <c r="P46" s="143">
        <f>AVERAGE(INDEX(Calc_Retail_2[[Ausnet]:[United Energy]],MATCH($D46,Calc_Retail_2[[Cost item]:[Cost item]],0),MATCH(P$18,Calc_Retail_2[[#Headers],[Ausnet]:[United Energy]],0)))</f>
        <v>39.621951219512198</v>
      </c>
      <c r="Q46" s="143">
        <f>AVERAGE(INDEX(Calc_Retail_2[[Ausnet]:[United Energy]],MATCH($D46,Calc_Retail_2[[Cost item]:[Cost item]],0),MATCH(Q$18,Calc_Retail_2[[#Headers],[Ausnet]:[United Energy]],0)))</f>
        <v>39.621951219512198</v>
      </c>
      <c r="R46" s="143">
        <f>AVERAGE(INDEX(Calc_Retail_2[[Ausnet]:[United Energy]],MATCH($D46,Calc_Retail_2[[Cost item]:[Cost item]],0),MATCH(R$18,Calc_Retail_2[[#Headers],[Ausnet]:[United Energy]],0)))</f>
        <v>39.621951219512198</v>
      </c>
      <c r="S46" s="143">
        <f>AVERAGE(INDEX(Calc_Retail_2[[Ausnet]:[United Energy]],MATCH($D46,Calc_Retail_2[[Cost item]:[Cost item]],0),MATCH(S$18,Calc_Retail_2[[#Headers],[Ausnet]:[United Energy]],0)))</f>
        <v>39.621951219512198</v>
      </c>
      <c r="U46" s="143">
        <f t="shared" si="81"/>
        <v>1.1585365853658516</v>
      </c>
      <c r="V46" s="143">
        <f t="shared" si="81"/>
        <v>1.1585365853658516</v>
      </c>
      <c r="W46" s="143">
        <f t="shared" si="81"/>
        <v>1.1585365853658516</v>
      </c>
      <c r="X46" s="143">
        <f t="shared" si="81"/>
        <v>1.1585365853658516</v>
      </c>
      <c r="Y46" s="143">
        <f t="shared" si="81"/>
        <v>1.1585365853658516</v>
      </c>
      <c r="Z46" s="143">
        <f t="shared" si="81"/>
        <v>1.1585365853658516</v>
      </c>
      <c r="AB46" s="222">
        <f>IFERROR(U46/G$20,"-")</f>
        <v>8.2049333241207621E-4</v>
      </c>
      <c r="AC46" s="222">
        <f t="shared" si="82"/>
        <v>7.4265165728580227E-4</v>
      </c>
      <c r="AD46" s="222">
        <f t="shared" si="82"/>
        <v>8.6716810281875121E-4</v>
      </c>
      <c r="AE46" s="222">
        <f t="shared" si="82"/>
        <v>8.3528232542599249E-4</v>
      </c>
      <c r="AF46" s="222">
        <f t="shared" si="82"/>
        <v>8.130081300812994E-4</v>
      </c>
      <c r="AG46" s="222">
        <f t="shared" si="82"/>
        <v>8.5754003357946078E-4</v>
      </c>
      <c r="AI46" s="222">
        <f t="shared" si="83"/>
        <v>2.9502569783702307E-2</v>
      </c>
      <c r="AJ46" s="222">
        <f t="shared" si="84"/>
        <v>2.6520717014399061E-2</v>
      </c>
      <c r="AK46" s="222">
        <f t="shared" si="85"/>
        <v>3.1003091721058057E-2</v>
      </c>
      <c r="AL46" s="222">
        <f t="shared" si="86"/>
        <v>3.0130761383659468E-2</v>
      </c>
      <c r="AM46" s="222">
        <f t="shared" si="87"/>
        <v>2.9176694565178348E-2</v>
      </c>
      <c r="AN46" s="222">
        <f t="shared" si="88"/>
        <v>3.1296959889030175E-2</v>
      </c>
    </row>
    <row r="47" spans="3:40" outlineLevel="1" x14ac:dyDescent="0.25">
      <c r="AB47" s="124"/>
      <c r="AC47" s="124"/>
      <c r="AD47" s="124"/>
      <c r="AE47" s="124"/>
      <c r="AF47" s="124"/>
      <c r="AG47" s="124"/>
      <c r="AI47" s="124"/>
      <c r="AJ47" s="124"/>
      <c r="AK47" s="124"/>
      <c r="AL47" s="124"/>
      <c r="AM47" s="124"/>
      <c r="AN47" s="124"/>
    </row>
    <row r="48" spans="3:40" outlineLevel="1" x14ac:dyDescent="0.25">
      <c r="D48" s="214" t="s">
        <v>625</v>
      </c>
      <c r="E48" s="58" t="s">
        <v>117</v>
      </c>
      <c r="F48" s="214"/>
      <c r="G48" s="166">
        <f>AVERAGE(H48:L48)</f>
        <v>355.03682178452232</v>
      </c>
      <c r="H48" s="166">
        <f>H35+H37+H38+H39+H40+H42+H43+H45+H46</f>
        <v>373.54472178452227</v>
      </c>
      <c r="I48" s="166">
        <f t="shared" ref="I48:L48" si="89">I35+I37+I38+I39+I40+I42+I43+I45+I46</f>
        <v>348.14372178452231</v>
      </c>
      <c r="J48" s="166">
        <f t="shared" si="89"/>
        <v>335.12072178452229</v>
      </c>
      <c r="K48" s="166">
        <f t="shared" si="89"/>
        <v>396.71222178452228</v>
      </c>
      <c r="L48" s="166">
        <f t="shared" si="89"/>
        <v>321.66272178452232</v>
      </c>
      <c r="M48" s="214"/>
      <c r="N48" s="166">
        <f>AVERAGE(O48:S48)</f>
        <v>355.13539470153961</v>
      </c>
      <c r="O48" s="166">
        <f>O35+O37+O38+O39+O40+O42+O43+O45+O46</f>
        <v>373.64329470153962</v>
      </c>
      <c r="P48" s="166">
        <f t="shared" ref="P48:S48" si="90">P35+P37+P38+P39+P40+P42+P43+P45+P46</f>
        <v>348.24229470153961</v>
      </c>
      <c r="Q48" s="166">
        <f t="shared" si="90"/>
        <v>335.21929470153964</v>
      </c>
      <c r="R48" s="166">
        <f t="shared" si="90"/>
        <v>396.81079470153958</v>
      </c>
      <c r="S48" s="166">
        <f t="shared" si="90"/>
        <v>321.76129470153955</v>
      </c>
      <c r="U48" s="143">
        <f>IFERROR(N48-G48,"-")</f>
        <v>9.8572917017293094E-2</v>
      </c>
      <c r="V48" s="143">
        <f t="shared" ref="V48" si="91">IFERROR(O48-H48,"-")</f>
        <v>9.8572917017349937E-2</v>
      </c>
      <c r="W48" s="143">
        <f>IFERROR(P48-I48,"-")</f>
        <v>9.8572917017293094E-2</v>
      </c>
      <c r="X48" s="143">
        <f t="shared" ref="X48:Z48" si="92">IFERROR(Q48-J48,"-")</f>
        <v>9.8572917017349937E-2</v>
      </c>
      <c r="Y48" s="143">
        <f t="shared" si="92"/>
        <v>9.8572917017293094E-2</v>
      </c>
      <c r="Z48" s="143">
        <f t="shared" si="92"/>
        <v>9.857291701723625E-2</v>
      </c>
      <c r="AB48" s="222">
        <f>IFERROR(U48/G$20,"-")</f>
        <v>6.9810847745958282E-5</v>
      </c>
      <c r="AC48" s="222">
        <f t="shared" ref="AC48:AG48" si="93">IFERROR(V48/H$20,"-")</f>
        <v>6.3187767318814068E-5</v>
      </c>
      <c r="AD48" s="222">
        <f t="shared" si="93"/>
        <v>7.3782123515937949E-5</v>
      </c>
      <c r="AE48" s="222">
        <f t="shared" si="93"/>
        <v>7.106915430234314E-5</v>
      </c>
      <c r="AF48" s="222">
        <f t="shared" si="93"/>
        <v>6.9173976854240764E-5</v>
      </c>
      <c r="AG48" s="222">
        <f t="shared" si="93"/>
        <v>7.2962928954282933E-5</v>
      </c>
      <c r="AI48" s="233">
        <f>AVERAGE(AJ48:AN48)</f>
        <v>0.26477275623013258</v>
      </c>
      <c r="AJ48" s="233">
        <f>AJ35+AJ37+AJ38+AJ39+AJ40+AJ42+AJ43+AJ45+AJ46</f>
        <v>0.25009591345484578</v>
      </c>
      <c r="AK48" s="233">
        <f t="shared" ref="AK48:AN48" si="94">AK35+AK37+AK38+AK39+AK40+AK42+AK43+AK45+AK46</f>
        <v>0.27249005845190888</v>
      </c>
      <c r="AL48" s="233">
        <f t="shared" si="94"/>
        <v>0.25491961574261562</v>
      </c>
      <c r="AM48" s="233">
        <f t="shared" si="94"/>
        <v>0.29220235250481563</v>
      </c>
      <c r="AN48" s="233">
        <f t="shared" si="94"/>
        <v>0.25415584099647681</v>
      </c>
    </row>
    <row r="49" spans="3:48" outlineLevel="1" x14ac:dyDescent="0.25">
      <c r="AB49" s="124"/>
      <c r="AC49" s="124"/>
      <c r="AD49" s="124"/>
      <c r="AE49" s="124"/>
      <c r="AF49" s="124"/>
      <c r="AG49" s="124"/>
      <c r="AI49" s="124"/>
      <c r="AJ49" s="124"/>
      <c r="AK49" s="124"/>
      <c r="AL49" s="124"/>
      <c r="AM49" s="124"/>
      <c r="AN49" s="124"/>
    </row>
    <row r="50" spans="3:48" ht="15.75" outlineLevel="1" x14ac:dyDescent="0.25">
      <c r="D50" s="30" t="s">
        <v>626</v>
      </c>
      <c r="AB50" s="124"/>
      <c r="AC50" s="124"/>
      <c r="AD50" s="124"/>
      <c r="AE50" s="124"/>
      <c r="AF50" s="124"/>
      <c r="AG50" s="124"/>
      <c r="AI50" s="124"/>
      <c r="AJ50" s="124"/>
      <c r="AK50" s="124"/>
      <c r="AL50" s="124"/>
      <c r="AM50" s="124"/>
      <c r="AN50" s="124"/>
    </row>
    <row r="51" spans="3:48" outlineLevel="1" x14ac:dyDescent="0.25">
      <c r="C51" t="s">
        <v>160</v>
      </c>
      <c r="D51" s="45" t="s">
        <v>316</v>
      </c>
      <c r="E51" s="24" t="s">
        <v>139</v>
      </c>
      <c r="G51" s="143">
        <f t="shared" ref="G51:G53" si="95">AVERAGE(H51:L51)</f>
        <v>22.348230726776563</v>
      </c>
      <c r="H51" s="143">
        <f>INDEX(Calc_EnviroVEU_1[[Ausnet]:[United Energy]],MATCH($D51,Calc_EnviroVEU_1[Cost item],0),MATCH(H$18,Calc_EnviroVEU_1[[#Headers],[Ausnet]:[United Energy]],0))*$G$9</f>
        <v>22.348230726776563</v>
      </c>
      <c r="I51" s="143">
        <f>INDEX(Calc_EnviroVEU_1[[Ausnet]:[United Energy]],MATCH($D51,Calc_EnviroVEU_1[Cost item],0),MATCH(I$18,Calc_EnviroVEU_1[[#Headers],[Ausnet]:[United Energy]],0))*$G$9</f>
        <v>22.348230726776563</v>
      </c>
      <c r="J51" s="143">
        <f>INDEX(Calc_EnviroVEU_1[[Ausnet]:[United Energy]],MATCH($D51,Calc_EnviroVEU_1[Cost item],0),MATCH(J$18,Calc_EnviroVEU_1[[#Headers],[Ausnet]:[United Energy]],0))*$G$9</f>
        <v>22.348230726776563</v>
      </c>
      <c r="K51" s="143">
        <f>INDEX(Calc_EnviroVEU_1[[Ausnet]:[United Energy]],MATCH($D51,Calc_EnviroVEU_1[Cost item],0),MATCH(K$18,Calc_EnviroVEU_1[[#Headers],[Ausnet]:[United Energy]],0))*$G$9</f>
        <v>22.348230726776563</v>
      </c>
      <c r="L51" s="143">
        <f>INDEX(Calc_EnviroVEU_1[[Ausnet]:[United Energy]],MATCH($D51,Calc_EnviroVEU_1[Cost item],0),MATCH(L$18,Calc_EnviroVEU_1[[#Headers],[Ausnet]:[United Energy]],0))*$G$9</f>
        <v>22.348230726776563</v>
      </c>
      <c r="N51" s="143">
        <f t="shared" ref="N51:N53" si="96">AVERAGE(O51:S51)</f>
        <v>39.299517472610361</v>
      </c>
      <c r="O51" s="143">
        <f>INDEX(Calc_EnviroVEU_2[[Ausnet]:[United Energy]],MATCH($D51,Calc_EnviroVEU_2[Cost item],0),MATCH(O$18,Calc_EnviroVEU_2[[#Headers],[Ausnet]:[United Energy]],0))*$N$9</f>
        <v>39.299517472610361</v>
      </c>
      <c r="P51" s="143">
        <f>INDEX(Calc_EnviroVEU_2[[Ausnet]:[United Energy]],MATCH($D51,Calc_EnviroVEU_2[Cost item],0),MATCH(P$18,Calc_EnviroVEU_2[[#Headers],[Ausnet]:[United Energy]],0))*$N$9</f>
        <v>39.299517472610361</v>
      </c>
      <c r="Q51" s="143">
        <f>INDEX(Calc_EnviroVEU_2[[Ausnet]:[United Energy]],MATCH($D51,Calc_EnviroVEU_2[Cost item],0),MATCH(Q$18,Calc_EnviroVEU_2[[#Headers],[Ausnet]:[United Energy]],0))*$N$9</f>
        <v>39.299517472610361</v>
      </c>
      <c r="R51" s="143">
        <f>INDEX(Calc_EnviroVEU_2[[Ausnet]:[United Energy]],MATCH($D51,Calc_EnviroVEU_2[Cost item],0),MATCH(R$18,Calc_EnviroVEU_2[[#Headers],[Ausnet]:[United Energy]],0))*$N$9</f>
        <v>39.299517472610361</v>
      </c>
      <c r="S51" s="143">
        <f>INDEX(Calc_EnviroVEU_2[[Ausnet]:[United Energy]],MATCH($D51,Calc_EnviroVEU_2[Cost item],0),MATCH(S$18,Calc_EnviroVEU_2[[#Headers],[Ausnet]:[United Energy]],0))*$N$9</f>
        <v>39.299517472610361</v>
      </c>
      <c r="U51" s="143">
        <f t="shared" ref="U51:Z53" si="97">IFERROR(N51-G51,"-")</f>
        <v>16.951286745833798</v>
      </c>
      <c r="V51" s="143">
        <f t="shared" si="97"/>
        <v>16.951286745833798</v>
      </c>
      <c r="W51" s="143">
        <f t="shared" si="97"/>
        <v>16.951286745833798</v>
      </c>
      <c r="X51" s="143">
        <f t="shared" si="97"/>
        <v>16.951286745833798</v>
      </c>
      <c r="Y51" s="143">
        <f t="shared" si="97"/>
        <v>16.951286745833798</v>
      </c>
      <c r="Z51" s="143">
        <f t="shared" si="97"/>
        <v>16.951286745833798</v>
      </c>
      <c r="AB51" s="222">
        <f>IFERROR(U51/G$20,"-")</f>
        <v>1.2005160584868129E-2</v>
      </c>
      <c r="AC51" s="222">
        <f t="shared" ref="AB51:AG53" si="98">IFERROR(V51/H$20,"-")</f>
        <v>1.0866209452457563E-2</v>
      </c>
      <c r="AD51" s="222">
        <f t="shared" si="98"/>
        <v>1.2688088881612124E-2</v>
      </c>
      <c r="AE51" s="222">
        <f t="shared" si="98"/>
        <v>1.2221547761956596E-2</v>
      </c>
      <c r="AF51" s="222">
        <f t="shared" si="98"/>
        <v>1.1895639821637752E-2</v>
      </c>
      <c r="AG51" s="222">
        <f t="shared" si="98"/>
        <v>1.2547214467678607E-2</v>
      </c>
      <c r="AI51" s="222">
        <f>IFERROR(N51/N$20,"-")</f>
        <v>2.9262485087572867E-2</v>
      </c>
      <c r="AJ51" s="222">
        <f t="shared" ref="AJ51:AJ53" si="99">IFERROR(O51/O$20,"-")</f>
        <v>2.6304897906700375E-2</v>
      </c>
      <c r="AK51" s="222">
        <f t="shared" ref="AK51:AK53" si="100">IFERROR(P51/P$20,"-")</f>
        <v>3.0750796144452551E-2</v>
      </c>
      <c r="AL51" s="222">
        <f t="shared" ref="AL51:AL53" si="101">IFERROR(Q51/Q$20,"-")</f>
        <v>2.9885564617954646E-2</v>
      </c>
      <c r="AM51" s="222">
        <f t="shared" ref="AM51:AM53" si="102">IFERROR(R51/R$20,"-")</f>
        <v>2.8939261761863299E-2</v>
      </c>
      <c r="AN51" s="222">
        <f t="shared" ref="AN51:AN53" si="103">IFERROR(S51/S$20,"-")</f>
        <v>3.1042272885158262E-2</v>
      </c>
      <c r="AP51" s="237"/>
      <c r="AQ51" s="237"/>
      <c r="AR51" s="120"/>
    </row>
    <row r="52" spans="3:48" outlineLevel="1" x14ac:dyDescent="0.25">
      <c r="C52" t="s">
        <v>160</v>
      </c>
      <c r="D52" s="45" t="s">
        <v>318</v>
      </c>
      <c r="E52" s="24" t="s">
        <v>139</v>
      </c>
      <c r="G52" s="143">
        <f t="shared" si="95"/>
        <v>25.403108929581201</v>
      </c>
      <c r="H52" s="143">
        <f>INDEX(Calc_EnviroLRET_1[[Ausnet]:[United Energy]],MATCH($D52,Calc_EnviroLRET_1[Cost item],0),MATCH(H$18,Calc_EnviroLRET_1[[#Headers],[Ausnet]:[United Energy]],0))*$G$9</f>
        <v>25.403108929581201</v>
      </c>
      <c r="I52" s="143">
        <f>INDEX(Calc_EnviroLRET_1[[Ausnet]:[United Energy]],MATCH($D52,Calc_EnviroLRET_1[Cost item],0),MATCH(I$18,Calc_EnviroLRET_1[[#Headers],[Ausnet]:[United Energy]],0))*$G$9</f>
        <v>25.403108929581201</v>
      </c>
      <c r="J52" s="143">
        <f>INDEX(Calc_EnviroLRET_1[[Ausnet]:[United Energy]],MATCH($D52,Calc_EnviroLRET_1[Cost item],0),MATCH(J$18,Calc_EnviroLRET_1[[#Headers],[Ausnet]:[United Energy]],0))*$G$9</f>
        <v>25.403108929581201</v>
      </c>
      <c r="K52" s="143">
        <f>INDEX(Calc_EnviroLRET_1[[Ausnet]:[United Energy]],MATCH($D52,Calc_EnviroLRET_1[Cost item],0),MATCH(K$18,Calc_EnviroLRET_1[[#Headers],[Ausnet]:[United Energy]],0))*$G$9</f>
        <v>25.403108929581201</v>
      </c>
      <c r="L52" s="143">
        <f>INDEX(Calc_EnviroLRET_1[[Ausnet]:[United Energy]],MATCH($D52,Calc_EnviroLRET_1[Cost item],0),MATCH(L$18,Calc_EnviroLRET_1[[#Headers],[Ausnet]:[United Energy]],0))*$G$9</f>
        <v>25.403108929581201</v>
      </c>
      <c r="N52" s="143">
        <f t="shared" si="96"/>
        <v>25.540703999999998</v>
      </c>
      <c r="O52" s="143">
        <f>INDEX(Calc_EnviroLRET_2[[Ausnet]:[United Energy]],MATCH($D52,Calc_EnviroLRET_2[Cost item],0),MATCH(O$18,Calc_EnviroLRET_2[[#Headers],[Ausnet]:[United Energy]],0))*$N$9</f>
        <v>25.540703999999998</v>
      </c>
      <c r="P52" s="143">
        <f>INDEX(Calc_EnviroLRET_2[[Ausnet]:[United Energy]],MATCH($D52,Calc_EnviroLRET_2[Cost item],0),MATCH(P$18,Calc_EnviroLRET_2[[#Headers],[Ausnet]:[United Energy]],0))*$N$9</f>
        <v>25.540703999999998</v>
      </c>
      <c r="Q52" s="143">
        <f>INDEX(Calc_EnviroLRET_2[[Ausnet]:[United Energy]],MATCH($D52,Calc_EnviroLRET_2[Cost item],0),MATCH(Q$18,Calc_EnviroLRET_2[[#Headers],[Ausnet]:[United Energy]],0))*$N$9</f>
        <v>25.540703999999998</v>
      </c>
      <c r="R52" s="143">
        <f>INDEX(Calc_EnviroLRET_2[[Ausnet]:[United Energy]],MATCH($D52,Calc_EnviroLRET_2[Cost item],0),MATCH(R$18,Calc_EnviroLRET_2[[#Headers],[Ausnet]:[United Energy]],0))*$N$9</f>
        <v>25.540703999999998</v>
      </c>
      <c r="S52" s="143">
        <f>INDEX(Calc_EnviroLRET_2[[Ausnet]:[United Energy]],MATCH($D52,Calc_EnviroLRET_2[Cost item],0),MATCH(S$18,Calc_EnviroLRET_2[[#Headers],[Ausnet]:[United Energy]],0))*$N$9</f>
        <v>25.540703999999998</v>
      </c>
      <c r="U52" s="143">
        <f t="shared" si="97"/>
        <v>0.13759507041879715</v>
      </c>
      <c r="V52" s="143">
        <f t="shared" si="97"/>
        <v>0.13759507041879715</v>
      </c>
      <c r="W52" s="143">
        <f t="shared" si="97"/>
        <v>0.13759507041879715</v>
      </c>
      <c r="X52" s="143">
        <f t="shared" si="97"/>
        <v>0.13759507041879715</v>
      </c>
      <c r="Y52" s="143">
        <f t="shared" si="97"/>
        <v>0.13759507041879715</v>
      </c>
      <c r="Z52" s="143">
        <f t="shared" si="97"/>
        <v>0.13759507041879715</v>
      </c>
      <c r="AB52" s="222">
        <f t="shared" si="98"/>
        <v>9.7446933724360581E-5</v>
      </c>
      <c r="AC52" s="222">
        <f t="shared" si="98"/>
        <v>8.8201968217177661E-5</v>
      </c>
      <c r="AD52" s="222">
        <f t="shared" si="98"/>
        <v>1.0299032216975835E-4</v>
      </c>
      <c r="AE52" s="222">
        <f t="shared" si="98"/>
        <v>9.9203367281036156E-5</v>
      </c>
      <c r="AF52" s="222">
        <f t="shared" si="98"/>
        <v>9.6557944153541865E-5</v>
      </c>
      <c r="AG52" s="222">
        <f t="shared" si="98"/>
        <v>1.0184683228630433E-4</v>
      </c>
      <c r="AI52" s="222">
        <f t="shared" ref="AI52:AI53" si="104">IFERROR(N52/N$20,"-")</f>
        <v>1.9017650037230081E-2</v>
      </c>
      <c r="AJ52" s="222">
        <f t="shared" si="99"/>
        <v>1.7095518072289154E-2</v>
      </c>
      <c r="AK52" s="222">
        <f t="shared" si="100"/>
        <v>1.9984901408450703E-2</v>
      </c>
      <c r="AL52" s="222">
        <f t="shared" si="101"/>
        <v>1.9422588593155894E-2</v>
      </c>
      <c r="AM52" s="222">
        <f t="shared" si="102"/>
        <v>1.8807587628865977E-2</v>
      </c>
      <c r="AN52" s="222">
        <f t="shared" si="103"/>
        <v>2.01743317535545E-2</v>
      </c>
      <c r="AR52" s="238"/>
    </row>
    <row r="53" spans="3:48" outlineLevel="1" x14ac:dyDescent="0.25">
      <c r="C53" t="s">
        <v>160</v>
      </c>
      <c r="D53" s="24" t="s">
        <v>320</v>
      </c>
      <c r="E53" s="24" t="s">
        <v>139</v>
      </c>
      <c r="G53" s="143">
        <f t="shared" si="95"/>
        <v>45.039999999999992</v>
      </c>
      <c r="H53" s="143">
        <f>INDEX(Calc_EnviroSRES_1[[Ausnet]:[United Energy]],MATCH($D53,Calc_EnviroSRES_1[Cost item],0),MATCH(H$18,Calc_EnviroSRES_1[[#Headers],[Ausnet]:[United Energy]],0))*$G$9</f>
        <v>45.039999999999992</v>
      </c>
      <c r="I53" s="143">
        <f>INDEX(Calc_EnviroSRES_1[[Ausnet]:[United Energy]],MATCH($D53,Calc_EnviroSRES_1[Cost item],0),MATCH(I$18,Calc_EnviroSRES_1[[#Headers],[Ausnet]:[United Energy]],0))*$G$9</f>
        <v>45.039999999999992</v>
      </c>
      <c r="J53" s="143">
        <f>INDEX(Calc_EnviroSRES_1[[Ausnet]:[United Energy]],MATCH($D53,Calc_EnviroSRES_1[Cost item],0),MATCH(J$18,Calc_EnviroSRES_1[[#Headers],[Ausnet]:[United Energy]],0))*$G$9</f>
        <v>45.039999999999992</v>
      </c>
      <c r="K53" s="143">
        <f>INDEX(Calc_EnviroSRES_1[[Ausnet]:[United Energy]],MATCH($D53,Calc_EnviroSRES_1[Cost item],0),MATCH(K$18,Calc_EnviroSRES_1[[#Headers],[Ausnet]:[United Energy]],0))*$G$9</f>
        <v>45.039999999999992</v>
      </c>
      <c r="L53" s="143">
        <f>INDEX(Calc_EnviroSRES_1[[Ausnet]:[United Energy]],MATCH($D53,Calc_EnviroSRES_1[Cost item],0),MATCH(L$18,Calc_EnviroSRES_1[[#Headers],[Ausnet]:[United Energy]],0))*$G$9</f>
        <v>45.039999999999992</v>
      </c>
      <c r="N53" s="143">
        <f t="shared" si="96"/>
        <v>40.96</v>
      </c>
      <c r="O53" s="143">
        <f>INDEX(Calc_EnviroSRES_2[[Ausnet]:[United Energy]],MATCH($D53,Calc_EnviroSRES_2[Cost item],0),MATCH(O$18,Calc_EnviroSRES_2[[#Headers],[Ausnet]:[United Energy]],0))*$N$9</f>
        <v>40.96</v>
      </c>
      <c r="P53" s="143">
        <f>INDEX(Calc_EnviroSRES_2[[Ausnet]:[United Energy]],MATCH($D53,Calc_EnviroSRES_2[Cost item],0),MATCH(P$18,Calc_EnviroSRES_2[[#Headers],[Ausnet]:[United Energy]],0))*$N$9</f>
        <v>40.96</v>
      </c>
      <c r="Q53" s="143">
        <f>INDEX(Calc_EnviroSRES_2[[Ausnet]:[United Energy]],MATCH($D53,Calc_EnviroSRES_2[Cost item],0),MATCH(Q$18,Calc_EnviroSRES_2[[#Headers],[Ausnet]:[United Energy]],0))*$N$9</f>
        <v>40.96</v>
      </c>
      <c r="R53" s="143">
        <f>INDEX(Calc_EnviroSRES_2[[Ausnet]:[United Energy]],MATCH($D53,Calc_EnviroSRES_2[Cost item],0),MATCH(R$18,Calc_EnviroSRES_2[[#Headers],[Ausnet]:[United Energy]],0))*$N$9</f>
        <v>40.96</v>
      </c>
      <c r="S53" s="143">
        <f>INDEX(Calc_EnviroSRES_2[[Ausnet]:[United Energy]],MATCH($D53,Calc_EnviroSRES_2[Cost item],0),MATCH(S$18,Calc_EnviroSRES_2[[#Headers],[Ausnet]:[United Energy]],0))*$N$9</f>
        <v>40.96</v>
      </c>
      <c r="U53" s="143">
        <f t="shared" si="97"/>
        <v>-4.0799999999999912</v>
      </c>
      <c r="V53" s="143">
        <f t="shared" si="97"/>
        <v>-4.0799999999999912</v>
      </c>
      <c r="W53" s="143">
        <f t="shared" si="97"/>
        <v>-4.0799999999999912</v>
      </c>
      <c r="X53" s="143">
        <f t="shared" si="97"/>
        <v>-4.0799999999999912</v>
      </c>
      <c r="Y53" s="143">
        <f t="shared" si="97"/>
        <v>-4.0799999999999912</v>
      </c>
      <c r="Z53" s="143">
        <f t="shared" si="97"/>
        <v>-4.0799999999999912</v>
      </c>
      <c r="AB53" s="222">
        <f t="shared" si="98"/>
        <v>-2.8895184135977275E-3</v>
      </c>
      <c r="AC53" s="222">
        <f t="shared" si="98"/>
        <v>-2.6153846153846097E-3</v>
      </c>
      <c r="AD53" s="222">
        <f t="shared" si="98"/>
        <v>-3.0538922155688556E-3</v>
      </c>
      <c r="AE53" s="222">
        <f t="shared" si="98"/>
        <v>-2.9416005767844205E-3</v>
      </c>
      <c r="AF53" s="222">
        <f t="shared" si="98"/>
        <v>-2.8631578947368361E-3</v>
      </c>
      <c r="AG53" s="222">
        <f t="shared" si="98"/>
        <v>-3.0199851961509928E-3</v>
      </c>
      <c r="AI53" s="222">
        <f t="shared" si="104"/>
        <v>3.0498883097542815E-2</v>
      </c>
      <c r="AJ53" s="222">
        <f t="shared" si="99"/>
        <v>2.7416331994645247E-2</v>
      </c>
      <c r="AK53" s="222">
        <f t="shared" si="100"/>
        <v>3.2050078247261346E-2</v>
      </c>
      <c r="AL53" s="222">
        <f t="shared" si="101"/>
        <v>3.1148288973384033E-2</v>
      </c>
      <c r="AM53" s="222">
        <f t="shared" si="102"/>
        <v>3.0162002945508099E-2</v>
      </c>
      <c r="AN53" s="222">
        <f t="shared" si="103"/>
        <v>3.2353870458135862E-2</v>
      </c>
      <c r="AQ53" s="237"/>
      <c r="AR53" s="120"/>
      <c r="AT53" s="88"/>
      <c r="AU53" s="88"/>
      <c r="AV53" s="120"/>
    </row>
    <row r="54" spans="3:48" outlineLevel="1" x14ac:dyDescent="0.25">
      <c r="AB54" s="124"/>
      <c r="AC54" s="124"/>
      <c r="AD54" s="124"/>
      <c r="AE54" s="124"/>
      <c r="AF54" s="124"/>
      <c r="AG54" s="124"/>
      <c r="AI54" s="124"/>
      <c r="AJ54" s="124"/>
      <c r="AK54" s="124"/>
      <c r="AL54" s="124"/>
      <c r="AM54" s="124"/>
      <c r="AN54" s="124"/>
    </row>
    <row r="55" spans="3:48" outlineLevel="1" x14ac:dyDescent="0.25">
      <c r="AB55" s="124"/>
      <c r="AC55" s="124"/>
      <c r="AD55" s="124"/>
      <c r="AE55" s="124"/>
      <c r="AF55" s="124"/>
      <c r="AG55" s="124"/>
      <c r="AI55" s="124"/>
      <c r="AJ55" s="124"/>
      <c r="AK55" s="124"/>
      <c r="AL55" s="124"/>
      <c r="AM55" s="124"/>
      <c r="AN55" s="124"/>
      <c r="AQ55" s="237"/>
      <c r="AR55" s="120"/>
    </row>
    <row r="56" spans="3:48" outlineLevel="1" x14ac:dyDescent="0.25">
      <c r="C56" t="s">
        <v>130</v>
      </c>
      <c r="D56" t="s">
        <v>622</v>
      </c>
      <c r="E56" s="24" t="s">
        <v>139</v>
      </c>
      <c r="G56" s="143">
        <f>AVERAGE((H57+H58),I59,J59,K59,L59)</f>
        <v>354.48240000000004</v>
      </c>
      <c r="N56" s="143">
        <f>AVERAGE((O57+O58),P59,Q59,R59,S59)</f>
        <v>354.48240000000004</v>
      </c>
      <c r="U56" s="143">
        <f t="shared" ref="U56:Z59" si="105">IFERROR(N56-G56,"-")</f>
        <v>0</v>
      </c>
      <c r="V56" s="143">
        <f t="shared" si="105"/>
        <v>0</v>
      </c>
      <c r="W56" s="143">
        <f t="shared" si="105"/>
        <v>0</v>
      </c>
      <c r="X56" s="143">
        <f t="shared" si="105"/>
        <v>0</v>
      </c>
      <c r="Y56" s="143">
        <f t="shared" si="105"/>
        <v>0</v>
      </c>
      <c r="Z56" s="143">
        <f t="shared" si="105"/>
        <v>0</v>
      </c>
      <c r="AB56" s="222">
        <f t="shared" ref="AB56:AG59" si="106">IFERROR(U56/G$20,"-")</f>
        <v>0</v>
      </c>
      <c r="AC56" s="222">
        <f t="shared" si="106"/>
        <v>0</v>
      </c>
      <c r="AD56" s="222">
        <f t="shared" si="106"/>
        <v>0</v>
      </c>
      <c r="AE56" s="222">
        <f t="shared" si="106"/>
        <v>0</v>
      </c>
      <c r="AF56" s="222">
        <f t="shared" si="106"/>
        <v>0</v>
      </c>
      <c r="AG56" s="222">
        <f t="shared" si="106"/>
        <v>0</v>
      </c>
      <c r="AI56" s="222">
        <f t="shared" ref="AI56:AI59" si="107">IFERROR(N56/N$20,"-")</f>
        <v>0.26394817572598661</v>
      </c>
      <c r="AJ56" s="222">
        <f t="shared" ref="AJ56:AJ59" si="108">IFERROR(O56/O$20,"-")</f>
        <v>0</v>
      </c>
      <c r="AK56" s="222">
        <f t="shared" ref="AK56:AK59" si="109">IFERROR(P56/P$20,"-")</f>
        <v>0</v>
      </c>
      <c r="AL56" s="222">
        <f t="shared" ref="AL56:AL59" si="110">IFERROR(Q56/Q$20,"-")</f>
        <v>0</v>
      </c>
      <c r="AM56" s="222">
        <f t="shared" ref="AM56:AM59" si="111">IFERROR(R56/R$20,"-")</f>
        <v>0</v>
      </c>
      <c r="AN56" s="222">
        <f t="shared" ref="AN56:AN59" si="112">IFERROR(S56/S$20,"-")</f>
        <v>0</v>
      </c>
    </row>
    <row r="57" spans="3:48" outlineLevel="1" x14ac:dyDescent="0.25">
      <c r="D57" s="24" t="s">
        <v>230</v>
      </c>
      <c r="E57" s="24" t="s">
        <v>139</v>
      </c>
      <c r="G57" s="143">
        <f t="shared" ref="G57:G59" si="113">AVERAGE(H57:L57)</f>
        <v>91.602400000000017</v>
      </c>
      <c r="H57" s="143" cm="1">
        <f t="array" ref="H57">IFERROR(
INDEX(Calc_NetworkV_1[[Ausnet]:[United Energy]],
MATCH(1,(Calc_NetworkV_1[Cost item]=$D57)*(Calc_NetworkV_1[Customer type]=$E$7),0),
MATCH(H$18,Calc_NetworkV_1[[#Headers],[Ausnet]:[United Energy]],0))*
INDEX($G$9:$G$12,MATCH(IF($D57="Single rate","Annual",$D57),$F$9:$F$12,0),1),0)</f>
        <v>458.01200000000006</v>
      </c>
      <c r="I57" s="143" cm="1">
        <f t="array" ref="I57">IFERROR(
INDEX(Calc_NetworkV_1[[Ausnet]:[United Energy]],
MATCH(1,(Calc_NetworkV_1[Cost item]=$D57)*(Calc_NetworkV_1[Customer type]=$E$7),0),
MATCH(I$18,Calc_NetworkV_1[[#Headers],[Ausnet]:[United Energy]],0))*
INDEX($G$9:$G$12,MATCH(IF($D57="Single rate","Annual",$D57),$F$9:$F$12,0),1),0)</f>
        <v>0</v>
      </c>
      <c r="J57" s="143" cm="1">
        <f t="array" ref="J57">IFERROR(
INDEX(Calc_NetworkV_1[[Ausnet]:[United Energy]],
MATCH(1,(Calc_NetworkV_1[Cost item]=$D57)*(Calc_NetworkV_1[Customer type]=$E$7),0),
MATCH(J$18,Calc_NetworkV_1[[#Headers],[Ausnet]:[United Energy]],0))*
INDEX($G$9:$G$12,MATCH(IF($D57="Single rate","Annual",$D57),$F$9:$F$12,0),1),0)</f>
        <v>0</v>
      </c>
      <c r="K57" s="143" cm="1">
        <f t="array" ref="K57">IFERROR(
INDEX(Calc_NetworkV_1[[Ausnet]:[United Energy]],
MATCH(1,(Calc_NetworkV_1[Cost item]=$D57)*(Calc_NetworkV_1[Customer type]=$E$7),0),
MATCH(K$18,Calc_NetworkV_1[[#Headers],[Ausnet]:[United Energy]],0))*
INDEX($G$9:$G$12,MATCH(IF($D57="Single rate","Annual",$D57),$F$9:$F$12,0),1),0)</f>
        <v>0</v>
      </c>
      <c r="L57" s="143" cm="1">
        <f t="array" ref="L57">IFERROR(
INDEX(Calc_NetworkV_1[[Ausnet]:[United Energy]],
MATCH(1,(Calc_NetworkV_1[Cost item]=$D57)*(Calc_NetworkV_1[Customer type]=$E$7),0),
MATCH(L$18,Calc_NetworkV_1[[#Headers],[Ausnet]:[United Energy]],0))*
INDEX($G$9:$G$12,MATCH(IF($D57="Single rate","Annual",$D57),$F$9:$F$12,0),1),0)</f>
        <v>0</v>
      </c>
      <c r="N57" s="143">
        <f t="shared" ref="N57:N59" si="114">AVERAGE(O57:S57)</f>
        <v>91.602400000000017</v>
      </c>
      <c r="O57" s="143" cm="1">
        <f t="array" ref="O57">IFERROR(
INDEX(Calc_NetworkV_2[[Ausnet]:[United Energy]],
MATCH(1,(Calc_NetworkV_2[Cost item]=$D57)*(Calc_NetworkV_2[Customer type]=$E$7),0),
MATCH(O$18,Calc_NetworkV_2[[#Headers],[Ausnet]:[United Energy]],0))*
INDEX($G$9:$G$12,MATCH(IF($D57="Single rate","Annual",$D57),$F$9:$F$12,0),1),0)</f>
        <v>458.01200000000006</v>
      </c>
      <c r="P57" s="143" cm="1">
        <f t="array" ref="P57">IFERROR(
INDEX(Calc_NetworkV_2[[Ausnet]:[United Energy]],
MATCH(1,(Calc_NetworkV_2[Cost item]=$D57)*(Calc_NetworkV_2[Customer type]=$E$7),0),
MATCH(P$18,Calc_NetworkV_2[[#Headers],[Ausnet]:[United Energy]],0))*
INDEX($G$9:$G$12,MATCH(IF($D57="Single rate","Annual",$D57),$F$9:$F$12,0),1),0)</f>
        <v>0</v>
      </c>
      <c r="Q57" s="143" cm="1">
        <f t="array" ref="Q57">IFERROR(
INDEX(Calc_NetworkV_2[[Ausnet]:[United Energy]],
MATCH(1,(Calc_NetworkV_2[Cost item]=$D57)*(Calc_NetworkV_2[Customer type]=$E$7),0),
MATCH(Q$18,Calc_NetworkV_2[[#Headers],[Ausnet]:[United Energy]],0))*
INDEX($G$9:$G$12,MATCH(IF($D57="Single rate","Annual",$D57),$F$9:$F$12,0),1),0)</f>
        <v>0</v>
      </c>
      <c r="R57" s="143" cm="1">
        <f t="array" ref="R57">IFERROR(
INDEX(Calc_NetworkV_2[[Ausnet]:[United Energy]],
MATCH(1,(Calc_NetworkV_2[Cost item]=$D57)*(Calc_NetworkV_2[Customer type]=$E$7),0),
MATCH(R$18,Calc_NetworkV_2[[#Headers],[Ausnet]:[United Energy]],0))*
INDEX($G$9:$G$12,MATCH(IF($D57="Single rate","Annual",$D57),$F$9:$F$12,0),1),0)</f>
        <v>0</v>
      </c>
      <c r="S57" s="143" cm="1">
        <f t="array" ref="S57">IFERROR(
INDEX(Calc_NetworkV_2[[Ausnet]:[United Energy]],
MATCH(1,(Calc_NetworkV_2[Cost item]=$D57)*(Calc_NetworkV_2[Customer type]=$E$7),0),
MATCH(S$18,Calc_NetworkV_2[[#Headers],[Ausnet]:[United Energy]],0))*
INDEX($G$9:$G$12,MATCH(IF($D57="Single rate","Annual",$D57),$F$9:$F$12,0),1),0)</f>
        <v>0</v>
      </c>
      <c r="U57" s="143">
        <f t="shared" si="105"/>
        <v>0</v>
      </c>
      <c r="V57" s="143">
        <f t="shared" si="105"/>
        <v>0</v>
      </c>
      <c r="W57" s="143">
        <f t="shared" si="105"/>
        <v>0</v>
      </c>
      <c r="X57" s="143">
        <f t="shared" si="105"/>
        <v>0</v>
      </c>
      <c r="Y57" s="143">
        <f t="shared" si="105"/>
        <v>0</v>
      </c>
      <c r="Z57" s="143">
        <f t="shared" si="105"/>
        <v>0</v>
      </c>
      <c r="AB57" s="222">
        <f t="shared" si="106"/>
        <v>0</v>
      </c>
      <c r="AC57" s="222">
        <f t="shared" si="106"/>
        <v>0</v>
      </c>
      <c r="AD57" s="222">
        <f t="shared" si="106"/>
        <v>0</v>
      </c>
      <c r="AE57" s="222">
        <f t="shared" si="106"/>
        <v>0</v>
      </c>
      <c r="AF57" s="222">
        <f>IFERROR(Y57/K$20,"-")</f>
        <v>0</v>
      </c>
      <c r="AG57" s="222">
        <f t="shared" si="106"/>
        <v>0</v>
      </c>
      <c r="AI57" s="222">
        <f t="shared" si="107"/>
        <v>6.8207297096053623E-2</v>
      </c>
      <c r="AJ57" s="222">
        <f t="shared" si="108"/>
        <v>0.3065676037483267</v>
      </c>
      <c r="AK57" s="222">
        <f t="shared" si="109"/>
        <v>0</v>
      </c>
      <c r="AL57" s="222">
        <f t="shared" si="110"/>
        <v>0</v>
      </c>
      <c r="AM57" s="222">
        <f t="shared" si="111"/>
        <v>0</v>
      </c>
      <c r="AN57" s="222">
        <f t="shared" si="112"/>
        <v>0</v>
      </c>
      <c r="AR57" s="120"/>
    </row>
    <row r="58" spans="3:48" outlineLevel="1" x14ac:dyDescent="0.25">
      <c r="D58" s="24" t="s">
        <v>237</v>
      </c>
      <c r="E58" s="24" t="s">
        <v>139</v>
      </c>
      <c r="G58" s="143">
        <f t="shared" si="113"/>
        <v>0</v>
      </c>
      <c r="H58" s="143" cm="1">
        <f t="array" ref="H58">IFERROR(
INDEX(Calc_NetworkV_1[[Ausnet]:[United Energy]],
MATCH(1,(Calc_NetworkV_1[Cost item]=$D58)*(Calc_NetworkV_1[Customer type]=$E$7),0),
MATCH(H$18,Calc_NetworkV_1[[#Headers],[Ausnet]:[United Energy]],0))*
INDEX($G$9:$G$12,MATCH(IF($D58="Single rate","Annual",$D58),$F$9:$F$12,0),1),0)</f>
        <v>0</v>
      </c>
      <c r="I58" s="143" cm="1">
        <f t="array" ref="I58">IFERROR(
INDEX(Calc_NetworkV_1[[Ausnet]:[United Energy]],
MATCH(1,(Calc_NetworkV_1[Cost item]=$D58)*(Calc_NetworkV_1[Customer type]=$E$7),0),
MATCH(I$18,Calc_NetworkV_1[[#Headers],[Ausnet]:[United Energy]],0))*
INDEX($G$9:$G$12,MATCH(IF($D58="Single rate","Annual",$D58),$F$9:$F$12,0),1),0)</f>
        <v>0</v>
      </c>
      <c r="J58" s="143" cm="1">
        <f t="array" ref="J58">IFERROR(
INDEX(Calc_NetworkV_1[[Ausnet]:[United Energy]],
MATCH(1,(Calc_NetworkV_1[Cost item]=$D58)*(Calc_NetworkV_1[Customer type]=$E$7),0),
MATCH(J$18,Calc_NetworkV_1[[#Headers],[Ausnet]:[United Energy]],0))*
INDEX($G$9:$G$12,MATCH(IF($D58="Single rate","Annual",$D58),$F$9:$F$12,0),1),0)</f>
        <v>0</v>
      </c>
      <c r="K58" s="143" cm="1">
        <f t="array" ref="K58">IFERROR(
INDEX(Calc_NetworkV_1[[Ausnet]:[United Energy]],
MATCH(1,(Calc_NetworkV_1[Cost item]=$D58)*(Calc_NetworkV_1[Customer type]=$E$7),0),
MATCH(K$18,Calc_NetworkV_1[[#Headers],[Ausnet]:[United Energy]],0))*
INDEX($G$9:$G$12,MATCH(IF($D58="Single rate","Annual",$D58),$F$9:$F$12,0),1),0)</f>
        <v>0</v>
      </c>
      <c r="L58" s="143" cm="1">
        <f t="array" ref="L58">IFERROR(
INDEX(Calc_NetworkV_1[[Ausnet]:[United Energy]],
MATCH(1,(Calc_NetworkV_1[Cost item]=$D58)*(Calc_NetworkV_1[Customer type]=$E$7),0),
MATCH(L$18,Calc_NetworkV_1[[#Headers],[Ausnet]:[United Energy]],0))*
INDEX($G$9:$G$12,MATCH(IF($D58="Single rate","Annual",$D58),$F$9:$F$12,0),1),0)</f>
        <v>0</v>
      </c>
      <c r="N58" s="143">
        <f t="shared" si="114"/>
        <v>0</v>
      </c>
      <c r="O58" s="143" cm="1">
        <f t="array" ref="O58">IFERROR(
INDEX(Calc_NetworkV_2[[Ausnet]:[United Energy]],
MATCH(1,(Calc_NetworkV_2[Cost item]=$D58)*(Calc_NetworkV_2[Customer type]=$E$7),0),
MATCH(O$18,Calc_NetworkV_2[[#Headers],[Ausnet]:[United Energy]],0))*
INDEX($G$9:$G$12,MATCH(IF($D58="Single rate","Annual",$D58),$F$9:$F$12,0),1),0)</f>
        <v>0</v>
      </c>
      <c r="P58" s="143" cm="1">
        <f t="array" ref="P58">IFERROR(
INDEX(Calc_NetworkV_2[[Ausnet]:[United Energy]],
MATCH(1,(Calc_NetworkV_2[Cost item]=$D58)*(Calc_NetworkV_2[Customer type]=$E$7),0),
MATCH(P$18,Calc_NetworkV_2[[#Headers],[Ausnet]:[United Energy]],0))*
INDEX($G$9:$G$12,MATCH(IF($D58="Single rate","Annual",$D58),$F$9:$F$12,0),1),0)</f>
        <v>0</v>
      </c>
      <c r="Q58" s="143" cm="1">
        <f t="array" ref="Q58">IFERROR(
INDEX(Calc_NetworkV_2[[Ausnet]:[United Energy]],
MATCH(1,(Calc_NetworkV_2[Cost item]=$D58)*(Calc_NetworkV_2[Customer type]=$E$7),0),
MATCH(Q$18,Calc_NetworkV_2[[#Headers],[Ausnet]:[United Energy]],0))*
INDEX($G$9:$G$12,MATCH(IF($D58="Single rate","Annual",$D58),$F$9:$F$12,0),1),0)</f>
        <v>0</v>
      </c>
      <c r="R58" s="143" cm="1">
        <f t="array" ref="R58">IFERROR(
INDEX(Calc_NetworkV_2[[Ausnet]:[United Energy]],
MATCH(1,(Calc_NetworkV_2[Cost item]=$D58)*(Calc_NetworkV_2[Customer type]=$E$7),0),
MATCH(R$18,Calc_NetworkV_2[[#Headers],[Ausnet]:[United Energy]],0))*
INDEX($G$9:$G$12,MATCH(IF($D58="Single rate","Annual",$D58),$F$9:$F$12,0),1),0)</f>
        <v>0</v>
      </c>
      <c r="S58" s="143" cm="1">
        <f t="array" ref="S58">IFERROR(
INDEX(Calc_NetworkV_2[[Ausnet]:[United Energy]],
MATCH(1,(Calc_NetworkV_2[Cost item]=$D58)*(Calc_NetworkV_2[Customer type]=$E$7),0),
MATCH(S$18,Calc_NetworkV_2[[#Headers],[Ausnet]:[United Energy]],0))*
INDEX($G$9:$G$12,MATCH(IF($D58="Single rate","Annual",$D58),$F$9:$F$12,0),1),0)</f>
        <v>0</v>
      </c>
      <c r="U58" s="143">
        <f t="shared" si="105"/>
        <v>0</v>
      </c>
      <c r="V58" s="143">
        <f t="shared" si="105"/>
        <v>0</v>
      </c>
      <c r="W58" s="143">
        <f t="shared" si="105"/>
        <v>0</v>
      </c>
      <c r="X58" s="143">
        <f t="shared" si="105"/>
        <v>0</v>
      </c>
      <c r="Y58" s="143">
        <f t="shared" si="105"/>
        <v>0</v>
      </c>
      <c r="Z58" s="143">
        <f t="shared" si="105"/>
        <v>0</v>
      </c>
      <c r="AB58" s="222">
        <f t="shared" si="106"/>
        <v>0</v>
      </c>
      <c r="AC58" s="222">
        <f t="shared" si="106"/>
        <v>0</v>
      </c>
      <c r="AD58" s="222">
        <f t="shared" si="106"/>
        <v>0</v>
      </c>
      <c r="AE58" s="222">
        <f t="shared" si="106"/>
        <v>0</v>
      </c>
      <c r="AF58" s="222">
        <f t="shared" si="106"/>
        <v>0</v>
      </c>
      <c r="AG58" s="222">
        <f t="shared" si="106"/>
        <v>0</v>
      </c>
      <c r="AI58" s="222">
        <f t="shared" si="107"/>
        <v>0</v>
      </c>
      <c r="AJ58" s="222">
        <f t="shared" si="108"/>
        <v>0</v>
      </c>
      <c r="AK58" s="222">
        <f t="shared" si="109"/>
        <v>0</v>
      </c>
      <c r="AL58" s="222">
        <f t="shared" si="110"/>
        <v>0</v>
      </c>
      <c r="AM58" s="222">
        <f t="shared" si="111"/>
        <v>0</v>
      </c>
      <c r="AN58" s="222">
        <f t="shared" si="112"/>
        <v>0</v>
      </c>
    </row>
    <row r="59" spans="3:48" outlineLevel="1" x14ac:dyDescent="0.25">
      <c r="D59" s="24" t="s">
        <v>508</v>
      </c>
      <c r="E59" s="24" t="s">
        <v>139</v>
      </c>
      <c r="G59" s="143">
        <f t="shared" si="113"/>
        <v>262.88</v>
      </c>
      <c r="H59" s="143" cm="1">
        <f t="array" ref="H59">IFERROR(
INDEX(Calc_NetworkV_1[[Ausnet]:[United Energy]],
MATCH(1,(Calc_NetworkV_1[Cost item]=$D59)*(Calc_NetworkV_1[Customer type]=$E$7),0),
MATCH(H$18,Calc_NetworkV_1[[#Headers],[Ausnet]:[United Energy]],0))*
INDEX($G$9:$G$12,MATCH(IF($D59="Single rate","Annual",$D59),$F$9:$F$12,0),1),0)</f>
        <v>0</v>
      </c>
      <c r="I59" s="143" cm="1">
        <f t="array" ref="I59">IFERROR(
INDEX(Calc_NetworkV_1[[Ausnet]:[United Energy]],
MATCH(1,(Calc_NetworkV_1[Cost item]=$D59)*(Calc_NetworkV_1[Customer type]=$E$7),0),
MATCH(I$18,Calc_NetworkV_1[[#Headers],[Ausnet]:[United Energy]],0))*
INDEX($G$9:$G$12,MATCH(IF($D59="Single rate","Annual",$D59),$F$9:$F$12,0),1),0)</f>
        <v>322</v>
      </c>
      <c r="J59" s="143" cm="1">
        <f t="array" ref="J59">IFERROR(
INDEX(Calc_NetworkV_1[[Ausnet]:[United Energy]],
MATCH(1,(Calc_NetworkV_1[Cost item]=$D59)*(Calc_NetworkV_1[Customer type]=$E$7),0),
MATCH(J$18,Calc_NetworkV_1[[#Headers],[Ausnet]:[United Energy]],0))*
INDEX($G$9:$G$12,MATCH(IF($D59="Single rate","Annual",$D59),$F$9:$F$12,0),1),0)</f>
        <v>346.8</v>
      </c>
      <c r="K59" s="143" cm="1">
        <f t="array" ref="K59">IFERROR(
INDEX(Calc_NetworkV_1[[Ausnet]:[United Energy]],
MATCH(1,(Calc_NetworkV_1[Cost item]=$D59)*(Calc_NetworkV_1[Customer type]=$E$7),0),
MATCH(K$18,Calc_NetworkV_1[[#Headers],[Ausnet]:[United Energy]],0))*
INDEX($G$9:$G$12,MATCH(IF($D59="Single rate","Annual",$D59),$F$9:$F$12,0),1),0)</f>
        <v>326</v>
      </c>
      <c r="L59" s="143" cm="1">
        <f t="array" ref="L59">IFERROR(
INDEX(Calc_NetworkV_1[[Ausnet]:[United Energy]],
MATCH(1,(Calc_NetworkV_1[Cost item]=$D59)*(Calc_NetworkV_1[Customer type]=$E$7),0),
MATCH(L$18,Calc_NetworkV_1[[#Headers],[Ausnet]:[United Energy]],0))*
INDEX($G$9:$G$12,MATCH(IF($D59="Single rate","Annual",$D59),$F$9:$F$12,0),1),0)</f>
        <v>319.60000000000002</v>
      </c>
      <c r="N59" s="143">
        <f t="shared" si="114"/>
        <v>262.88</v>
      </c>
      <c r="O59" s="143" cm="1">
        <f t="array" ref="O59">IFERROR(
INDEX(Calc_NetworkV_2[[Ausnet]:[United Energy]],
MATCH(1,(Calc_NetworkV_2[Cost item]=$D59)*(Calc_NetworkV_2[Customer type]=$E$7),0),
MATCH(O$18,Calc_NetworkV_2[[#Headers],[Ausnet]:[United Energy]],0))*
INDEX($G$9:$G$12,MATCH(IF($D59="Single rate","Annual",$D59),$F$9:$F$12,0),1),0)</f>
        <v>0</v>
      </c>
      <c r="P59" s="143" cm="1">
        <f t="array" ref="P59">IFERROR(
INDEX(Calc_NetworkV_2[[Ausnet]:[United Energy]],
MATCH(1,(Calc_NetworkV_2[Cost item]=$D59)*(Calc_NetworkV_2[Customer type]=$E$7),0),
MATCH(P$18,Calc_NetworkV_2[[#Headers],[Ausnet]:[United Energy]],0))*
INDEX($G$9:$G$12,MATCH(IF($D59="Single rate","Annual",$D59),$F$9:$F$12,0),1),0)</f>
        <v>322</v>
      </c>
      <c r="Q59" s="143" cm="1">
        <f t="array" ref="Q59">IFERROR(
INDEX(Calc_NetworkV_2[[Ausnet]:[United Energy]],
MATCH(1,(Calc_NetworkV_2[Cost item]=$D59)*(Calc_NetworkV_2[Customer type]=$E$7),0),
MATCH(Q$18,Calc_NetworkV_2[[#Headers],[Ausnet]:[United Energy]],0))*
INDEX($G$9:$G$12,MATCH(IF($D59="Single rate","Annual",$D59),$F$9:$F$12,0),1),0)</f>
        <v>346.8</v>
      </c>
      <c r="R59" s="143" cm="1">
        <f t="array" ref="R59">IFERROR(
INDEX(Calc_NetworkV_2[[Ausnet]:[United Energy]],
MATCH(1,(Calc_NetworkV_2[Cost item]=$D59)*(Calc_NetworkV_2[Customer type]=$E$7),0),
MATCH(R$18,Calc_NetworkV_2[[#Headers],[Ausnet]:[United Energy]],0))*
INDEX($G$9:$G$12,MATCH(IF($D59="Single rate","Annual",$D59),$F$9:$F$12,0),1),0)</f>
        <v>326</v>
      </c>
      <c r="S59" s="143" cm="1">
        <f t="array" ref="S59">IFERROR(
INDEX(Calc_NetworkV_2[[Ausnet]:[United Energy]],
MATCH(1,(Calc_NetworkV_2[Cost item]=$D59)*(Calc_NetworkV_2[Customer type]=$E$7),0),
MATCH(S$18,Calc_NetworkV_2[[#Headers],[Ausnet]:[United Energy]],0))*
INDEX($G$9:$G$12,MATCH(IF($D59="Single rate","Annual",$D59),$F$9:$F$12,0),1),0)</f>
        <v>319.60000000000002</v>
      </c>
      <c r="U59" s="143">
        <f t="shared" si="105"/>
        <v>0</v>
      </c>
      <c r="V59" s="143">
        <f t="shared" si="105"/>
        <v>0</v>
      </c>
      <c r="W59" s="143">
        <f t="shared" si="105"/>
        <v>0</v>
      </c>
      <c r="X59" s="143">
        <f t="shared" si="105"/>
        <v>0</v>
      </c>
      <c r="Y59" s="143">
        <f t="shared" si="105"/>
        <v>0</v>
      </c>
      <c r="Z59" s="143">
        <f t="shared" si="105"/>
        <v>0</v>
      </c>
      <c r="AB59" s="222">
        <f t="shared" si="106"/>
        <v>0</v>
      </c>
      <c r="AC59" s="222">
        <f t="shared" si="106"/>
        <v>0</v>
      </c>
      <c r="AD59" s="222">
        <f t="shared" si="106"/>
        <v>0</v>
      </c>
      <c r="AE59" s="222">
        <f t="shared" si="106"/>
        <v>0</v>
      </c>
      <c r="AF59" s="222">
        <f t="shared" si="106"/>
        <v>0</v>
      </c>
      <c r="AG59" s="222">
        <f t="shared" si="106"/>
        <v>0</v>
      </c>
      <c r="AI59" s="222">
        <f t="shared" si="107"/>
        <v>0.19574087862993297</v>
      </c>
      <c r="AJ59" s="222">
        <f t="shared" si="108"/>
        <v>0</v>
      </c>
      <c r="AK59" s="222">
        <f t="shared" si="109"/>
        <v>0.2519561815336463</v>
      </c>
      <c r="AL59" s="222">
        <f t="shared" si="110"/>
        <v>0.26372623574144488</v>
      </c>
      <c r="AM59" s="222">
        <f t="shared" si="111"/>
        <v>0.24005891016200295</v>
      </c>
      <c r="AN59" s="222">
        <f t="shared" si="112"/>
        <v>0.2524486571879937</v>
      </c>
    </row>
    <row r="60" spans="3:48" outlineLevel="1" x14ac:dyDescent="0.25">
      <c r="AB60" s="124"/>
      <c r="AC60" s="124"/>
      <c r="AD60" s="124"/>
      <c r="AE60" s="124"/>
      <c r="AF60" s="124"/>
      <c r="AG60" s="124"/>
      <c r="AI60" s="124"/>
      <c r="AJ60" s="124"/>
      <c r="AK60" s="124"/>
      <c r="AL60" s="124"/>
      <c r="AM60" s="124"/>
      <c r="AN60" s="124"/>
    </row>
    <row r="61" spans="3:48" outlineLevel="1" x14ac:dyDescent="0.25">
      <c r="C61" t="s">
        <v>293</v>
      </c>
      <c r="D61" s="24" t="s">
        <v>759</v>
      </c>
      <c r="E61" s="24" t="s">
        <v>139</v>
      </c>
      <c r="G61" s="236">
        <f t="shared" ref="G61:G62" si="115">AVERAGE(H61:L61)</f>
        <v>20.894830003302662</v>
      </c>
      <c r="H61" s="236">
        <f>(H$71)*
((INDEX(Input_ForRateCalc[[F-CurrentVDO_InputDate]:[F-NextVDO_Input]],MATCH("Distribution loss factor - "&amp;H$18,Input_ForRateCalc[[Cost item]:[Cost item]],0),MATCH($G$17,Inputs!$H$8:$Q$8,0))*
INDEX(Input_ForRateCalc[[F-CurrentVDO_InputDate]:[F-NextVDO_Input]],MATCH("Marginal loss factor - "&amp;H$18,Input_ForRateCalc[[Cost item]:[Cost item]],0),MATCH($G$17,Inputs!$H$8:$Q$8,0)))-1)</f>
        <v>25.341967664999959</v>
      </c>
      <c r="I61" s="236">
        <f>(I$71)*
((INDEX(Input_ForRateCalc[[F-CurrentVDO_InputDate]:[F-NextVDO_Input]],MATCH("Distribution loss factor - "&amp;I$18,Input_ForRateCalc[[Cost item]:[Cost item]],0),MATCH($G$17,Inputs!$H$8:$Q$8,0))*
INDEX(Input_ForRateCalc[[F-CurrentVDO_InputDate]:[F-NextVDO_Input]],MATCH("Marginal loss factor - "&amp;I$18,Input_ForRateCalc[[Cost item]:[Cost item]],0),MATCH($G$17,Inputs!$H$8:$Q$8,0)))-1)</f>
        <v>17.361338499959981</v>
      </c>
      <c r="J61" s="236">
        <f>(J$71)*
((INDEX(Input_ForRateCalc[[F-CurrentVDO_InputDate]:[F-NextVDO_Input]],MATCH("Distribution loss factor - "&amp;J$18,Input_ForRateCalc[[Cost item]:[Cost item]],0),MATCH($G$17,Inputs!$H$8:$Q$8,0))*
INDEX(Input_ForRateCalc[[F-CurrentVDO_InputDate]:[F-NextVDO_Input]],MATCH("Marginal loss factor - "&amp;J$18,Input_ForRateCalc[[Cost item]:[Cost item]],0),MATCH($G$17,Inputs!$H$8:$Q$8,0)))-1)</f>
        <v>14.794315573333424</v>
      </c>
      <c r="K61" s="236">
        <f>(K$71)*
((INDEX(Input_ForRateCalc[[F-CurrentVDO_InputDate]:[F-NextVDO_Input]],MATCH("Distribution loss factor - "&amp;K$18,Input_ForRateCalc[[Cost item]:[Cost item]],0),MATCH($G$17,Inputs!$H$8:$Q$8,0))*
INDEX(Input_ForRateCalc[[F-CurrentVDO_InputDate]:[F-NextVDO_Input]],MATCH("Marginal loss factor - "&amp;K$18,Input_ForRateCalc[[Cost item]:[Cost item]],0),MATCH($G$17,Inputs!$H$8:$Q$8,0)))-1)</f>
        <v>26.286069054499873</v>
      </c>
      <c r="L61" s="236">
        <f>(L$71)*
((INDEX(Input_ForRateCalc[[F-CurrentVDO_InputDate]:[F-NextVDO_Input]],MATCH("Distribution loss factor - "&amp;L$18,Input_ForRateCalc[[Cost item]:[Cost item]],0),MATCH($G$17,Inputs!$H$8:$Q$8,0))*
INDEX(Input_ForRateCalc[[F-CurrentVDO_InputDate]:[F-NextVDO_Input]],MATCH("Marginal loss factor - "&amp;L$18,Input_ForRateCalc[[Cost item]:[Cost item]],0),MATCH($G$17,Inputs!$H$8:$Q$8,0)))-1)</f>
        <v>20.690459223720062</v>
      </c>
      <c r="N61" s="236">
        <f>AVERAGE(O61:S61)</f>
        <v>16.52642733766687</v>
      </c>
      <c r="O61" s="236">
        <f>(O$71)*
((INDEX(Input_ForRateCalc[[F-CurrentVDO_InputDate]:[F-NextVDO_Input]],MATCH("Distribution loss factor - "&amp;O$18,Input_ForRateCalc[[Cost item]:[Cost item]],0),MATCH($N$17,Inputs!$H$8:$Q$8,0))*
INDEX(Input_ForRateCalc[[F-CurrentVDO_InputDate]:[F-NextVDO_Input]],MATCH("Marginal loss factor - "&amp;O$18,Input_ForRateCalc[[Cost item]:[Cost item]],0),MATCH($N$17,Inputs!$H$8:$Q$8,0)))-1)</f>
        <v>22.783906130974991</v>
      </c>
      <c r="P61" s="236">
        <f>(P$71)*
((INDEX(Input_ForRateCalc[[F-CurrentVDO_InputDate]:[F-NextVDO_Input]],MATCH("Distribution loss factor - "&amp;P$18,Input_ForRateCalc[[Cost item]:[Cost item]],0),MATCH($N$17,Inputs!$H$8:$Q$8,0))*
INDEX(Input_ForRateCalc[[F-CurrentVDO_InputDate]:[F-NextVDO_Input]],MATCH("Marginal loss factor - "&amp;P$18,Input_ForRateCalc[[Cost item]:[Cost item]],0),MATCH($N$17,Inputs!$H$8:$Q$8,0)))-1)</f>
        <v>13.009180266666695</v>
      </c>
      <c r="Q61" s="236">
        <f>(Q$71)*
((INDEX(Input_ForRateCalc[[F-CurrentVDO_InputDate]:[F-NextVDO_Input]],MATCH("Distribution loss factor - "&amp;Q$18,Input_ForRateCalc[[Cost item]:[Cost item]],0),MATCH($N$17,Inputs!$H$8:$Q$8,0))*
INDEX(Input_ForRateCalc[[F-CurrentVDO_InputDate]:[F-NextVDO_Input]],MATCH("Marginal loss factor - "&amp;Q$18,Input_ForRateCalc[[Cost item]:[Cost item]],0),MATCH($N$17,Inputs!$H$8:$Q$8,0)))-1)</f>
        <v>12.511149405000015</v>
      </c>
      <c r="R61" s="236">
        <f>(R$71)*
((INDEX(Input_ForRateCalc[[F-CurrentVDO_InputDate]:[F-NextVDO_Input]],MATCH("Distribution loss factor - "&amp;R$18,Input_ForRateCalc[[Cost item]:[Cost item]],0),MATCH($N$17,Inputs!$H$8:$Q$8,0))*
INDEX(Input_ForRateCalc[[F-CurrentVDO_InputDate]:[F-NextVDO_Input]],MATCH("Marginal loss factor - "&amp;R$18,Input_ForRateCalc[[Cost item]:[Cost item]],0),MATCH($N$17,Inputs!$H$8:$Q$8,0)))-1)</f>
        <v>20.044897097510855</v>
      </c>
      <c r="S61" s="236">
        <f>(S$71)*
((INDEX(Input_ForRateCalc[[F-CurrentVDO_InputDate]:[F-NextVDO_Input]],MATCH("Distribution loss factor - "&amp;S$18,Input_ForRateCalc[[Cost item]:[Cost item]],0),MATCH($N$17,Inputs!$H$8:$Q$8,0))*
INDEX(Input_ForRateCalc[[F-CurrentVDO_InputDate]:[F-NextVDO_Input]],MATCH("Marginal loss factor - "&amp;S$18,Input_ForRateCalc[[Cost item]:[Cost item]],0),MATCH($N$17,Inputs!$H$8:$Q$8,0)))-1)</f>
        <v>14.283003788181807</v>
      </c>
      <c r="U61" s="236">
        <f t="shared" ref="U61:U62" si="116">IFERROR(N61-G61,"-")</f>
        <v>-4.3684026656357915</v>
      </c>
      <c r="V61" s="236">
        <f t="shared" ref="V61:V62" si="117">IFERROR(O61-H61,"-")</f>
        <v>-2.5580615340249686</v>
      </c>
      <c r="W61" s="236">
        <f t="shared" ref="W61:W62" si="118">IFERROR(P61-I61,"-")</f>
        <v>-4.3521582332932862</v>
      </c>
      <c r="X61" s="236">
        <f t="shared" ref="X61:X62" si="119">IFERROR(Q61-J61,"-")</f>
        <v>-2.283166168333409</v>
      </c>
      <c r="Y61" s="236">
        <f t="shared" ref="Y61:Y62" si="120">IFERROR(R61-K61,"-")</f>
        <v>-6.2411719569890174</v>
      </c>
      <c r="Z61" s="236">
        <f t="shared" ref="Z61:Z62" si="121">IFERROR(S61-L61,"-")</f>
        <v>-6.4074554355382549</v>
      </c>
      <c r="AB61" s="222">
        <f t="shared" ref="AB61:AB62" si="122">IFERROR(U61/G$20,"-")</f>
        <v>-3.0937695932264811E-3</v>
      </c>
      <c r="AC61" s="222">
        <f t="shared" ref="AC61:AC62" si="123">IFERROR(V61/H$20,"-")</f>
        <v>-1.6397830346313901E-3</v>
      </c>
      <c r="AD61" s="222">
        <f t="shared" ref="AD61:AD62" si="124">IFERROR(W61/I$20,"-")</f>
        <v>-3.2576034680338968E-3</v>
      </c>
      <c r="AE61" s="222">
        <f t="shared" ref="AE61:AE62" si="125">IFERROR(X61/J$20,"-")</f>
        <v>-1.6461183621726092E-3</v>
      </c>
      <c r="AF61" s="222">
        <f t="shared" ref="AF61:AF62" si="126">IFERROR(Y61/K$20,"-")</f>
        <v>-4.379769794378258E-3</v>
      </c>
      <c r="AG61" s="222">
        <f t="shared" ref="AG61:AG62" si="127">IFERROR(Z61/L$20,"-")</f>
        <v>-4.7427501373340153E-3</v>
      </c>
      <c r="AI61" s="222">
        <f t="shared" ref="AI61:AI62" si="128">IFERROR(N61/N$20,"-")</f>
        <v>1.2305604867957461E-2</v>
      </c>
      <c r="AJ61" s="222">
        <f t="shared" ref="AJ61:AJ62" si="129">IFERROR(O61/O$20,"-")</f>
        <v>1.5250271841348723E-2</v>
      </c>
      <c r="AK61" s="222">
        <f t="shared" ref="AK61:AK62" si="130">IFERROR(P61/P$20,"-")</f>
        <v>1.0179327282211811E-2</v>
      </c>
      <c r="AL61" s="222">
        <f t="shared" ref="AL61:AL62" si="131">IFERROR(Q61/Q$20,"-")</f>
        <v>9.5141820570342327E-3</v>
      </c>
      <c r="AM61" s="222">
        <f t="shared" ref="AM61:AM62" si="132">IFERROR(R61/R$20,"-")</f>
        <v>1.4760601691834208E-2</v>
      </c>
      <c r="AN61" s="222">
        <f t="shared" ref="AN61:AN62" si="133">IFERROR(S61/S$20,"-")</f>
        <v>1.1281993513571727E-2</v>
      </c>
    </row>
    <row r="62" spans="3:48" outlineLevel="1" x14ac:dyDescent="0.25">
      <c r="C62" t="s">
        <v>293</v>
      </c>
      <c r="D62" s="24" t="s">
        <v>760</v>
      </c>
      <c r="E62" s="24" t="s">
        <v>139</v>
      </c>
      <c r="G62" s="236">
        <f t="shared" si="115"/>
        <v>5.1367535939638787</v>
      </c>
      <c r="H62" s="236">
        <f>(H$51+H$52+H$53)*
((INDEX(Input_ForRateCalc[[F-CurrentVDO_InputDate]:[F-NextVDO_Input]],MATCH("Distribution loss factor - "&amp;H$18,Input_ForRateCalc[[Cost item]:[Cost item]],0),MATCH($G$17,Inputs!$H$8:$Q$8,0))*
INDEX(Input_ForRateCalc[[F-CurrentVDO_InputDate]:[F-NextVDO_Input]],MATCH("Marginal loss factor - "&amp;H$18,Input_ForRateCalc[[Cost item]:[Cost item]],0),MATCH($G$17,Inputs!$H$8:$Q$8,0)))-1)</f>
        <v>6.220939495141395</v>
      </c>
      <c r="I62" s="236">
        <f>(I$51+I$52+I$53)*
((INDEX(Input_ForRateCalc[[F-CurrentVDO_InputDate]:[F-NextVDO_Input]],MATCH("Distribution loss factor - "&amp;I$18,Input_ForRateCalc[[Cost item]:[Cost item]],0),MATCH($G$17,Inputs!$H$8:$Q$8,0))*
INDEX(Input_ForRateCalc[[F-CurrentVDO_InputDate]:[F-NextVDO_Input]],MATCH("Marginal loss factor - "&amp;I$18,Input_ForRateCalc[[Cost item]:[Cost item]],0),MATCH($G$17,Inputs!$H$8:$Q$8,0)))-1)</f>
        <v>4.5095226112383475</v>
      </c>
      <c r="J62" s="236">
        <f>(J$51+J$52+J$53)*
((INDEX(Input_ForRateCalc[[F-CurrentVDO_InputDate]:[F-NextVDO_Input]],MATCH("Distribution loss factor - "&amp;J$18,Input_ForRateCalc[[Cost item]:[Cost item]],0),MATCH($G$17,Inputs!$H$8:$Q$8,0))*
INDEX(Input_ForRateCalc[[F-CurrentVDO_InputDate]:[F-NextVDO_Input]],MATCH("Marginal loss factor - "&amp;J$18,Input_ForRateCalc[[Cost item]:[Cost item]],0),MATCH($G$17,Inputs!$H$8:$Q$8,0)))-1)</f>
        <v>3.4930899779860685</v>
      </c>
      <c r="K62" s="236">
        <f>(K$51+K$52+K$53)*
((INDEX(Input_ForRateCalc[[F-CurrentVDO_InputDate]:[F-NextVDO_Input]],MATCH("Distribution loss factor - "&amp;K$18,Input_ForRateCalc[[Cost item]:[Cost item]],0),MATCH($G$17,Inputs!$H$8:$Q$8,0))*
INDEX(Input_ForRateCalc[[F-CurrentVDO_InputDate]:[F-NextVDO_Input]],MATCH("Marginal loss factor - "&amp;K$18,Input_ForRateCalc[[Cost item]:[Cost item]],0),MATCH($G$17,Inputs!$H$8:$Q$8,0)))-1)</f>
        <v>6.5957803187305908</v>
      </c>
      <c r="L62" s="236">
        <f>(L$51+L$52+L$53)*
((INDEX(Input_ForRateCalc[[F-CurrentVDO_InputDate]:[F-NextVDO_Input]],MATCH("Distribution loss factor - "&amp;L$18,Input_ForRateCalc[[Cost item]:[Cost item]],0),MATCH($G$17,Inputs!$H$8:$Q$8,0))*
INDEX(Input_ForRateCalc[[F-CurrentVDO_InputDate]:[F-NextVDO_Input]],MATCH("Marginal loss factor - "&amp;L$18,Input_ForRateCalc[[Cost item]:[Cost item]],0),MATCH($G$17,Inputs!$H$8:$Q$8,0)))-1)</f>
        <v>4.8644355667229879</v>
      </c>
      <c r="N62" s="236">
        <f t="shared" ref="N62" si="134">AVERAGE(O62:S62)</f>
        <v>6.1149163925029297</v>
      </c>
      <c r="O62" s="236">
        <f>(O$51+O$52+O$53)*
((INDEX(Input_ForRateCalc[[F-CurrentVDO_InputDate]:[F-NextVDO_Input]],MATCH("Distribution loss factor - "&amp;O$18,Input_ForRateCalc[[Cost item]:[Cost item]],0),MATCH($N$17,Inputs!$H$8:$Q$8,0))*
INDEX(Input_ForRateCalc[[F-CurrentVDO_InputDate]:[F-NextVDO_Input]],MATCH("Marginal loss factor - "&amp;O$18,Input_ForRateCalc[[Cost item]:[Cost item]],0),MATCH($N$17,Inputs!$H$8:$Q$8,0)))-1)</f>
        <v>8.4061316594654745</v>
      </c>
      <c r="P62" s="236">
        <f>(P$51+P$52+P$53)*
((INDEX(Input_ForRateCalc[[F-CurrentVDO_InputDate]:[F-NextVDO_Input]],MATCH("Distribution loss factor - "&amp;P$18,Input_ForRateCalc[[Cost item]:[Cost item]],0),MATCH($N$17,Inputs!$H$8:$Q$8,0))*
INDEX(Input_ForRateCalc[[F-CurrentVDO_InputDate]:[F-NextVDO_Input]],MATCH("Marginal loss factor - "&amp;P$18,Input_ForRateCalc[[Cost item]:[Cost item]],0),MATCH($N$17,Inputs!$H$8:$Q$8,0)))-1)</f>
        <v>5.0542529134490621</v>
      </c>
      <c r="Q62" s="236">
        <f>(Q$51+Q$52+Q$53)*
((INDEX(Input_ForRateCalc[[F-CurrentVDO_InputDate]:[F-NextVDO_Input]],MATCH("Distribution loss factor - "&amp;Q$18,Input_ForRateCalc[[Cost item]:[Cost item]],0),MATCH($N$17,Inputs!$H$8:$Q$8,0))*
INDEX(Input_ForRateCalc[[F-CurrentVDO_InputDate]:[F-NextVDO_Input]],MATCH("Marginal loss factor - "&amp;Q$18,Input_ForRateCalc[[Cost item]:[Cost item]],0),MATCH($N$17,Inputs!$H$8:$Q$8,0)))-1)</f>
        <v>4.4749235223999957</v>
      </c>
      <c r="R62" s="236">
        <f>(R$51+R$52+R$53)*
((INDEX(Input_ForRateCalc[[F-CurrentVDO_InputDate]:[F-NextVDO_Input]],MATCH("Distribution loss factor - "&amp;R$18,Input_ForRateCalc[[Cost item]:[Cost item]],0),MATCH($N$17,Inputs!$H$8:$Q$8,0))*
INDEX(Input_ForRateCalc[[F-CurrentVDO_InputDate]:[F-NextVDO_Input]],MATCH("Marginal loss factor - "&amp;R$18,Input_ForRateCalc[[Cost item]:[Cost item]],0),MATCH($N$17,Inputs!$H$8:$Q$8,0)))-1)</f>
        <v>7.5676368552395559</v>
      </c>
      <c r="S62" s="236">
        <f>(S$51+S$52+S$53)*
((INDEX(Input_ForRateCalc[[F-CurrentVDO_InputDate]:[F-NextVDO_Input]],MATCH("Distribution loss factor - "&amp;S$18,Input_ForRateCalc[[Cost item]:[Cost item]],0),MATCH($N$17,Inputs!$H$8:$Q$8,0))*
INDEX(Input_ForRateCalc[[F-CurrentVDO_InputDate]:[F-NextVDO_Input]],MATCH("Marginal loss factor - "&amp;S$18,Input_ForRateCalc[[Cost item]:[Cost item]],0),MATCH($N$17,Inputs!$H$8:$Q$8,0)))-1)</f>
        <v>5.0716370119605596</v>
      </c>
      <c r="U62" s="236">
        <f t="shared" si="116"/>
        <v>0.97816279853905108</v>
      </c>
      <c r="V62" s="236">
        <f t="shared" si="117"/>
        <v>2.1851921643240795</v>
      </c>
      <c r="W62" s="236">
        <f t="shared" si="118"/>
        <v>0.54473030221071461</v>
      </c>
      <c r="X62" s="236">
        <f t="shared" si="119"/>
        <v>0.98183354441392723</v>
      </c>
      <c r="Y62" s="236">
        <f t="shared" si="120"/>
        <v>0.97185653650896509</v>
      </c>
      <c r="Z62" s="236">
        <f t="shared" si="121"/>
        <v>0.20720144523757167</v>
      </c>
      <c r="AB62" s="222">
        <f t="shared" si="122"/>
        <v>6.9274985732227414E-4</v>
      </c>
      <c r="AC62" s="222">
        <f t="shared" si="123"/>
        <v>1.400764207900051E-3</v>
      </c>
      <c r="AD62" s="222">
        <f t="shared" si="124"/>
        <v>4.0773226213376842E-4</v>
      </c>
      <c r="AE62" s="222">
        <f t="shared" si="125"/>
        <v>7.0788287268487907E-4</v>
      </c>
      <c r="AF62" s="222">
        <f t="shared" si="126"/>
        <v>6.8200458702383519E-4</v>
      </c>
      <c r="AG62" s="222">
        <f t="shared" si="127"/>
        <v>1.5336894540160745E-4</v>
      </c>
      <c r="AI62" s="222">
        <f t="shared" si="128"/>
        <v>4.5531767628465602E-3</v>
      </c>
      <c r="AJ62" s="222">
        <f t="shared" si="129"/>
        <v>5.626594149575284E-3</v>
      </c>
      <c r="AK62" s="222">
        <f t="shared" si="130"/>
        <v>3.9548144862668715E-3</v>
      </c>
      <c r="AL62" s="222">
        <f t="shared" si="131"/>
        <v>3.4029836672243314E-3</v>
      </c>
      <c r="AM62" s="222">
        <f t="shared" si="132"/>
        <v>5.5726339140202913E-3</v>
      </c>
      <c r="AN62" s="222">
        <f t="shared" si="133"/>
        <v>4.0060323949135538E-3</v>
      </c>
    </row>
    <row r="63" spans="3:48" outlineLevel="1" x14ac:dyDescent="0.25">
      <c r="C63" t="s">
        <v>293</v>
      </c>
      <c r="D63" s="24" t="s">
        <v>761</v>
      </c>
      <c r="E63" s="24" t="s">
        <v>139</v>
      </c>
      <c r="G63" s="143">
        <f>AVERAGE(H63:L63)</f>
        <v>0.16255055076519404</v>
      </c>
      <c r="H63" s="143">
        <f>(H$65+H$66+H69)*
((INDEX(Input_ForRateCalc[[F-CurrentVDO_InputDate]:[F-NextVDO_Input]],MATCH("Distribution loss factor - "&amp;H$18,Input_ForRateCalc[[Cost item]:[Cost item]],0),MATCH($G$17,Inputs!$H$8:$Q$8,0))*
INDEX(Input_ForRateCalc[[F-CurrentVDO_InputDate]:[F-NextVDO_Input]],MATCH("Marginal loss factor - "&amp;H$18,Input_ForRateCalc[[Cost item]:[Cost item]],0),MATCH($G$17,Inputs!$H$8:$Q$8,0)))-1)</f>
        <v>0.19685918795101404</v>
      </c>
      <c r="I63" s="236">
        <f>(I$65+I$66+I69)*
((INDEX(Input_ForRateCalc[[F-CurrentVDO_InputDate]:[F-NextVDO_Input]],MATCH("Distribution loss factor - "&amp;I$18,Input_ForRateCalc[[Cost item]:[Cost item]],0),MATCH($G$17,Inputs!$H$8:$Q$8,0))*
INDEX(Input_ForRateCalc[[F-CurrentVDO_InputDate]:[F-NextVDO_Input]],MATCH("Marginal loss factor - "&amp;I$18,Input_ForRateCalc[[Cost item]:[Cost item]],0),MATCH($G$17,Inputs!$H$8:$Q$8,0)))-1)</f>
        <v>0.14270207257094375</v>
      </c>
      <c r="J63" s="236">
        <f>(J$65+J$66+J69)*
((INDEX(Input_ForRateCalc[[F-CurrentVDO_InputDate]:[F-NextVDO_Input]],MATCH("Distribution loss factor - "&amp;J$18,Input_ForRateCalc[[Cost item]:[Cost item]],0),MATCH($G$17,Inputs!$H$8:$Q$8,0))*
INDEX(Input_ForRateCalc[[F-CurrentVDO_InputDate]:[F-NextVDO_Input]],MATCH("Marginal loss factor - "&amp;J$18,Input_ForRateCalc[[Cost item]:[Cost item]],0),MATCH($G$17,Inputs!$H$8:$Q$8,0)))-1)</f>
        <v>0.11053746094833759</v>
      </c>
      <c r="K63" s="236">
        <f>(K$65+K$66+K69)*
((INDEX(Input_ForRateCalc[[F-CurrentVDO_InputDate]:[F-NextVDO_Input]],MATCH("Distribution loss factor - "&amp;K$18,Input_ForRateCalc[[Cost item]:[Cost item]],0),MATCH($G$17,Inputs!$H$8:$Q$8,0))*
INDEX(Input_ForRateCalc[[F-CurrentVDO_InputDate]:[F-NextVDO_Input]],MATCH("Marginal loss factor - "&amp;K$18,Input_ForRateCalc[[Cost item]:[Cost item]],0),MATCH($G$17,Inputs!$H$8:$Q$8,0)))-1)</f>
        <v>0.2087208786490653</v>
      </c>
      <c r="L63" s="236">
        <f>(L$65+L$66+L69)*
((INDEX(Input_ForRateCalc[[F-CurrentVDO_InputDate]:[F-NextVDO_Input]],MATCH("Distribution loss factor - "&amp;L$18,Input_ForRateCalc[[Cost item]:[Cost item]],0),MATCH($G$17,Inputs!$H$8:$Q$8,0))*
INDEX(Input_ForRateCalc[[F-CurrentVDO_InputDate]:[F-NextVDO_Input]],MATCH("Marginal loss factor - "&amp;L$18,Input_ForRateCalc[[Cost item]:[Cost item]],0),MATCH($G$17,Inputs!$H$8:$Q$8,0)))-1)</f>
        <v>0.15393315370660951</v>
      </c>
      <c r="N63" s="143">
        <f>AVERAGE(O63:S63)</f>
        <v>0.20239977232017345</v>
      </c>
      <c r="O63" s="143">
        <f>(O$65+O$66+O67+O68+O69)*
((INDEX(Input_ForRateCalc[[F-CurrentVDO_InputDate]:[F-NextVDO_Input]],MATCH("Distribution loss factor - "&amp;O$18,Input_ForRateCalc[[Cost item]:[Cost item]],0),MATCH($N$17,Inputs!$H$8:$Q$8,0))*
INDEX(Input_ForRateCalc[[F-CurrentVDO_InputDate]:[F-NextVDO_Input]],MATCH("Marginal loss factor - "&amp;O$18,Input_ForRateCalc[[Cost item]:[Cost item]],0),MATCH($N$17,Inputs!$H$8:$Q$8,0)))-1)</f>
        <v>0.27823751377127248</v>
      </c>
      <c r="P63" s="236">
        <f>(P$65+P$66+P67+P68+P69)*
((INDEX(Input_ForRateCalc[[F-CurrentVDO_InputDate]:[F-NextVDO_Input]],MATCH("Distribution loss factor - "&amp;P$18,Input_ForRateCalc[[Cost item]:[Cost item]],0),MATCH($N$17,Inputs!$H$8:$Q$8,0))*
INDEX(Input_ForRateCalc[[F-CurrentVDO_InputDate]:[F-NextVDO_Input]],MATCH("Marginal loss factor - "&amp;P$18,Input_ForRateCalc[[Cost item]:[Cost item]],0),MATCH($N$17,Inputs!$H$8:$Q$8,0)))-1)</f>
        <v>0.16729249809283855</v>
      </c>
      <c r="Q63" s="236">
        <f>(Q$65+Q$66+Q67+Q68+Q69)*
((INDEX(Input_ForRateCalc[[F-CurrentVDO_InputDate]:[F-NextVDO_Input]],MATCH("Distribution loss factor - "&amp;Q$18,Input_ForRateCalc[[Cost item]:[Cost item]],0),MATCH($N$17,Inputs!$H$8:$Q$8,0))*
INDEX(Input_ForRateCalc[[F-CurrentVDO_InputDate]:[F-NextVDO_Input]],MATCH("Marginal loss factor - "&amp;Q$18,Input_ForRateCalc[[Cost item]:[Cost item]],0),MATCH($N$17,Inputs!$H$8:$Q$8,0)))-1)</f>
        <v>0.14811707044668537</v>
      </c>
      <c r="R63" s="236">
        <f>(R$65+R$66+R67+R68+R69)*
((INDEX(Input_ForRateCalc[[F-CurrentVDO_InputDate]:[F-NextVDO_Input]],MATCH("Distribution loss factor - "&amp;R$18,Input_ForRateCalc[[Cost item]:[Cost item]],0),MATCH($N$17,Inputs!$H$8:$Q$8,0))*
INDEX(Input_ForRateCalc[[F-CurrentVDO_InputDate]:[F-NextVDO_Input]],MATCH("Marginal loss factor - "&amp;R$18,Input_ForRateCalc[[Cost item]:[Cost item]],0),MATCH($N$17,Inputs!$H$8:$Q$8,0)))-1)</f>
        <v>0.25048387879515976</v>
      </c>
      <c r="S63" s="236">
        <f>(S$65+S$66+S67+S68+S69)*
((INDEX(Input_ForRateCalc[[F-CurrentVDO_InputDate]:[F-NextVDO_Input]],MATCH("Distribution loss factor - "&amp;S$18,Input_ForRateCalc[[Cost item]:[Cost item]],0),MATCH($N$17,Inputs!$H$8:$Q$8,0))*
INDEX(Input_ForRateCalc[[F-CurrentVDO_InputDate]:[F-NextVDO_Input]],MATCH("Marginal loss factor - "&amp;S$18,Input_ForRateCalc[[Cost item]:[Cost item]],0),MATCH($N$17,Inputs!$H$8:$Q$8,0)))-1)</f>
        <v>0.16786790049491102</v>
      </c>
      <c r="U63" s="143">
        <f>IFERROR(N63-G63,"-")</f>
        <v>3.9849221554979414E-2</v>
      </c>
      <c r="V63" s="143">
        <f t="shared" ref="V63:Z63" si="135">IFERROR(O63-H63,"-")</f>
        <v>8.1378325820258446E-2</v>
      </c>
      <c r="W63" s="143">
        <f t="shared" si="135"/>
        <v>2.4590425521894804E-2</v>
      </c>
      <c r="X63" s="143">
        <f t="shared" si="135"/>
        <v>3.757960949834778E-2</v>
      </c>
      <c r="Y63" s="143">
        <f t="shared" si="135"/>
        <v>4.1763000146094464E-2</v>
      </c>
      <c r="Z63" s="143">
        <f t="shared" si="135"/>
        <v>1.3934746788301505E-2</v>
      </c>
      <c r="AB63" s="222">
        <f>IFERROR(U63/G$20,"-")</f>
        <v>2.822182829672763E-5</v>
      </c>
      <c r="AC63" s="222">
        <f t="shared" ref="AC63:AD63" si="136">IFERROR(V63/H$20,"-")</f>
        <v>5.2165593474524643E-5</v>
      </c>
      <c r="AD63" s="222">
        <f t="shared" si="136"/>
        <v>1.840600712716677E-5</v>
      </c>
      <c r="AE63" s="222">
        <f>IFERROR(X63/J$20,"-")</f>
        <v>2.7094166905802291E-5</v>
      </c>
      <c r="AF63" s="222">
        <f t="shared" ref="AF63:AG63" si="137">IFERROR(Y63/K$20,"-")</f>
        <v>2.9307368523575062E-5</v>
      </c>
      <c r="AG63" s="222">
        <f t="shared" si="137"/>
        <v>1.0314394365878242E-5</v>
      </c>
      <c r="AI63" s="222">
        <f>IFERROR(N63/N$20,"-")</f>
        <v>1.5070720202544561E-4</v>
      </c>
      <c r="AJ63" s="222">
        <f t="shared" ref="AJ63" si="138">IFERROR(O63/O$20,"-")</f>
        <v>1.8623662233686243E-4</v>
      </c>
      <c r="AK63" s="222">
        <f t="shared" ref="AK63" si="139">IFERROR(P63/P$20,"-")</f>
        <v>1.3090179819470936E-4</v>
      </c>
      <c r="AL63" s="222">
        <f t="shared" ref="AL63" si="140">IFERROR(Q63/Q$20,"-")</f>
        <v>1.1263655547276454E-4</v>
      </c>
      <c r="AM63" s="222">
        <f t="shared" ref="AM63" si="141">IFERROR(R63/R$20,"-")</f>
        <v>1.8445057348686285E-4</v>
      </c>
      <c r="AN63" s="222">
        <f t="shared" ref="AN63" si="142">IFERROR(S63/S$20,"-")</f>
        <v>1.3259707780008769E-4</v>
      </c>
    </row>
    <row r="64" spans="3:48" outlineLevel="1" x14ac:dyDescent="0.25">
      <c r="AB64" s="124"/>
      <c r="AC64" s="124"/>
      <c r="AD64" s="124"/>
      <c r="AE64" s="124"/>
      <c r="AF64" s="124"/>
      <c r="AG64" s="124"/>
      <c r="AI64" s="124"/>
      <c r="AJ64" s="124"/>
      <c r="AK64" s="124"/>
      <c r="AL64" s="124"/>
      <c r="AM64" s="124"/>
      <c r="AN64" s="124"/>
    </row>
    <row r="65" spans="2:45" outlineLevel="1" x14ac:dyDescent="0.25">
      <c r="C65" t="s">
        <v>282</v>
      </c>
      <c r="D65" s="24" t="s">
        <v>169</v>
      </c>
      <c r="E65" s="24" t="s">
        <v>139</v>
      </c>
      <c r="G65" s="143">
        <f>IFERROR(AVERAGE(H65:L65),"-")</f>
        <v>1.4951608391608391</v>
      </c>
      <c r="H65" s="143">
        <f>IFERROR(INDEX(Calc_OtherCosts_1[[Ausnet]:[United Energy]],MATCH($D65,Calc_OtherCosts_1[Cost item],0),MATCH(H$18,Calc_OtherCosts_1[[#Headers],[Ausnet]:[United Energy]],0))*$G$9,"-")</f>
        <v>1.4951608391608391</v>
      </c>
      <c r="I65" s="143">
        <f>IFERROR(INDEX(Calc_OtherCosts_1[[Ausnet]:[United Energy]],MATCH($D65,Calc_OtherCosts_1[Cost item],0),MATCH(I$18,Calc_OtherCosts_1[[#Headers],[Ausnet]:[United Energy]],0))*$G$9,"-")</f>
        <v>1.4951608391608391</v>
      </c>
      <c r="J65" s="143">
        <f>IFERROR(INDEX(Calc_OtherCosts_1[[Ausnet]:[United Energy]],MATCH($D65,Calc_OtherCosts_1[Cost item],0),MATCH(J$18,Calc_OtherCosts_1[[#Headers],[Ausnet]:[United Energy]],0))*$G$9,"-")</f>
        <v>1.4951608391608391</v>
      </c>
      <c r="K65" s="143">
        <f>IFERROR(INDEX(Calc_OtherCosts_1[[Ausnet]:[United Energy]],MATCH($D65,Calc_OtherCosts_1[Cost item],0),MATCH(K$18,Calc_OtherCosts_1[[#Headers],[Ausnet]:[United Energy]],0))*$G$9,"-")</f>
        <v>1.4951608391608391</v>
      </c>
      <c r="L65" s="143">
        <f>IFERROR(INDEX(Calc_OtherCosts_1[[Ausnet]:[United Energy]],MATCH($D65,Calc_OtherCosts_1[Cost item],0),MATCH(L$18,Calc_OtherCosts_1[[#Headers],[Ausnet]:[United Energy]],0))*$G$9,"-")</f>
        <v>1.4951608391608391</v>
      </c>
      <c r="N65" s="143">
        <f t="shared" ref="N65" si="143">AVERAGE(O65:S65)</f>
        <v>1.6000799999999997</v>
      </c>
      <c r="O65" s="143">
        <f>INDEX(Calc_OtherCosts_2[[Ausnet]:[United Energy]],MATCH($D65,Calc_OtherCosts_2[Cost item],0),MATCH(O$18,Calc_OtherCosts_2[[#Headers],[Ausnet]:[United Energy]],0))*$N$9</f>
        <v>1.6000799999999999</v>
      </c>
      <c r="P65" s="143">
        <f>INDEX(Calc_OtherCosts_2[[Ausnet]:[United Energy]],MATCH($D65,Calc_OtherCosts_2[Cost item],0),MATCH(P$18,Calc_OtherCosts_2[[#Headers],[Ausnet]:[United Energy]],0))*$N$9</f>
        <v>1.6000799999999999</v>
      </c>
      <c r="Q65" s="143">
        <f>INDEX(Calc_OtherCosts_2[[Ausnet]:[United Energy]],MATCH($D65,Calc_OtherCosts_2[Cost item],0),MATCH(Q$18,Calc_OtherCosts_2[[#Headers],[Ausnet]:[United Energy]],0))*$N$9</f>
        <v>1.6000799999999999</v>
      </c>
      <c r="R65" s="143">
        <f>INDEX(Calc_OtherCosts_2[[Ausnet]:[United Energy]],MATCH($D65,Calc_OtherCosts_2[Cost item],0),MATCH(R$18,Calc_OtherCosts_2[[#Headers],[Ausnet]:[United Energy]],0))*$N$9</f>
        <v>1.6000799999999999</v>
      </c>
      <c r="S65" s="143">
        <f>INDEX(Calc_OtherCosts_2[[Ausnet]:[United Energy]],MATCH($D65,Calc_OtherCosts_2[Cost item],0),MATCH(S$18,Calc_OtherCosts_2[[#Headers],[Ausnet]:[United Energy]],0))*$N$9</f>
        <v>1.6000799999999999</v>
      </c>
      <c r="U65" s="143">
        <f t="shared" ref="U65:Z69" si="144">IFERROR(N65-G65,"-")</f>
        <v>0.10491916083916064</v>
      </c>
      <c r="V65" s="143">
        <f t="shared" si="144"/>
        <v>0.10491916083916086</v>
      </c>
      <c r="W65" s="143">
        <f t="shared" si="144"/>
        <v>0.10491916083916086</v>
      </c>
      <c r="X65" s="143">
        <f t="shared" si="144"/>
        <v>0.10491916083916086</v>
      </c>
      <c r="Y65" s="143">
        <f t="shared" si="144"/>
        <v>0.10491916083916086</v>
      </c>
      <c r="Z65" s="143">
        <f t="shared" si="144"/>
        <v>0.10491916083916086</v>
      </c>
      <c r="AB65" s="222">
        <f t="shared" ref="AB65:AG69" si="145">IFERROR(U65/G$20,"-")</f>
        <v>7.4305354701955132E-5</v>
      </c>
      <c r="AC65" s="222">
        <f t="shared" si="145"/>
        <v>6.7255872332795428E-5</v>
      </c>
      <c r="AD65" s="222">
        <f t="shared" si="145"/>
        <v>7.8532306017335969E-5</v>
      </c>
      <c r="AE65" s="222">
        <f t="shared" si="145"/>
        <v>7.5644672558875897E-5</v>
      </c>
      <c r="AF65" s="222">
        <f t="shared" si="145"/>
        <v>7.3627481290639197E-5</v>
      </c>
      <c r="AG65" s="222">
        <f t="shared" si="145"/>
        <v>7.766037071736555E-5</v>
      </c>
      <c r="AI65" s="222">
        <f t="shared" ref="AI65:AI69" si="146">IFERROR(N65/N$20,"-")</f>
        <v>1.1914221891288158E-3</v>
      </c>
      <c r="AJ65" s="222">
        <f t="shared" ref="AJ65:AJ69" si="147">IFERROR(O65/O$20,"-")</f>
        <v>1.0710040160642571E-3</v>
      </c>
      <c r="AK65" s="222">
        <f t="shared" ref="AK65:AK69" si="148">IFERROR(P65/P$20,"-")</f>
        <v>1.2520187793427229E-3</v>
      </c>
      <c r="AL65" s="222">
        <f t="shared" ref="AL65:AL69" si="149">IFERROR(Q65/Q$20,"-")</f>
        <v>1.2167908745247147E-3</v>
      </c>
      <c r="AM65" s="222">
        <f t="shared" ref="AM65:AM69" si="150">IFERROR(R65/R$20,"-")</f>
        <v>1.178262150220913E-3</v>
      </c>
      <c r="AN65" s="222">
        <f t="shared" ref="AN65:AN69" si="151">IFERROR(S65/S$20,"-")</f>
        <v>1.2638862559241706E-3</v>
      </c>
    </row>
    <row r="66" spans="2:45" outlineLevel="1" x14ac:dyDescent="0.25">
      <c r="C66" t="s">
        <v>282</v>
      </c>
      <c r="D66" s="24" t="s">
        <v>171</v>
      </c>
      <c r="E66" s="24" t="s">
        <v>139</v>
      </c>
      <c r="G66" s="143">
        <f t="shared" ref="G66:G69" si="152">IFERROR(AVERAGE(H66:L66),"-")</f>
        <v>0</v>
      </c>
      <c r="H66" s="143">
        <f>IFERROR(INDEX(Calc_OtherCosts_1[[Ausnet]:[United Energy]],MATCH($D66,Calc_OtherCosts_1[Cost item],0),MATCH(H$18,Calc_OtherCosts_1[[#Headers],[Ausnet]:[United Energy]],0))*$G$9,"-")</f>
        <v>0</v>
      </c>
      <c r="I66" s="143">
        <f>IFERROR(INDEX(Calc_OtherCosts_1[[Ausnet]:[United Energy]],MATCH($D66,Calc_OtherCosts_1[Cost item],0),MATCH(I$18,Calc_OtherCosts_1[[#Headers],[Ausnet]:[United Energy]],0))*$G$9,"-")</f>
        <v>0</v>
      </c>
      <c r="J66" s="143">
        <f>IFERROR(INDEX(Calc_OtherCosts_1[[Ausnet]:[United Energy]],MATCH($D66,Calc_OtherCosts_1[Cost item],0),MATCH(J$18,Calc_OtherCosts_1[[#Headers],[Ausnet]:[United Energy]],0))*$G$9,"-")</f>
        <v>0</v>
      </c>
      <c r="K66" s="143">
        <f>IFERROR(INDEX(Calc_OtherCosts_1[[Ausnet]:[United Energy]],MATCH($D66,Calc_OtherCosts_1[Cost item],0),MATCH(K$18,Calc_OtherCosts_1[[#Headers],[Ausnet]:[United Energy]],0))*$G$9,"-")</f>
        <v>0</v>
      </c>
      <c r="L66" s="143">
        <f>IFERROR(INDEX(Calc_OtherCosts_1[[Ausnet]:[United Energy]],MATCH($D66,Calc_OtherCosts_1[Cost item],0),MATCH(L$18,Calc_OtherCosts_1[[#Headers],[Ausnet]:[United Energy]],0))*$G$9,"-")</f>
        <v>0</v>
      </c>
      <c r="N66" s="143">
        <f t="shared" ref="N66:N69" si="153">AVERAGE(O66:S66)</f>
        <v>0</v>
      </c>
      <c r="O66" s="143">
        <f>INDEX(Calc_OtherCosts_2[[Ausnet]:[United Energy]],MATCH($D66,Calc_OtherCosts_2[Cost item],0),MATCH(O$18,Calc_OtherCosts_2[[#Headers],[Ausnet]:[United Energy]],0))*$N$9</f>
        <v>0</v>
      </c>
      <c r="P66" s="143">
        <f>INDEX(Calc_OtherCosts_2[[Ausnet]:[United Energy]],MATCH($D66,Calc_OtherCosts_2[Cost item],0),MATCH(P$18,Calc_OtherCosts_2[[#Headers],[Ausnet]:[United Energy]],0))*$N$9</f>
        <v>0</v>
      </c>
      <c r="Q66" s="143">
        <f>INDEX(Calc_OtherCosts_2[[Ausnet]:[United Energy]],MATCH($D66,Calc_OtherCosts_2[Cost item],0),MATCH(Q$18,Calc_OtherCosts_2[[#Headers],[Ausnet]:[United Energy]],0))*$N$9</f>
        <v>0</v>
      </c>
      <c r="R66" s="143">
        <f>INDEX(Calc_OtherCosts_2[[Ausnet]:[United Energy]],MATCH($D66,Calc_OtherCosts_2[Cost item],0),MATCH(R$18,Calc_OtherCosts_2[[#Headers],[Ausnet]:[United Energy]],0))*$N$9</f>
        <v>0</v>
      </c>
      <c r="S66" s="143">
        <f>INDEX(Calc_OtherCosts_2[[Ausnet]:[United Energy]],MATCH($D66,Calc_OtherCosts_2[Cost item],0),MATCH(S$18,Calc_OtherCosts_2[[#Headers],[Ausnet]:[United Energy]],0))*$N$9</f>
        <v>0</v>
      </c>
      <c r="U66" s="143">
        <f t="shared" si="144"/>
        <v>0</v>
      </c>
      <c r="V66" s="143">
        <f t="shared" si="144"/>
        <v>0</v>
      </c>
      <c r="W66" s="143">
        <f t="shared" si="144"/>
        <v>0</v>
      </c>
      <c r="X66" s="143">
        <f t="shared" si="144"/>
        <v>0</v>
      </c>
      <c r="Y66" s="143">
        <f t="shared" si="144"/>
        <v>0</v>
      </c>
      <c r="Z66" s="143">
        <f t="shared" si="144"/>
        <v>0</v>
      </c>
      <c r="AB66" s="222">
        <f t="shared" si="145"/>
        <v>0</v>
      </c>
      <c r="AC66" s="222">
        <f t="shared" si="145"/>
        <v>0</v>
      </c>
      <c r="AD66" s="222">
        <f t="shared" si="145"/>
        <v>0</v>
      </c>
      <c r="AE66" s="222">
        <f t="shared" si="145"/>
        <v>0</v>
      </c>
      <c r="AF66" s="222">
        <f t="shared" si="145"/>
        <v>0</v>
      </c>
      <c r="AG66" s="222">
        <f t="shared" si="145"/>
        <v>0</v>
      </c>
      <c r="AI66" s="222">
        <f t="shared" si="146"/>
        <v>0</v>
      </c>
      <c r="AJ66" s="222">
        <f t="shared" si="147"/>
        <v>0</v>
      </c>
      <c r="AK66" s="222">
        <f t="shared" si="148"/>
        <v>0</v>
      </c>
      <c r="AL66" s="222">
        <f t="shared" si="149"/>
        <v>0</v>
      </c>
      <c r="AM66" s="222">
        <f t="shared" si="150"/>
        <v>0</v>
      </c>
      <c r="AN66" s="222">
        <f t="shared" si="151"/>
        <v>0</v>
      </c>
    </row>
    <row r="67" spans="2:45" outlineLevel="1" x14ac:dyDescent="0.25">
      <c r="C67" t="s">
        <v>282</v>
      </c>
      <c r="D67" s="24" t="s">
        <v>660</v>
      </c>
      <c r="E67" s="60" t="s">
        <v>139</v>
      </c>
      <c r="G67" s="143" t="str">
        <f t="shared" si="152"/>
        <v>-</v>
      </c>
      <c r="H67" s="143" t="str">
        <f>IFERROR(INDEX(Calc_OtherCosts_1[[Ausnet]:[United Energy]],MATCH($D67,Calc_OtherCosts_1[Cost item],0),MATCH(H$18,Calc_OtherCosts_1[[#Headers],[Ausnet]:[United Energy]],0))*$G$9,"-")</f>
        <v>-</v>
      </c>
      <c r="I67" s="143" t="str">
        <f>IFERROR(INDEX(Calc_OtherCosts_1[[Ausnet]:[United Energy]],MATCH($D67,Calc_OtherCosts_1[Cost item],0),MATCH(I$18,Calc_OtherCosts_1[[#Headers],[Ausnet]:[United Energy]],0))*$G$9,"-")</f>
        <v>-</v>
      </c>
      <c r="J67" s="143" t="str">
        <f>IFERROR(INDEX(Calc_OtherCosts_1[[Ausnet]:[United Energy]],MATCH($D67,Calc_OtherCosts_1[Cost item],0),MATCH(J$18,Calc_OtherCosts_1[[#Headers],[Ausnet]:[United Energy]],0))*$G$9,"-")</f>
        <v>-</v>
      </c>
      <c r="K67" s="143" t="str">
        <f>IFERROR(INDEX(Calc_OtherCosts_1[[Ausnet]:[United Energy]],MATCH($D67,Calc_OtherCosts_1[Cost item],0),MATCH(K$18,Calc_OtherCosts_1[[#Headers],[Ausnet]:[United Energy]],0))*$G$9,"-")</f>
        <v>-</v>
      </c>
      <c r="L67" s="143" t="str">
        <f>IFERROR(INDEX(Calc_OtherCosts_1[[Ausnet]:[United Energy]],MATCH($D67,Calc_OtherCosts_1[Cost item],0),MATCH(L$18,Calc_OtherCosts_1[[#Headers],[Ausnet]:[United Energy]],0))*$G$9,"-")</f>
        <v>-</v>
      </c>
      <c r="N67" s="143">
        <f t="shared" si="153"/>
        <v>0.49299999999999999</v>
      </c>
      <c r="O67" s="143">
        <f>INDEX(Calc_OtherCosts_2[[Ausnet]:[United Energy]],MATCH($D67,Calc_OtherCosts_2[Cost item],0),MATCH(O$18,Calc_OtherCosts_2[[#Headers],[Ausnet]:[United Energy]],0))*$N$9</f>
        <v>0.49299999999999994</v>
      </c>
      <c r="P67" s="143">
        <f>INDEX(Calc_OtherCosts_2[[Ausnet]:[United Energy]],MATCH($D67,Calc_OtherCosts_2[Cost item],0),MATCH(P$18,Calc_OtherCosts_2[[#Headers],[Ausnet]:[United Energy]],0))*$N$9</f>
        <v>0.49299999999999994</v>
      </c>
      <c r="Q67" s="143">
        <f>INDEX(Calc_OtherCosts_2[[Ausnet]:[United Energy]],MATCH($D67,Calc_OtherCosts_2[Cost item],0),MATCH(Q$18,Calc_OtherCosts_2[[#Headers],[Ausnet]:[United Energy]],0))*$N$9</f>
        <v>0.49299999999999994</v>
      </c>
      <c r="R67" s="143">
        <f>INDEX(Calc_OtherCosts_2[[Ausnet]:[United Energy]],MATCH($D67,Calc_OtherCosts_2[Cost item],0),MATCH(R$18,Calc_OtherCosts_2[[#Headers],[Ausnet]:[United Energy]],0))*$N$9</f>
        <v>0.49299999999999994</v>
      </c>
      <c r="S67" s="143">
        <f>INDEX(Calc_OtherCosts_2[[Ausnet]:[United Energy]],MATCH($D67,Calc_OtherCosts_2[Cost item],0),MATCH(S$18,Calc_OtherCosts_2[[#Headers],[Ausnet]:[United Energy]],0))*$N$9</f>
        <v>0.49299999999999994</v>
      </c>
      <c r="U67" s="143" t="str">
        <f t="shared" ref="U67:U68" si="154">IFERROR(N67-G67,"-")</f>
        <v>-</v>
      </c>
      <c r="V67" s="143" t="str">
        <f t="shared" ref="V67:V68" si="155">IFERROR(O67-H67,"-")</f>
        <v>-</v>
      </c>
      <c r="W67" s="143" t="str">
        <f t="shared" ref="W67:W68" si="156">IFERROR(P67-I67,"-")</f>
        <v>-</v>
      </c>
      <c r="X67" s="143" t="str">
        <f t="shared" ref="X67:X68" si="157">IFERROR(Q67-J67,"-")</f>
        <v>-</v>
      </c>
      <c r="Y67" s="143" t="str">
        <f t="shared" ref="Y67:Y68" si="158">IFERROR(R67-K67,"-")</f>
        <v>-</v>
      </c>
      <c r="Z67" s="143" t="str">
        <f t="shared" ref="Z67:Z68" si="159">IFERROR(S67-L67,"-")</f>
        <v>-</v>
      </c>
      <c r="AB67" s="222" t="str">
        <f>IFERROR(U67/G$20,"-")</f>
        <v>-</v>
      </c>
      <c r="AC67" s="222" t="str">
        <f t="shared" si="145"/>
        <v>-</v>
      </c>
      <c r="AD67" s="222" t="str">
        <f t="shared" si="145"/>
        <v>-</v>
      </c>
      <c r="AE67" s="222" t="str">
        <f t="shared" si="145"/>
        <v>-</v>
      </c>
      <c r="AF67" s="222" t="str">
        <f t="shared" si="145"/>
        <v>-</v>
      </c>
      <c r="AG67" s="222" t="str">
        <f t="shared" si="145"/>
        <v>-</v>
      </c>
      <c r="AI67" s="222">
        <f>IFERROR(N67/N$20,"-")</f>
        <v>3.6708860759493672E-4</v>
      </c>
      <c r="AJ67" s="222">
        <f t="shared" si="147"/>
        <v>3.2998661311914318E-4</v>
      </c>
      <c r="AK67" s="222">
        <f t="shared" si="148"/>
        <v>3.8575899843505473E-4</v>
      </c>
      <c r="AL67" s="222">
        <f t="shared" si="149"/>
        <v>3.7490494296577942E-4</v>
      </c>
      <c r="AM67" s="222">
        <f t="shared" si="150"/>
        <v>3.6303387334315167E-4</v>
      </c>
      <c r="AN67" s="222">
        <f>IFERROR(S67/S$20,"-")</f>
        <v>3.8941548183254337E-4</v>
      </c>
    </row>
    <row r="68" spans="2:45" outlineLevel="1" x14ac:dyDescent="0.25">
      <c r="C68" t="s">
        <v>282</v>
      </c>
      <c r="D68" s="24" t="s">
        <v>659</v>
      </c>
      <c r="E68" s="60" t="s">
        <v>139</v>
      </c>
      <c r="G68" s="143" t="str">
        <f t="shared" si="152"/>
        <v>-</v>
      </c>
      <c r="H68" s="143" t="str">
        <f>IFERROR(INDEX(Calc_OtherCosts_1[[Ausnet]:[United Energy]],MATCH($D68,Calc_OtherCosts_1[Cost item],0),MATCH(H$18,Calc_OtherCosts_1[[#Headers],[Ausnet]:[United Energy]],0))*$G$9,"-")</f>
        <v>-</v>
      </c>
      <c r="I68" s="143" t="str">
        <f>IFERROR(INDEX(Calc_OtherCosts_1[[Ausnet]:[United Energy]],MATCH($D68,Calc_OtherCosts_1[Cost item],0),MATCH(I$18,Calc_OtherCosts_1[[#Headers],[Ausnet]:[United Energy]],0))*$G$9,"-")</f>
        <v>-</v>
      </c>
      <c r="J68" s="143" t="str">
        <f>IFERROR(INDEX(Calc_OtherCosts_1[[Ausnet]:[United Energy]],MATCH($D68,Calc_OtherCosts_1[Cost item],0),MATCH(J$18,Calc_OtherCosts_1[[#Headers],[Ausnet]:[United Energy]],0))*$G$9,"-")</f>
        <v>-</v>
      </c>
      <c r="K68" s="143" t="str">
        <f>IFERROR(INDEX(Calc_OtherCosts_1[[Ausnet]:[United Energy]],MATCH($D68,Calc_OtherCosts_1[Cost item],0),MATCH(K$18,Calc_OtherCosts_1[[#Headers],[Ausnet]:[United Energy]],0))*$G$9,"-")</f>
        <v>-</v>
      </c>
      <c r="L68" s="143" t="str">
        <f>IFERROR(INDEX(Calc_OtherCosts_1[[Ausnet]:[United Energy]],MATCH($D68,Calc_OtherCosts_1[Cost item],0),MATCH(L$18,Calc_OtherCosts_1[[#Headers],[Ausnet]:[United Energy]],0))*$G$9,"-")</f>
        <v>-</v>
      </c>
      <c r="N68" s="143">
        <f t="shared" si="153"/>
        <v>0.10491999999999999</v>
      </c>
      <c r="O68" s="143">
        <f>INDEX(Calc_OtherCosts_2[[Ausnet]:[United Energy]],MATCH($D68,Calc_OtherCosts_2[Cost item],0),MATCH(O$18,Calc_OtherCosts_2[[#Headers],[Ausnet]:[United Energy]],0))*$N$9</f>
        <v>0.10492</v>
      </c>
      <c r="P68" s="143">
        <f>INDEX(Calc_OtherCosts_2[[Ausnet]:[United Energy]],MATCH($D68,Calc_OtherCosts_2[Cost item],0),MATCH(P$18,Calc_OtherCosts_2[[#Headers],[Ausnet]:[United Energy]],0))*$N$9</f>
        <v>0.10492</v>
      </c>
      <c r="Q68" s="143">
        <f>INDEX(Calc_OtherCosts_2[[Ausnet]:[United Energy]],MATCH($D68,Calc_OtherCosts_2[Cost item],0),MATCH(Q$18,Calc_OtherCosts_2[[#Headers],[Ausnet]:[United Energy]],0))*$N$9</f>
        <v>0.10492</v>
      </c>
      <c r="R68" s="143">
        <f>INDEX(Calc_OtherCosts_2[[Ausnet]:[United Energy]],MATCH($D68,Calc_OtherCosts_2[Cost item],0),MATCH(R$18,Calc_OtherCosts_2[[#Headers],[Ausnet]:[United Energy]],0))*$N$9</f>
        <v>0.10492</v>
      </c>
      <c r="S68" s="143">
        <f>INDEX(Calc_OtherCosts_2[[Ausnet]:[United Energy]],MATCH($D68,Calc_OtherCosts_2[Cost item],0),MATCH(S$18,Calc_OtherCosts_2[[#Headers],[Ausnet]:[United Energy]],0))*$N$9</f>
        <v>0.10492</v>
      </c>
      <c r="U68" s="143" t="str">
        <f t="shared" si="154"/>
        <v>-</v>
      </c>
      <c r="V68" s="143" t="str">
        <f t="shared" si="155"/>
        <v>-</v>
      </c>
      <c r="W68" s="143" t="str">
        <f t="shared" si="156"/>
        <v>-</v>
      </c>
      <c r="X68" s="143" t="str">
        <f t="shared" si="157"/>
        <v>-</v>
      </c>
      <c r="Y68" s="143" t="str">
        <f t="shared" si="158"/>
        <v>-</v>
      </c>
      <c r="Z68" s="143" t="str">
        <f t="shared" si="159"/>
        <v>-</v>
      </c>
      <c r="AB68" s="222" t="str">
        <f t="shared" ref="AB68" si="160">IFERROR(U68/G$20,"-")</f>
        <v>-</v>
      </c>
      <c r="AC68" s="222" t="str">
        <f t="shared" si="145"/>
        <v>-</v>
      </c>
      <c r="AD68" s="222" t="str">
        <f t="shared" si="145"/>
        <v>-</v>
      </c>
      <c r="AE68" s="222" t="str">
        <f t="shared" si="145"/>
        <v>-</v>
      </c>
      <c r="AF68" s="222" t="str">
        <f t="shared" si="145"/>
        <v>-</v>
      </c>
      <c r="AG68" s="222" t="str">
        <f t="shared" si="145"/>
        <v>-</v>
      </c>
      <c r="AI68" s="222">
        <f>IFERROR(N68/N$20,"-")</f>
        <v>7.8123603871928506E-5</v>
      </c>
      <c r="AJ68" s="222">
        <f t="shared" si="147"/>
        <v>7.0227576974564931E-5</v>
      </c>
      <c r="AK68" s="222">
        <f t="shared" si="148"/>
        <v>8.2097026604068852E-5</v>
      </c>
      <c r="AL68" s="222">
        <f t="shared" si="149"/>
        <v>7.9787072243346004E-5</v>
      </c>
      <c r="AM68" s="222">
        <f t="shared" si="150"/>
        <v>7.7260677466863033E-5</v>
      </c>
      <c r="AN68" s="222">
        <f t="shared" si="151"/>
        <v>8.2875197472353867E-5</v>
      </c>
    </row>
    <row r="69" spans="2:45" outlineLevel="1" x14ac:dyDescent="0.25">
      <c r="C69" t="s">
        <v>282</v>
      </c>
      <c r="D69" s="60" t="s">
        <v>172</v>
      </c>
      <c r="E69" s="60" t="s">
        <v>139</v>
      </c>
      <c r="G69" s="143">
        <f t="shared" si="152"/>
        <v>1.4411846739089889</v>
      </c>
      <c r="H69" s="143">
        <f>IFERROR(INDEX(Calc_OtherCosts_1[[Ausnet]:[United Energy]],MATCH($D69,Calc_OtherCosts_1[Cost item],0),MATCH(H$18,Calc_OtherCosts_1[[#Headers],[Ausnet]:[United Energy]],0))*$G$9,"-")</f>
        <v>1.4411846739089889</v>
      </c>
      <c r="I69" s="143">
        <f>IFERROR(INDEX(Calc_OtherCosts_1[[Ausnet]:[United Energy]],MATCH($D69,Calc_OtherCosts_1[Cost item],0),MATCH(I$18,Calc_OtherCosts_1[[#Headers],[Ausnet]:[United Energy]],0))*$G$9,"-")</f>
        <v>1.4411846739089889</v>
      </c>
      <c r="J69" s="143">
        <f>IFERROR(INDEX(Calc_OtherCosts_1[[Ausnet]:[United Energy]],MATCH($D69,Calc_OtherCosts_1[Cost item],0),MATCH(J$18,Calc_OtherCosts_1[[#Headers],[Ausnet]:[United Energy]],0))*$G$9,"-")</f>
        <v>1.4411846739089889</v>
      </c>
      <c r="K69" s="143">
        <f>IFERROR(INDEX(Calc_OtherCosts_1[[Ausnet]:[United Energy]],MATCH($D69,Calc_OtherCosts_1[Cost item],0),MATCH(K$18,Calc_OtherCosts_1[[#Headers],[Ausnet]:[United Energy]],0))*$G$9,"-")</f>
        <v>1.4411846739089889</v>
      </c>
      <c r="L69" s="143">
        <f>IFERROR(INDEX(Calc_OtherCosts_1[[Ausnet]:[United Energy]],MATCH($D69,Calc_OtherCosts_1[Cost item],0),MATCH(L$18,Calc_OtherCosts_1[[#Headers],[Ausnet]:[United Energy]],0))*$G$9,"-")</f>
        <v>1.4411846739089889</v>
      </c>
      <c r="N69" s="143">
        <f t="shared" si="153"/>
        <v>1.3039188101630295</v>
      </c>
      <c r="O69" s="143">
        <f>INDEX(Calc_OtherCosts_2[[Ausnet]:[United Energy]],MATCH($D69,Calc_OtherCosts_2[Cost item],0),MATCH(O$18,Calc_OtherCosts_2[[#Headers],[Ausnet]:[United Energy]],0))*$N$9</f>
        <v>1.3039188101630295</v>
      </c>
      <c r="P69" s="143">
        <f>INDEX(Calc_OtherCosts_2[[Ausnet]:[United Energy]],MATCH($D69,Calc_OtherCosts_2[Cost item],0),MATCH(P$18,Calc_OtherCosts_2[[#Headers],[Ausnet]:[United Energy]],0))*$N$9</f>
        <v>1.3039188101630295</v>
      </c>
      <c r="Q69" s="143">
        <f>INDEX(Calc_OtherCosts_2[[Ausnet]:[United Energy]],MATCH($D69,Calc_OtherCosts_2[Cost item],0),MATCH(Q$18,Calc_OtherCosts_2[[#Headers],[Ausnet]:[United Energy]],0))*$N$9</f>
        <v>1.3039188101630295</v>
      </c>
      <c r="R69" s="143">
        <f>INDEX(Calc_OtherCosts_2[[Ausnet]:[United Energy]],MATCH($D69,Calc_OtherCosts_2[Cost item],0),MATCH(R$18,Calc_OtherCosts_2[[#Headers],[Ausnet]:[United Energy]],0))*$N$9</f>
        <v>1.3039188101630295</v>
      </c>
      <c r="S69" s="143">
        <f>INDEX(Calc_OtherCosts_2[[Ausnet]:[United Energy]],MATCH($D69,Calc_OtherCosts_2[Cost item],0),MATCH(S$18,Calc_OtherCosts_2[[#Headers],[Ausnet]:[United Energy]],0))*$N$9</f>
        <v>1.3039188101630295</v>
      </c>
      <c r="U69" s="143">
        <f t="shared" si="144"/>
        <v>-0.13726586374595939</v>
      </c>
      <c r="V69" s="143">
        <f t="shared" si="144"/>
        <v>-0.13726586374595939</v>
      </c>
      <c r="W69" s="143">
        <f t="shared" si="144"/>
        <v>-0.13726586374595939</v>
      </c>
      <c r="X69" s="143">
        <f t="shared" si="144"/>
        <v>-0.13726586374595939</v>
      </c>
      <c r="Y69" s="143">
        <f t="shared" si="144"/>
        <v>-0.13726586374595939</v>
      </c>
      <c r="Z69" s="143">
        <f t="shared" si="144"/>
        <v>-0.13726586374595939</v>
      </c>
      <c r="AB69" s="222">
        <f t="shared" si="145"/>
        <v>-9.7213784522634132E-5</v>
      </c>
      <c r="AC69" s="222">
        <f t="shared" si="145"/>
        <v>-8.799093829869192E-5</v>
      </c>
      <c r="AD69" s="222">
        <f t="shared" si="145"/>
        <v>-1.0274390998949057E-4</v>
      </c>
      <c r="AE69" s="222">
        <f t="shared" si="145"/>
        <v>-9.8966015678413402E-5</v>
      </c>
      <c r="AF69" s="222">
        <f t="shared" si="145"/>
        <v>-9.6326921926989054E-5</v>
      </c>
      <c r="AG69" s="222">
        <f t="shared" si="145"/>
        <v>-1.0160315599256802E-4</v>
      </c>
      <c r="AI69" s="222">
        <f t="shared" si="146"/>
        <v>9.7090008202757214E-4</v>
      </c>
      <c r="AJ69" s="222">
        <f t="shared" si="147"/>
        <v>8.7277028792706124E-4</v>
      </c>
      <c r="AK69" s="222">
        <f t="shared" si="148"/>
        <v>1.0202807591260011E-3</v>
      </c>
      <c r="AL69" s="222">
        <f t="shared" si="149"/>
        <v>9.9157323966770293E-4</v>
      </c>
      <c r="AM69" s="222">
        <f t="shared" si="150"/>
        <v>9.601758543174002E-4</v>
      </c>
      <c r="AN69" s="222">
        <f t="shared" si="151"/>
        <v>1.0299516667954419E-3</v>
      </c>
    </row>
    <row r="70" spans="2:45" outlineLevel="1" x14ac:dyDescent="0.25">
      <c r="AB70" s="124"/>
      <c r="AC70" s="124"/>
      <c r="AD70" s="124"/>
      <c r="AE70" s="124"/>
      <c r="AF70" s="124"/>
      <c r="AG70" s="124"/>
      <c r="AI70" s="124"/>
      <c r="AJ70" s="124"/>
      <c r="AK70" s="124"/>
      <c r="AL70" s="124"/>
      <c r="AM70" s="124"/>
      <c r="AN70" s="124"/>
    </row>
    <row r="71" spans="2:45" outlineLevel="1" x14ac:dyDescent="0.25">
      <c r="C71" t="s">
        <v>137</v>
      </c>
      <c r="D71" s="60" t="s">
        <v>292</v>
      </c>
      <c r="E71" s="24" t="s">
        <v>139</v>
      </c>
      <c r="G71" s="143">
        <f>AVERAGE(H71:L71)</f>
        <v>378.54399999999998</v>
      </c>
      <c r="H71" s="143">
        <f>INDEX(Calc_WholesaleRES_1[[Ausnet]:[United Energy]],MATCH($D71,Calc_WholesaleRES_1[Cost item],0),MATCH(H$18,Calc_WholesaleRES_1[[#Headers],[Ausnet]:[United Energy]],0))*$G$9</f>
        <v>377.99999999999994</v>
      </c>
      <c r="I71" s="143">
        <f>INDEX(Calc_WholesaleRES_1[[Ausnet]:[United Energy]],MATCH($D71,Calc_WholesaleRES_1[Cost item],0),MATCH(I$18,Calc_WholesaleRES_1[[#Headers],[Ausnet]:[United Energy]],0))*$G$9</f>
        <v>357.24</v>
      </c>
      <c r="J71" s="143">
        <f>INDEX(Calc_WholesaleRES_1[[Ausnet]:[United Energy]],MATCH($D71,Calc_WholesaleRES_1[Cost item],0),MATCH(J$18,Calc_WholesaleRES_1[[#Headers],[Ausnet]:[United Energy]],0))*$G$9</f>
        <v>393</v>
      </c>
      <c r="K71" s="143">
        <f>INDEX(Calc_WholesaleRES_1[[Ausnet]:[United Energy]],MATCH($D71,Calc_WholesaleRES_1[Cost item],0),MATCH(K$18,Calc_WholesaleRES_1[[#Headers],[Ausnet]:[United Energy]],0))*$G$9</f>
        <v>369.8</v>
      </c>
      <c r="L71" s="143">
        <f>INDEX(Calc_WholesaleRES_1[[Ausnet]:[United Energy]],MATCH($D71,Calc_WholesaleRES_1[Cost item],0),MATCH(L$18,Calc_WholesaleRES_1[[#Headers],[Ausnet]:[United Energy]],0))*$G$9</f>
        <v>394.68</v>
      </c>
      <c r="N71" s="143">
        <f>AVERAGE(O71:S71)</f>
        <v>286.61599999999999</v>
      </c>
      <c r="O71" s="143">
        <f>INDEX(Calc_WholesaleRES_2[[Ausnet]:[United Energy]],MATCH($D71,Calc_WholesaleRES_2[Cost item],0),MATCH(O$18,Calc_WholesaleRES_2[[#Headers],[Ausnet]:[United Energy]],0))*$N$9</f>
        <v>286.76</v>
      </c>
      <c r="P71" s="143">
        <f>INDEX(Calc_WholesaleRES_2[[Ausnet]:[United Energy]],MATCH($D71,Calc_WholesaleRES_2[Cost item],0),MATCH(P$18,Calc_WholesaleRES_2[[#Headers],[Ausnet]:[United Energy]],0))*$N$9</f>
        <v>272.32</v>
      </c>
      <c r="Q71" s="143">
        <f>INDEX(Calc_WholesaleRES_2[[Ausnet]:[United Energy]],MATCH($D71,Calc_WholesaleRES_2[Cost item],0),MATCH(Q$18,Calc_WholesaleRES_2[[#Headers],[Ausnet]:[United Energy]],0))*$N$9</f>
        <v>295.80000000000007</v>
      </c>
      <c r="R71" s="143">
        <f>INDEX(Calc_WholesaleRES_2[[Ausnet]:[United Energy]],MATCH($D71,Calc_WholesaleRES_2[Cost item],0),MATCH(R$18,Calc_WholesaleRES_2[[#Headers],[Ausnet]:[United Energy]],0))*$N$9</f>
        <v>280.24</v>
      </c>
      <c r="S71" s="143">
        <f>INDEX(Calc_WholesaleRES_2[[Ausnet]:[United Energy]],MATCH($D71,Calc_WholesaleRES_2[Cost item],0),MATCH(S$18,Calc_WholesaleRES_2[[#Headers],[Ausnet]:[United Energy]],0))*$N$9</f>
        <v>297.95999999999992</v>
      </c>
      <c r="U71" s="143">
        <f>IFERROR(N71-G71,"-")</f>
        <v>-91.927999999999997</v>
      </c>
      <c r="V71" s="143">
        <f t="shared" ref="V71:Z71" si="161">IFERROR(O71-H71,"-")</f>
        <v>-91.239999999999952</v>
      </c>
      <c r="W71" s="143">
        <f t="shared" si="161"/>
        <v>-84.920000000000016</v>
      </c>
      <c r="X71" s="143">
        <f t="shared" si="161"/>
        <v>-97.199999999999932</v>
      </c>
      <c r="Y71" s="143">
        <f t="shared" si="161"/>
        <v>-89.56</v>
      </c>
      <c r="Z71" s="143">
        <f t="shared" si="161"/>
        <v>-96.720000000000084</v>
      </c>
      <c r="AB71" s="222">
        <f>IFERROR(U71/G$20,"-")</f>
        <v>-6.5104815864022655E-2</v>
      </c>
      <c r="AC71" s="222">
        <f t="shared" ref="AC71:AD71" si="162">IFERROR(V71/H$20,"-")</f>
        <v>-5.8487179487179457E-2</v>
      </c>
      <c r="AD71" s="222">
        <f t="shared" si="162"/>
        <v>-6.3562874251497023E-2</v>
      </c>
      <c r="AE71" s="222">
        <f>IFERROR(X71/J$20,"-")</f>
        <v>-7.0079307858687767E-2</v>
      </c>
      <c r="AF71" s="222">
        <f t="shared" ref="AF71:AG71" si="163">IFERROR(Y71/K$20,"-")</f>
        <v>-6.2849122807017543E-2</v>
      </c>
      <c r="AG71" s="222">
        <f t="shared" si="163"/>
        <v>-7.1591413767579631E-2</v>
      </c>
      <c r="AI71" s="222">
        <f>IFERROR(N71/N$20,"-")</f>
        <v>0.21341474311243483</v>
      </c>
      <c r="AJ71" s="222">
        <f t="shared" ref="AJ71" si="164">IFERROR(O71/O$20,"-")</f>
        <v>0.19194109772423024</v>
      </c>
      <c r="AK71" s="222">
        <f t="shared" ref="AK71" si="165">IFERROR(P71/P$20,"-")</f>
        <v>0.21308294209702661</v>
      </c>
      <c r="AL71" s="222">
        <f t="shared" ref="AL71" si="166">IFERROR(Q71/Q$20,"-")</f>
        <v>0.22494296577946774</v>
      </c>
      <c r="AM71" s="222">
        <f t="shared" ref="AM71" si="167">IFERROR(R71/R$20,"-")</f>
        <v>0.20636229749631813</v>
      </c>
      <c r="AN71" s="222">
        <f t="shared" ref="AN71" si="168">IFERROR(S71/S$20,"-")</f>
        <v>0.23535545023696677</v>
      </c>
    </row>
    <row r="72" spans="2:45" outlineLevel="1" x14ac:dyDescent="0.25"/>
    <row r="73" spans="2:45" outlineLevel="1" x14ac:dyDescent="0.25">
      <c r="D73" s="214" t="s">
        <v>625</v>
      </c>
      <c r="E73" s="58" t="s">
        <v>139</v>
      </c>
      <c r="F73" s="214"/>
      <c r="G73" s="166">
        <f>AVERAGE(H73:L73)</f>
        <v>854.94821931745935</v>
      </c>
      <c r="H73" s="166">
        <f t="shared" ref="H73:K73" si="169">H51+H52+H53+H57+H58+H59+H61+H62+H63+SUM(H65:H69)+H71</f>
        <v>963.4994515175199</v>
      </c>
      <c r="I73" s="166">
        <f t="shared" si="169"/>
        <v>796.98124835319686</v>
      </c>
      <c r="J73" s="166">
        <f t="shared" si="169"/>
        <v>853.92562818169552</v>
      </c>
      <c r="K73" s="166">
        <f t="shared" si="169"/>
        <v>824.61825542130714</v>
      </c>
      <c r="L73" s="166">
        <f>L51+L52+L53+L57+L58+L59+L61+L62+L63+SUM(L65:L69)+L71</f>
        <v>835.71651311357732</v>
      </c>
      <c r="M73" s="214"/>
      <c r="N73" s="166">
        <f>AVERAGE(O73:S73)</f>
        <v>773.24428378526341</v>
      </c>
      <c r="O73" s="166">
        <f t="shared" ref="O73:R73" si="170">O51+O52+O53+O57+O58+O59+O61+O62+O63+SUM(O65:O69)+O71</f>
        <v>885.54241558698516</v>
      </c>
      <c r="P73" s="166">
        <f t="shared" si="170"/>
        <v>721.85286596098194</v>
      </c>
      <c r="Q73" s="166">
        <f t="shared" si="170"/>
        <v>769.03633028062018</v>
      </c>
      <c r="R73" s="166">
        <f t="shared" si="170"/>
        <v>743.40515811431897</v>
      </c>
      <c r="S73" s="166">
        <f>S51+S52+S53+S57+S58+S59+S61+S62+S63+SUM(S65:S69)+S71</f>
        <v>746.38464898341067</v>
      </c>
      <c r="U73" s="143">
        <f>IFERROR(N73-G73,"-")</f>
        <v>-81.703935532195942</v>
      </c>
      <c r="V73" s="143">
        <f t="shared" ref="V73" si="171">IFERROR(O73-H73,"-")</f>
        <v>-77.957035930534744</v>
      </c>
      <c r="W73" s="143">
        <f>IFERROR(P73-I73,"-")</f>
        <v>-75.128382392214917</v>
      </c>
      <c r="X73" s="143">
        <f t="shared" ref="X73:Z73" si="172">IFERROR(Q73-J73,"-")</f>
        <v>-84.889297901075338</v>
      </c>
      <c r="Y73" s="143">
        <f t="shared" si="172"/>
        <v>-81.213097306988175</v>
      </c>
      <c r="Z73" s="143">
        <f t="shared" si="172"/>
        <v>-89.33186413016665</v>
      </c>
      <c r="AB73" s="222">
        <f>IFERROR(U73/G$20,"-")</f>
        <v>-5.7863977005804493E-2</v>
      </c>
      <c r="AC73" s="222">
        <f t="shared" ref="AC73:AG73" si="173">IFERROR(V73/H$20,"-")</f>
        <v>-4.9972458929829967E-2</v>
      </c>
      <c r="AD73" s="222">
        <f t="shared" si="173"/>
        <v>-5.623381915584949E-2</v>
      </c>
      <c r="AE73" s="222">
        <f t="shared" si="173"/>
        <v>-6.1203531291330451E-2</v>
      </c>
      <c r="AF73" s="222">
        <f t="shared" si="173"/>
        <v>-5.699164723297416E-2</v>
      </c>
      <c r="AG73" s="222">
        <f t="shared" si="173"/>
        <v>-6.6122771376881315E-2</v>
      </c>
      <c r="AI73" s="233">
        <f>AVERAGE(AJ73:AN73)</f>
        <v>0.57542672132160133</v>
      </c>
      <c r="AJ73" s="233">
        <f>AJ51+AJ52+AJ53+AJ57+AJ58+AJ59+AJ61+AJ62+AJ63+AJ65+AJ66+AJ69+AJ71</f>
        <v>0.59233232636344391</v>
      </c>
      <c r="AK73" s="233">
        <f t="shared" ref="AK73:AM73" si="174">AK51+AK52+AK53+AK57+AK58+AK59+AK61+AK62+AK63+AK65+AK66+AK69+AK71</f>
        <v>0.56436224253597966</v>
      </c>
      <c r="AL73" s="233">
        <f t="shared" si="174"/>
        <v>0.58436381009933103</v>
      </c>
      <c r="AM73" s="233">
        <f t="shared" si="174"/>
        <v>0.54698618417843814</v>
      </c>
      <c r="AN73" s="233">
        <f>AN51+AN52+AN53+AN57+AN58+AN59+AN61+AN62+AN63+AN65+AN66+AN69+AN71</f>
        <v>0.58908904343081403</v>
      </c>
    </row>
    <row r="74" spans="2:45" outlineLevel="1" x14ac:dyDescent="0.25"/>
    <row r="76" spans="2:45" x14ac:dyDescent="0.25">
      <c r="N76" s="237"/>
    </row>
    <row r="77" spans="2:45" ht="16.5" thickBot="1" x14ac:dyDescent="0.3">
      <c r="B77" s="9">
        <f ca="1">MAX(B$3:B76)+0.1</f>
        <v>19.200000000000003</v>
      </c>
      <c r="C77" s="29" t="s">
        <v>101</v>
      </c>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row>
    <row r="78" spans="2:45" outlineLevel="1" x14ac:dyDescent="0.25">
      <c r="B78"/>
    </row>
    <row r="79" spans="2:45" ht="15.75" outlineLevel="1" x14ac:dyDescent="0.25">
      <c r="D79" s="55" t="s">
        <v>99</v>
      </c>
      <c r="E79" s="224" t="s">
        <v>101</v>
      </c>
      <c r="N79" s="138"/>
      <c r="O79" s="138"/>
      <c r="P79" s="138"/>
      <c r="Q79" s="138"/>
      <c r="R79" s="138"/>
      <c r="S79" s="138"/>
    </row>
    <row r="80" spans="2:45" outlineLevel="1" x14ac:dyDescent="0.25">
      <c r="G80" s="138"/>
      <c r="H80" s="138"/>
      <c r="I80" s="138"/>
      <c r="J80" s="138"/>
      <c r="K80" s="138"/>
      <c r="L80" s="138"/>
      <c r="N80" s="138"/>
      <c r="O80" s="138"/>
      <c r="P80" s="138"/>
      <c r="Q80" s="138"/>
      <c r="R80" s="138"/>
      <c r="S80" s="138"/>
    </row>
    <row r="81" spans="4:47" ht="15.75" outlineLevel="1" x14ac:dyDescent="0.25">
      <c r="D81" s="55" t="s">
        <v>620</v>
      </c>
      <c r="F81" s="108" t="s">
        <v>238</v>
      </c>
      <c r="G81" s="224" cm="1">
        <f t="array" ref="G81">INDEX(Input_Usage[[F-CurrentVDO_Input]:[F-NextVDO_Input]],MATCH(1,(Input_Usage[[Profile name]:[Profile name]]=$E$79&amp;" - medium")*(Input_Usage[[Usage type]:[Usage type]]=$F81),0),MATCH($G$89,Inputs!$I$133:$M$133,0))</f>
        <v>20000</v>
      </c>
      <c r="I81" s="55" t="s">
        <v>513</v>
      </c>
      <c r="J81" s="83" t="str">
        <f>INDEX(Inputs!$H$10:$Q$10,1,MATCH($G$89,Inputs!$H$8:$Q$8,0))</f>
        <v>VF-CurrentVDO_Input</v>
      </c>
      <c r="K81" s="189" t="str">
        <f>INDEX(Input_TUNet_Dates[[F-CurrentVDO_Input]:[F-NextVDO_Input]],MATCH(I81,Input_TUNet_Dates[Item],0),MATCH(J81,Input_TUNet_Dates[[#Headers],[F-CurrentVDO_Input]:[F-NextVDO_Input]],0))</f>
        <v>-</v>
      </c>
      <c r="N81" s="224" cm="1">
        <f t="array" ref="N81">INDEX(Input_Usage[[F-CurrentVDO_Input]:[F-NextVDO_Input]],MATCH(1,(Input_Usage[[Profile name]:[Profile name]]=$E$79&amp;" - medium")*(Input_Usage[[Usage type]:[Usage type]]=$F81),0),MATCH($N$89,Inputs!$I$133:$M$133,0))</f>
        <v>20000</v>
      </c>
      <c r="P81" s="55" t="s">
        <v>513</v>
      </c>
      <c r="Q81" s="83" t="str">
        <f>INDEX(Inputs!$H$10:$Q$10,1,MATCH($N$89,Inputs!$H$8:$Q$8,0))</f>
        <v>F-NextVDO_Input</v>
      </c>
      <c r="R81" s="189">
        <f>INDEX(Input_TUNet_Dates[[F-CurrentVDO_Input]:[F-NextVDO_Input]],MATCH(P81,Input_TUNet_Dates[Item],0),MATCH(Q81,Input_TUNet_Dates[[#Headers],[F-CurrentVDO_Input]:[F-NextVDO_Input]],0))</f>
        <v>44562</v>
      </c>
    </row>
    <row r="82" spans="4:47" ht="15.75" outlineLevel="1" x14ac:dyDescent="0.25">
      <c r="F82" s="108" t="s">
        <v>230</v>
      </c>
      <c r="G82" s="224" cm="1">
        <f t="array" ref="G82">INDEX(Input_Usage[[F-CurrentVDO_Input]:[F-NextVDO_Input]],MATCH(1,(Input_Usage[[Profile name]:[Profile name]]=$E$79&amp;" - medium")*(Input_Usage[[Usage type]:[Usage type]]=$F82),0),MATCH($G$89,Inputs!$I$133:$M$133,0))</f>
        <v>4080</v>
      </c>
      <c r="I82" s="55" t="s">
        <v>514</v>
      </c>
      <c r="J82" s="83" t="str">
        <f>INDEX(Inputs!$H$10:$Q$10,1,MATCH($G$89,Inputs!$H$8:$Q$8,0))</f>
        <v>VF-CurrentVDO_Input</v>
      </c>
      <c r="K82" s="189" t="str">
        <f>INDEX(Input_TUNet_Dates[[F-CurrentVDO_Input]:[F-NextVDO_Input]],MATCH(I82,Input_TUNet_Dates[Item],0),MATCH(J82,Input_TUNet_Dates[[#Headers],[F-CurrentVDO_Input]:[F-NextVDO_Input]],0))</f>
        <v>-</v>
      </c>
      <c r="N82" s="224" cm="1">
        <f t="array" ref="N82">INDEX(Input_Usage[[F-CurrentVDO_Input]:[F-NextVDO_Input]],MATCH(1,(Input_Usage[[Profile name]:[Profile name]]=$E$79&amp;" - medium")*(Input_Usage[[Usage type]:[Usage type]]=$F82),0),MATCH($N$89,Inputs!$I$133:$M$133,0))</f>
        <v>4080</v>
      </c>
      <c r="P82" s="55" t="s">
        <v>514</v>
      </c>
      <c r="Q82" s="83" t="str">
        <f>INDEX(Inputs!$H$10:$Q$10,1,MATCH($N$89,Inputs!$H$8:$Q$8,0))</f>
        <v>F-NextVDO_Input</v>
      </c>
      <c r="R82" s="189">
        <f>INDEX(Input_TUNet_Dates[[F-CurrentVDO_Input]:[F-NextVDO_Input]],MATCH(P82,Input_TUNet_Dates[Item],0),MATCH(Q82,Input_TUNet_Dates[[#Headers],[F-CurrentVDO_Input]:[F-NextVDO_Input]],0))</f>
        <v>44742</v>
      </c>
    </row>
    <row r="83" spans="4:47" ht="15.75" outlineLevel="1" x14ac:dyDescent="0.25">
      <c r="F83" s="108" t="s">
        <v>237</v>
      </c>
      <c r="G83" s="224" cm="1">
        <f t="array" ref="G83">INDEX(Input_Usage[[F-CurrentVDO_Input]:[F-NextVDO_Input]],MATCH(1,(Input_Usage[[Profile name]:[Profile name]]=$E$79&amp;" - medium")*(Input_Usage[[Usage type]:[Usage type]]=$F83),0),MATCH($G$89,Inputs!$I$133:$M$133,0))</f>
        <v>15920</v>
      </c>
      <c r="I83" s="30"/>
      <c r="N83" s="224" cm="1">
        <f t="array" ref="N83">INDEX(Input_Usage[[F-CurrentVDO_Input]:[F-NextVDO_Input]],MATCH(1,(Input_Usage[[Profile name]:[Profile name]]=$E$79&amp;" - medium")*(Input_Usage[[Usage type]:[Usage type]]=$F83),0),MATCH($N$89,Inputs!$I$133:$M$133,0))</f>
        <v>15920</v>
      </c>
      <c r="P83" s="30"/>
      <c r="AB83" s="114"/>
    </row>
    <row r="84" spans="4:47" ht="15.75" outlineLevel="1" x14ac:dyDescent="0.25">
      <c r="F84" s="108" t="s">
        <v>296</v>
      </c>
      <c r="G84" s="224"/>
      <c r="I84" s="55" t="s">
        <v>574</v>
      </c>
      <c r="K84" s="229" t="str">
        <f>IFERROR(_xlfn.DAYS(K82,K81)+1,"-")</f>
        <v>-</v>
      </c>
      <c r="N84" s="224"/>
      <c r="P84" s="55" t="s">
        <v>574</v>
      </c>
      <c r="R84" s="229">
        <f>IFERROR(_xlfn.DAYS(R82,R81)+1,"-")</f>
        <v>181</v>
      </c>
    </row>
    <row r="85" spans="4:47" outlineLevel="1" x14ac:dyDescent="0.25"/>
    <row r="86" spans="4:47" ht="15.75" outlineLevel="1" x14ac:dyDescent="0.25">
      <c r="I86" s="55" t="s">
        <v>658</v>
      </c>
      <c r="J86" t="s">
        <v>525</v>
      </c>
      <c r="K86" s="83" t="str">
        <f>INDEX(Input_DecisionActual[Decision],MATCH(K87,Input_DecisionActual[Actual],0),1)</f>
        <v>VDO 2021 - Final</v>
      </c>
      <c r="L86" s="77">
        <f>INDEX(Input_TU_Periods[[F-CurrentVDO_Input]:[F-NextVDO_Input]],1,MATCH(K86,Inputs!$F$237:$J$237,0))</f>
        <v>365</v>
      </c>
      <c r="P86" s="55" t="s">
        <v>658</v>
      </c>
      <c r="Q86" t="s">
        <v>525</v>
      </c>
      <c r="R86" s="83" t="str">
        <f>INDEX(Input_DecisionActual[Decision],MATCH(R87,Input_DecisionActual[Actual],0),1)</f>
        <v>VDO 2021 - Final</v>
      </c>
      <c r="S86" s="77">
        <f>INDEX(Input_TU_Periods[[F-CurrentVDO_Input]:[F-NextVDO_Input]],1,MATCH(R86,Inputs!$F$237:$J$237,0))</f>
        <v>365</v>
      </c>
    </row>
    <row r="87" spans="4:47" ht="15.75" outlineLevel="1" x14ac:dyDescent="0.25">
      <c r="I87" s="55" t="s">
        <v>658</v>
      </c>
      <c r="J87" t="s">
        <v>524</v>
      </c>
      <c r="K87" s="83" t="str">
        <f>G89</f>
        <v>VDO 2021 - Variation final</v>
      </c>
      <c r="L87" s="77">
        <f>INDEX(Input_TU_Periods[[F-CurrentVDO_Input]:[F-NextVDO_Input]],1,MATCH(K87,Inputs!$F$237:$J$237,0))</f>
        <v>62</v>
      </c>
      <c r="P87" s="55" t="s">
        <v>658</v>
      </c>
      <c r="Q87" t="s">
        <v>524</v>
      </c>
      <c r="R87" s="83" t="str">
        <f>N89</f>
        <v>VDO 2022 - Final</v>
      </c>
      <c r="S87" s="77">
        <f>INDEX(Input_TU_Periods[[F-CurrentVDO_Input]:[F-NextVDO_Input]],1,MATCH(R87,Inputs!$F$237:$J$237,0))</f>
        <v>181</v>
      </c>
    </row>
    <row r="88" spans="4:47" ht="15.75" outlineLevel="1" x14ac:dyDescent="0.25">
      <c r="I88" s="55" t="s">
        <v>657</v>
      </c>
      <c r="L88" s="241">
        <f>L86/L87</f>
        <v>5.887096774193548</v>
      </c>
      <c r="P88" s="55" t="s">
        <v>657</v>
      </c>
      <c r="S88" s="241">
        <f>S86/S87</f>
        <v>2.0165745856353592</v>
      </c>
    </row>
    <row r="89" spans="4:47" ht="30" outlineLevel="1" x14ac:dyDescent="0.25">
      <c r="G89" s="202" t="str">
        <f>Calc_Rates!$D$5</f>
        <v>VDO 2021 - Variation final</v>
      </c>
      <c r="N89" s="202" t="str">
        <f>Calc_Rates!$D$251</f>
        <v>VDO 2022 - Final</v>
      </c>
      <c r="U89" s="30" t="s">
        <v>328</v>
      </c>
      <c r="AB89" s="30" t="s">
        <v>619</v>
      </c>
    </row>
    <row r="90" spans="4:47" ht="15.75" outlineLevel="1" x14ac:dyDescent="0.25">
      <c r="G90" s="51" t="s">
        <v>383</v>
      </c>
      <c r="H90" s="223" t="s">
        <v>277</v>
      </c>
      <c r="I90" s="223" t="s">
        <v>278</v>
      </c>
      <c r="J90" s="223" t="s">
        <v>279</v>
      </c>
      <c r="K90" s="223" t="s">
        <v>280</v>
      </c>
      <c r="L90" s="223" t="s">
        <v>281</v>
      </c>
      <c r="N90" s="51" t="s">
        <v>383</v>
      </c>
      <c r="O90" s="223" t="s">
        <v>277</v>
      </c>
      <c r="P90" s="223" t="s">
        <v>278</v>
      </c>
      <c r="Q90" s="223" t="s">
        <v>279</v>
      </c>
      <c r="R90" s="223" t="s">
        <v>280</v>
      </c>
      <c r="S90" s="223" t="s">
        <v>281</v>
      </c>
      <c r="U90" s="51" t="s">
        <v>383</v>
      </c>
      <c r="V90" s="223" t="s">
        <v>277</v>
      </c>
      <c r="W90" s="223" t="s">
        <v>278</v>
      </c>
      <c r="X90" s="223" t="s">
        <v>279</v>
      </c>
      <c r="Y90" s="223" t="s">
        <v>280</v>
      </c>
      <c r="Z90" s="223" t="s">
        <v>281</v>
      </c>
      <c r="AB90" s="51" t="s">
        <v>383</v>
      </c>
      <c r="AC90" s="223" t="s">
        <v>277</v>
      </c>
      <c r="AD90" s="223" t="s">
        <v>278</v>
      </c>
      <c r="AE90" s="223" t="s">
        <v>279</v>
      </c>
      <c r="AF90" s="223" t="s">
        <v>280</v>
      </c>
      <c r="AG90" s="223" t="s">
        <v>281</v>
      </c>
    </row>
    <row r="91" spans="4:47" outlineLevel="1" x14ac:dyDescent="0.25">
      <c r="AP91" s="242"/>
      <c r="AQ91" s="261"/>
      <c r="AS91" s="242"/>
    </row>
    <row r="92" spans="4:47" outlineLevel="1" x14ac:dyDescent="0.25">
      <c r="D92" t="s">
        <v>650</v>
      </c>
      <c r="G92" s="143">
        <f>ROUNDUP(AVERAGE(H92:L92),0)</f>
        <v>5686</v>
      </c>
      <c r="H92" s="143">
        <f>IF($E$79="Residential",
INDEX(CostStackCalcs_RES_1[[Ausnet]:[Average]],MATCH("Total",CostStackCalcs_RES_1[[Labels]:[Labels]],0),MATCH(H$90,CostStackCalcs_RES_1[[#Headers],[Ausnet]:[Average]],0)),
IF($E$79="Small business",
INDEX(CostStackCalcs_SME_1[[Ausnet]:[Average]],MATCH("Total",CostStackCalcs_SME_1[[Labels]:[Labels]],0),MATCH(H$90,CostStackCalcs_SME_1[[#Headers],[Ausnet]:[Average]],0)),"-"))</f>
        <v>7220</v>
      </c>
      <c r="I92" s="143">
        <f>IF($E$79="Residential",
INDEX(CostStackCalcs_RES_1[[Ausnet]:[Average]],MATCH("Total",CostStackCalcs_RES_1[[Labels]:[Labels]],0),MATCH(I$90,CostStackCalcs_RES_1[[#Headers],[Ausnet]:[Average]],0)),
IF($E$79="Small business",
INDEX(CostStackCalcs_SME_1[[Ausnet]:[Average]],MATCH("Total",CostStackCalcs_SME_1[[Labels]:[Labels]],0),MATCH(I$90,CostStackCalcs_SME_1[[#Headers],[Ausnet]:[Average]],0)),"-"))</f>
        <v>5080</v>
      </c>
      <c r="J92" s="143">
        <f>IF($E$79="Residential",
INDEX(CostStackCalcs_RES_1[[Ausnet]:[Average]],MATCH("Total",CostStackCalcs_RES_1[[Labels]:[Labels]],0),MATCH(J$90,CostStackCalcs_RES_1[[#Headers],[Ausnet]:[Average]],0)),
IF($E$79="Small business",
INDEX(CostStackCalcs_SME_1[[Ausnet]:[Average]],MATCH("Total",CostStackCalcs_SME_1[[Labels]:[Labels]],0),MATCH(J$90,CostStackCalcs_SME_1[[#Headers],[Ausnet]:[Average]],0)),"-"))</f>
        <v>5646</v>
      </c>
      <c r="K92" s="143">
        <f>IF($E$79="Residential",
INDEX(CostStackCalcs_RES_1[[Ausnet]:[Average]],MATCH("Total",CostStackCalcs_RES_1[[Labels]:[Labels]],0),MATCH(K$90,CostStackCalcs_RES_1[[#Headers],[Ausnet]:[Average]],0)),
IF($E$79="Small business",
INDEX(CostStackCalcs_SME_1[[Ausnet]:[Average]],MATCH("Total",CostStackCalcs_SME_1[[Labels]:[Labels]],0),MATCH(K$90,CostStackCalcs_SME_1[[#Headers],[Ausnet]:[Average]],0)),"-"))</f>
        <v>5285</v>
      </c>
      <c r="L92" s="143">
        <f>IF($E$79="Residential",
INDEX(CostStackCalcs_RES_1[[Ausnet]:[Average]],MATCH("Total",CostStackCalcs_RES_1[[Labels]:[Labels]],0),MATCH(L$90,CostStackCalcs_RES_1[[#Headers],[Ausnet]:[Average]],0)),
IF($E$79="Small business",
INDEX(CostStackCalcs_SME_1[[Ausnet]:[Average]],MATCH("Total",CostStackCalcs_SME_1[[Labels]:[Labels]],0),MATCH(L$90,CostStackCalcs_SME_1[[#Headers],[Ausnet]:[Average]],0)),"-"))</f>
        <v>5198</v>
      </c>
      <c r="N92" s="143">
        <f>ROUNDUP(AVERAGE(O92:S92),0)</f>
        <v>5350</v>
      </c>
      <c r="O92" s="143">
        <f>IF($E$79="Residential",
INDEX(CostStackCalcs_RES_2[[Ausnet]:[Average]],MATCH("Total",CostStackCalcs_RES_2[[Labels]:[Labels]],0),MATCH(O$90,CostStackCalcs_RES_2[[#Headers],[Ausnet]:[Average]],0)),
IF($E$79="Small business",
INDEX(CostStackCalcs_SME_2[[Ausnet]:[Average]],MATCH("Total",CostStackCalcs_SME_2[[Labels]:[Labels]],0),MATCH(O$90,CostStackCalcs_SME_2[[#Headers],[Ausnet]:[Average]],0)),"-"))</f>
        <v>6934</v>
      </c>
      <c r="P92" s="143">
        <f>IF($E$79="Residential",
INDEX(CostStackCalcs_RES_2[[Ausnet]:[Average]],MATCH("Total",CostStackCalcs_RES_2[[Labels]:[Labels]],0),MATCH(P$90,CostStackCalcs_RES_2[[#Headers],[Ausnet]:[Average]],0)),
IF($E$79="Small business",
INDEX(CostStackCalcs_SME_2[[Ausnet]:[Average]],MATCH("Total",CostStackCalcs_SME_2[[Labels]:[Labels]],0),MATCH(P$90,CostStackCalcs_SME_2[[#Headers],[Ausnet]:[Average]],0)),"-"))</f>
        <v>4713</v>
      </c>
      <c r="Q92" s="143">
        <f>IF($E$79="Residential",
INDEX(CostStackCalcs_RES_2[[Ausnet]:[Average]],MATCH("Total",CostStackCalcs_RES_2[[Labels]:[Labels]],0),MATCH(Q$90,CostStackCalcs_RES_2[[#Headers],[Ausnet]:[Average]],0)),
IF($E$79="Small business",
INDEX(CostStackCalcs_SME_2[[Ausnet]:[Average]],MATCH("Total",CostStackCalcs_SME_2[[Labels]:[Labels]],0),MATCH(Q$90,CostStackCalcs_SME_2[[#Headers],[Ausnet]:[Average]],0)),"-"))</f>
        <v>5328</v>
      </c>
      <c r="R92" s="143">
        <f>IF($E$79="Residential",
INDEX(CostStackCalcs_RES_2[[Ausnet]:[Average]],MATCH("Total",CostStackCalcs_RES_2[[Labels]:[Labels]],0),MATCH(R$90,CostStackCalcs_RES_2[[#Headers],[Ausnet]:[Average]],0)),
IF($E$79="Small business",
INDEX(CostStackCalcs_SME_2[[Ausnet]:[Average]],MATCH("Total",CostStackCalcs_SME_2[[Labels]:[Labels]],0),MATCH(R$90,CostStackCalcs_SME_2[[#Headers],[Ausnet]:[Average]],0)),"-"))</f>
        <v>4969</v>
      </c>
      <c r="S92" s="143">
        <f>IF($E$79="Residential",
INDEX(CostStackCalcs_RES_2[[Ausnet]:[Average]],MATCH("Total",CostStackCalcs_RES_2[[Labels]:[Labels]],0),MATCH(S$90,CostStackCalcs_RES_2[[#Headers],[Ausnet]:[Average]],0)),
IF($E$79="Small business",
INDEX(CostStackCalcs_SME_2[[Ausnet]:[Average]],MATCH("Total",CostStackCalcs_SME_2[[Labels]:[Labels]],0),MATCH(S$90,CostStackCalcs_SME_2[[#Headers],[Ausnet]:[Average]],0)),"-"))</f>
        <v>4806</v>
      </c>
      <c r="U92" s="143">
        <f>IFERROR(N92-G92,"-")</f>
        <v>-336</v>
      </c>
      <c r="V92" s="143">
        <f t="shared" ref="V92:Z92" si="175">IFERROR(O92-H92,"-")</f>
        <v>-286</v>
      </c>
      <c r="W92" s="143">
        <f t="shared" si="175"/>
        <v>-367</v>
      </c>
      <c r="X92" s="143">
        <f t="shared" si="175"/>
        <v>-318</v>
      </c>
      <c r="Y92" s="143">
        <f t="shared" si="175"/>
        <v>-316</v>
      </c>
      <c r="Z92" s="143">
        <f t="shared" si="175"/>
        <v>-392</v>
      </c>
      <c r="AB92" s="222">
        <f>IFERROR(U92/G$92,"-")</f>
        <v>-5.9092507914175169E-2</v>
      </c>
      <c r="AC92" s="222">
        <f t="shared" ref="AC92:AG92" si="176">IFERROR(V92/H$92,"-")</f>
        <v>-3.9612188365650967E-2</v>
      </c>
      <c r="AD92" s="222">
        <f t="shared" si="176"/>
        <v>-7.224409448818897E-2</v>
      </c>
      <c r="AE92" s="222">
        <f t="shared" si="176"/>
        <v>-5.6323060573857602E-2</v>
      </c>
      <c r="AF92" s="222">
        <f t="shared" si="176"/>
        <v>-5.9791863765373703E-2</v>
      </c>
      <c r="AG92" s="222">
        <f t="shared" si="176"/>
        <v>-7.5413620623316663E-2</v>
      </c>
      <c r="AP92" s="242"/>
      <c r="AQ92" s="261"/>
      <c r="AU92" s="114"/>
    </row>
    <row r="93" spans="4:47" outlineLevel="1" x14ac:dyDescent="0.25">
      <c r="D93" t="s">
        <v>651</v>
      </c>
      <c r="G93" s="143">
        <f>ROUNDUP(G96+G97+G120+G145+G102+G103+G104+G99,0)</f>
        <v>5686</v>
      </c>
      <c r="H93" s="143">
        <f t="shared" ref="H93:L93" si="177">ROUNDUP(H96+H97+H120+H145+H102+H103+H104+H99,0)</f>
        <v>7220</v>
      </c>
      <c r="I93" s="143">
        <f t="shared" si="177"/>
        <v>5080</v>
      </c>
      <c r="J93" s="143">
        <f t="shared" si="177"/>
        <v>5646</v>
      </c>
      <c r="K93" s="143">
        <f t="shared" si="177"/>
        <v>5285</v>
      </c>
      <c r="L93" s="143">
        <f t="shared" si="177"/>
        <v>5198</v>
      </c>
      <c r="N93" s="143">
        <f t="shared" ref="N93:S93" si="178">ROUNDUP(N96+N97+N120+N145+N102+N103+N104+N99,0)</f>
        <v>5350</v>
      </c>
      <c r="O93" s="143">
        <f>ROUNDUP(O96+O97+O120+O145+O102+O103+O104+O99,0)</f>
        <v>6934</v>
      </c>
      <c r="P93" s="143">
        <f t="shared" si="178"/>
        <v>4713</v>
      </c>
      <c r="Q93" s="143">
        <f t="shared" si="178"/>
        <v>5328</v>
      </c>
      <c r="R93" s="143">
        <f t="shared" si="178"/>
        <v>4969</v>
      </c>
      <c r="S93" s="143">
        <f t="shared" si="178"/>
        <v>4806</v>
      </c>
      <c r="U93" s="143">
        <f>ROUNDUP(U96+U97+U120+U145+U102+U103+U104+U99,0)</f>
        <v>-336</v>
      </c>
      <c r="V93" s="143">
        <f t="shared" ref="V93:Z93" si="179">ROUNDUP(V96+V97+V120+V145+V102+V103+V104+V99,0)</f>
        <v>-287</v>
      </c>
      <c r="W93" s="143">
        <f t="shared" si="179"/>
        <v>-368</v>
      </c>
      <c r="X93" s="143">
        <f t="shared" si="179"/>
        <v>-318</v>
      </c>
      <c r="Y93" s="143">
        <f t="shared" si="179"/>
        <v>-316</v>
      </c>
      <c r="Z93" s="143">
        <f t="shared" si="179"/>
        <v>-392</v>
      </c>
      <c r="AB93" s="143"/>
      <c r="AC93" s="143"/>
      <c r="AD93" s="143"/>
      <c r="AE93" s="143"/>
      <c r="AF93" s="143"/>
      <c r="AG93" s="143"/>
      <c r="AP93" s="242"/>
      <c r="AQ93" s="261"/>
      <c r="AU93" s="114"/>
    </row>
    <row r="94" spans="4:47" ht="15.75" outlineLevel="1" x14ac:dyDescent="0.25">
      <c r="G94" s="94">
        <f>IF(AND(G93-G92&lt;=1,G93-G92&gt;=-1),0,1)</f>
        <v>0</v>
      </c>
      <c r="H94" s="94">
        <f t="shared" ref="H94" si="180">IF(AND(H93-H92&lt;=1,H93-H92&gt;=-1),0,1)</f>
        <v>0</v>
      </c>
      <c r="I94" s="94">
        <f t="shared" ref="I94" si="181">IF(AND(I93-I92&lt;=1,I93-I92&gt;=-1),0,1)</f>
        <v>0</v>
      </c>
      <c r="J94" s="94">
        <f t="shared" ref="J94" si="182">IF(AND(J93-J92&lt;=1,J93-J92&gt;=-1),0,1)</f>
        <v>0</v>
      </c>
      <c r="K94" s="94">
        <f t="shared" ref="K94" si="183">IF(AND(K93-K92&lt;=1,K93-K92&gt;=-1),0,1)</f>
        <v>0</v>
      </c>
      <c r="L94" s="94">
        <f t="shared" ref="L94" si="184">IF(AND(L93-L92&lt;=1,L93-L92&gt;=-1),0,1)</f>
        <v>0</v>
      </c>
      <c r="N94" s="94">
        <f>IF(AND(N93-N92&lt;=1,N93-N92&gt;=-1),0,1)</f>
        <v>0</v>
      </c>
      <c r="O94" s="94">
        <f>IF(AND(O93-O92&lt;=1,O93-O92&gt;=-1),0,1)</f>
        <v>0</v>
      </c>
      <c r="P94" s="94">
        <f t="shared" ref="P94" si="185">IF(AND(P93-P92&lt;=1,P93-P92&gt;=-1),0,1)</f>
        <v>0</v>
      </c>
      <c r="Q94" s="94">
        <f t="shared" ref="Q94" si="186">IF(AND(Q93-Q92&lt;=1,Q93-Q92&gt;=-1),0,1)</f>
        <v>0</v>
      </c>
      <c r="R94" s="94">
        <f t="shared" ref="R94" si="187">IF(AND(R93-R92&lt;=1,R93-R92&gt;=-1),0,1)</f>
        <v>0</v>
      </c>
      <c r="S94" s="94">
        <f t="shared" ref="S94" si="188">IF(AND(S93-S92&lt;=1,S93-S92&gt;=-1),0,1)</f>
        <v>0</v>
      </c>
      <c r="U94" s="94">
        <f>IF(AND(U93-U92&lt;=1,U93-U92&gt;=-1),0,1)</f>
        <v>0</v>
      </c>
      <c r="V94" s="94">
        <f t="shared" ref="V94" si="189">IF(AND(V93-V92&lt;=1,V93-V92&gt;=-1),0,1)</f>
        <v>0</v>
      </c>
      <c r="W94" s="94">
        <f t="shared" ref="W94" si="190">IF(AND(W93-W92&lt;=1,W93-W92&gt;=-1),0,1)</f>
        <v>0</v>
      </c>
      <c r="X94" s="94">
        <f t="shared" ref="X94" si="191">IF(AND(X93-X92&lt;=1,X93-X92&gt;=-1),0,1)</f>
        <v>0</v>
      </c>
      <c r="Y94" s="94">
        <f t="shared" ref="Y94" si="192">IF(AND(Y93-Y92&lt;=1,Y93-Y92&gt;=-1),0,1)</f>
        <v>0</v>
      </c>
      <c r="Z94" s="94">
        <f t="shared" ref="Z94" si="193">IF(AND(Z93-Z92&lt;=1,Z93-Z92&gt;=-1),0,1)</f>
        <v>0</v>
      </c>
      <c r="AB94" s="94">
        <f>IF(AND(AB93-AB92&lt;=1,AB93-AB92&gt;=-1),0,1)</f>
        <v>0</v>
      </c>
      <c r="AC94" s="94">
        <f t="shared" ref="AC94" si="194">IF(AND(AC93-AC92&lt;=1,AC93-AC92&gt;=-1),0,1)</f>
        <v>0</v>
      </c>
      <c r="AD94" s="94">
        <f t="shared" ref="AD94" si="195">IF(AND(AD93-AD92&lt;=1,AD93-AD92&gt;=-1),0,1)</f>
        <v>0</v>
      </c>
      <c r="AE94" s="94">
        <f t="shared" ref="AE94" si="196">IF(AND(AE93-AE92&lt;=1,AE93-AE92&gt;=-1),0,1)</f>
        <v>0</v>
      </c>
      <c r="AF94" s="94">
        <f t="shared" ref="AF94" si="197">IF(AND(AF93-AF92&lt;=1,AF93-AF92&gt;=-1),0,1)</f>
        <v>0</v>
      </c>
      <c r="AG94" s="94">
        <f t="shared" ref="AG94" si="198">IF(AND(AG93-AG92&lt;=1,AG93-AG92&gt;=-1),0,1)</f>
        <v>0</v>
      </c>
      <c r="AP94" s="242"/>
      <c r="AQ94" s="261"/>
      <c r="AS94" s="242"/>
    </row>
    <row r="95" spans="4:47" outlineLevel="1" x14ac:dyDescent="0.25">
      <c r="AP95" s="242"/>
      <c r="AQ95" s="261"/>
      <c r="AS95" s="242"/>
    </row>
    <row r="96" spans="4:47" outlineLevel="1" x14ac:dyDescent="0.25">
      <c r="D96" t="s">
        <v>623</v>
      </c>
      <c r="G96" s="143">
        <f>AVERAGE(H96:L96)</f>
        <v>516.8331610842198</v>
      </c>
      <c r="H96" s="143">
        <f>((H120+H145)+H$97)*GST</f>
        <v>656.33312328123918</v>
      </c>
      <c r="I96" s="143">
        <f>((I120+I145)+I$97)*GST</f>
        <v>461.77602689293457</v>
      </c>
      <c r="J96" s="143">
        <f>((J120+J145)+J$97)*GST</f>
        <v>513.22778646922575</v>
      </c>
      <c r="K96" s="143">
        <f>((K120+K145)+K$97)*GST</f>
        <v>480.37235595724042</v>
      </c>
      <c r="L96" s="143">
        <f>((L120+L145)+L$97)*GST</f>
        <v>472.45651282045884</v>
      </c>
      <c r="N96" s="143">
        <f t="shared" ref="N96:N97" si="199">AVERAGE(O96:S96)</f>
        <v>479.05184954876495</v>
      </c>
      <c r="O96" s="143">
        <f>((O120+O145)+O$97)*GST</f>
        <v>621.97805397622278</v>
      </c>
      <c r="P96" s="143">
        <f>((P120+P145)+P$97)*GST</f>
        <v>421.64903156451732</v>
      </c>
      <c r="Q96" s="143">
        <f>((Q120+Q145)+Q$97)*GST</f>
        <v>476.07785338700546</v>
      </c>
      <c r="R96" s="143">
        <f>((R120+R145)+R$97)*GST</f>
        <v>444.58423816514772</v>
      </c>
      <c r="S96" s="143">
        <f>((S120+S145)+S$97)*GST</f>
        <v>430.97007065093152</v>
      </c>
      <c r="U96" s="143">
        <f>IFERROR(N96-G96,"-")</f>
        <v>-37.781311535454847</v>
      </c>
      <c r="V96" s="143">
        <f t="shared" ref="V96:Z97" si="200">IFERROR(O96-H96,"-")</f>
        <v>-34.3550693050164</v>
      </c>
      <c r="W96" s="143">
        <f t="shared" si="200"/>
        <v>-40.126995328417252</v>
      </c>
      <c r="X96" s="143">
        <f t="shared" si="200"/>
        <v>-37.149933082220286</v>
      </c>
      <c r="Y96" s="143">
        <f t="shared" si="200"/>
        <v>-35.788117792092692</v>
      </c>
      <c r="Z96" s="143">
        <f t="shared" si="200"/>
        <v>-41.486442169527322</v>
      </c>
      <c r="AB96" s="222">
        <f>IFERROR(U96/G$92,"-")</f>
        <v>-6.6446203896332826E-3</v>
      </c>
      <c r="AC96" s="222">
        <f t="shared" ref="AC96:AG97" si="201">IFERROR(V96/H$92,"-")</f>
        <v>-4.7583198483402214E-3</v>
      </c>
      <c r="AD96" s="222">
        <f t="shared" si="201"/>
        <v>-7.8990148284285924E-3</v>
      </c>
      <c r="AE96" s="222">
        <f t="shared" si="201"/>
        <v>-6.5798677085051873E-3</v>
      </c>
      <c r="AF96" s="222">
        <f t="shared" si="201"/>
        <v>-6.7716400741897245E-3</v>
      </c>
      <c r="AG96" s="222">
        <f t="shared" si="201"/>
        <v>-7.9812316601630094E-3</v>
      </c>
      <c r="AI96" s="242"/>
      <c r="AP96" s="242"/>
      <c r="AQ96" s="261"/>
    </row>
    <row r="97" spans="3:45" outlineLevel="1" x14ac:dyDescent="0.25">
      <c r="D97" t="s">
        <v>624</v>
      </c>
      <c r="G97" s="143">
        <f>AVERAGE(H97:L97)</f>
        <v>294.38629695857099</v>
      </c>
      <c r="H97" s="143">
        <f>(H120+H145)*
INDEX(Input_ForRateCalc[[F-CurrentVDO_InputDate]:[F-NextVDO_Input]],
MATCH("Retail operating margin",Input_ForRateCalc[[Cost item]:[Cost item]],0),
MATCH($G$89,Inputs!$H$8:$Q$8,0))</f>
        <v>373.84497025826897</v>
      </c>
      <c r="I97" s="143">
        <f>(I120+I145)*
INDEX(Input_ForRateCalc[[F-CurrentVDO_InputDate]:[F-NextVDO_Input]],
MATCH("Retail operating margin",Input_ForRateCalc[[Cost item]:[Cost item]],0),
MATCH($G$89,Inputs!$H$8:$Q$8,0))</f>
        <v>263.02595270023807</v>
      </c>
      <c r="J97" s="143">
        <f>(J120+J145)*
INDEX(Input_ForRateCalc[[F-CurrentVDO_InputDate]:[F-NextVDO_Input]],
MATCH("Retail operating margin",Input_ForRateCalc[[Cost item]:[Cost item]],0),
MATCH($G$89,Inputs!$H$8:$Q$8,0))</f>
        <v>292.33268863392334</v>
      </c>
      <c r="K97" s="143">
        <f>(K120+K145)*
INDEX(Input_ForRateCalc[[F-CurrentVDO_InputDate]:[F-NextVDO_Input]],
MATCH("Retail operating margin",Input_ForRateCalc[[Cost item]:[Cost item]],0),
MATCH($G$89,Inputs!$H$8:$Q$8,0))</f>
        <v>273.61835439284533</v>
      </c>
      <c r="L97" s="143">
        <f>(L120+L145)*
INDEX(Input_ForRateCalc[[F-CurrentVDO_InputDate]:[F-NextVDO_Input]],
MATCH("Retail operating margin",Input_ForRateCalc[[Cost item]:[Cost item]],0),
MATCH($G$89,Inputs!$H$8:$Q$8,0))</f>
        <v>269.10951880757932</v>
      </c>
      <c r="N97" s="143">
        <f t="shared" si="199"/>
        <v>272.86619872449455</v>
      </c>
      <c r="O97" s="143">
        <f>(O120+O145)*
INDEX(Input_ForRateCalc[[F-CurrentVDO_InputDate]:[F-NextVDO_Input]],
MATCH("Retail operating margin",Input_ForRateCalc[[Cost item]:[Cost item]],0),
MATCH($N$89,Inputs!$H$8:$Q$8,0))</f>
        <v>354.27644719128489</v>
      </c>
      <c r="P97" s="143">
        <f>(P120+P145)*
INDEX(Input_ForRateCalc[[F-CurrentVDO_InputDate]:[F-NextVDO_Input]],
MATCH("Retail operating margin",Input_ForRateCalc[[Cost item]:[Cost item]],0),
MATCH($N$89,Inputs!$H$8:$Q$8,0))</f>
        <v>240.16976147205625</v>
      </c>
      <c r="Q97" s="143">
        <f>(Q120+Q145)*
INDEX(Input_ForRateCalc[[F-CurrentVDO_InputDate]:[F-NextVDO_Input]],
MATCH("Retail operating margin",Input_ForRateCalc[[Cost item]:[Cost item]],0),
MATCH($N$89,Inputs!$H$8:$Q$8,0))</f>
        <v>271.17222128041425</v>
      </c>
      <c r="R97" s="143">
        <f>(R120+R145)*
INDEX(Input_ForRateCalc[[F-CurrentVDO_InputDate]:[F-NextVDO_Input]],
MATCH("Retail operating margin",Input_ForRateCalc[[Cost item]:[Cost item]],0),
MATCH($N$89,Inputs!$H$8:$Q$8,0))</f>
        <v>253.23357209708527</v>
      </c>
      <c r="S97" s="143">
        <f>(S120+S145)*
INDEX(Input_ForRateCalc[[F-CurrentVDO_InputDate]:[F-NextVDO_Input]],
MATCH("Retail operating margin",Input_ForRateCalc[[Cost item]:[Cost item]],0),
MATCH($N$89,Inputs!$H$8:$Q$8,0))</f>
        <v>245.47899158163207</v>
      </c>
      <c r="U97" s="143">
        <f>IFERROR(N97-G97,"-")</f>
        <v>-21.520098234076443</v>
      </c>
      <c r="V97" s="143">
        <f t="shared" si="200"/>
        <v>-19.568523066984085</v>
      </c>
      <c r="W97" s="143">
        <f t="shared" si="200"/>
        <v>-22.856191228181814</v>
      </c>
      <c r="X97" s="143">
        <f t="shared" si="200"/>
        <v>-21.160467353509091</v>
      </c>
      <c r="Y97" s="143">
        <f t="shared" si="200"/>
        <v>-20.384782295760061</v>
      </c>
      <c r="Z97" s="143">
        <f t="shared" si="200"/>
        <v>-23.630527225947247</v>
      </c>
      <c r="AB97" s="222">
        <f>IFERROR(U97/G$92,"-")</f>
        <v>-3.784751711937468E-3</v>
      </c>
      <c r="AC97" s="222">
        <f t="shared" si="201"/>
        <v>-2.7103217544299286E-3</v>
      </c>
      <c r="AD97" s="222">
        <f t="shared" si="201"/>
        <v>-4.4992502417680732E-3</v>
      </c>
      <c r="AE97" s="222">
        <f t="shared" si="201"/>
        <v>-3.7478688192541785E-3</v>
      </c>
      <c r="AF97" s="222">
        <f t="shared" si="201"/>
        <v>-3.8571016642876179E-3</v>
      </c>
      <c r="AG97" s="222">
        <f t="shared" si="201"/>
        <v>-4.5460806513942372E-3</v>
      </c>
      <c r="AI97" s="242"/>
      <c r="AP97" s="242"/>
      <c r="AQ97" s="261"/>
    </row>
    <row r="98" spans="3:45" outlineLevel="1" x14ac:dyDescent="0.25">
      <c r="AB98" s="124"/>
      <c r="AC98" s="124"/>
      <c r="AD98" s="124"/>
      <c r="AE98" s="124"/>
      <c r="AF98" s="124"/>
      <c r="AG98" s="124"/>
      <c r="AI98" s="242"/>
      <c r="AP98" s="242"/>
      <c r="AQ98" s="261"/>
    </row>
    <row r="99" spans="3:45" outlineLevel="1" x14ac:dyDescent="0.25">
      <c r="C99" t="s">
        <v>322</v>
      </c>
      <c r="D99" s="60" t="s">
        <v>130</v>
      </c>
      <c r="E99" s="60" t="s">
        <v>117</v>
      </c>
      <c r="G99" s="143">
        <f>AVERAGE(H99:L99)</f>
        <v>0</v>
      </c>
      <c r="H99" s="143" cm="1">
        <f t="array" ref="H99">IF(
INDEX(OP_RatesTU_SME_1[[Ausnet]:[United Energy]],
MATCH(1,(OP_RatesTU_SME_1[[Rate name]:[Rate name]]="Anytime")*(OP_RatesTU_SME_1[[Customer type]:[Customer type]]=$E$79),0),
MATCH(H$90,OP_RatesTU_SME_1[[#Headers],[Ausnet]:[United Energy]],0))="-",0,
INDEX(OP_RatesTU_SME_1[[Ausnet]:[United Energy]],
MATCH(1,(OP_RatesTU_SME_1[[Rate name]:[Rate name]]="Anytime")*(OP_RatesTU_SME_1[[Customer type]:[Customer type]]=$E$79),0),
MATCH(H$90,OP_RatesTU_SME_1[[#Headers],[Ausnet]:[United Energy]],0)))*IF($K$84="-",0,$K$84)</f>
        <v>0</v>
      </c>
      <c r="I99" s="143" cm="1">
        <f t="array" ref="I99">IF(
INDEX(OP_RatesTU_SME_1[[Ausnet]:[United Energy]],
MATCH(1,(OP_RatesTU_SME_1[[Rate name]:[Rate name]]="Anytime")*(OP_RatesTU_SME_1[[Customer type]:[Customer type]]=$E$79),0),
MATCH(I$90,OP_RatesTU_SME_1[[#Headers],[Ausnet]:[United Energy]],0))="-",0,
INDEX(OP_RatesTU_SME_1[[Ausnet]:[United Energy]],
MATCH(1,(OP_RatesTU_SME_1[[Rate name]:[Rate name]]="Anytime")*(OP_RatesTU_SME_1[[Customer type]:[Customer type]]=$E$79),0),
MATCH(I$90,OP_RatesTU_SME_1[[#Headers],[Ausnet]:[United Energy]],0)))*IF($K$84="-",0,$K$84)</f>
        <v>0</v>
      </c>
      <c r="J99" s="143" cm="1">
        <f t="array" ref="J99">IF(
INDEX(OP_RatesTU_SME_1[[Ausnet]:[United Energy]],
MATCH(1,(OP_RatesTU_SME_1[[Rate name]:[Rate name]]="Anytime")*(OP_RatesTU_SME_1[[Customer type]:[Customer type]]=$E$79),0),
MATCH(J$90,OP_RatesTU_SME_1[[#Headers],[Ausnet]:[United Energy]],0))="-",0,
INDEX(OP_RatesTU_SME_1[[Ausnet]:[United Energy]],
MATCH(1,(OP_RatesTU_SME_1[[Rate name]:[Rate name]]="Anytime")*(OP_RatesTU_SME_1[[Customer type]:[Customer type]]=$E$79),0),
MATCH(J$90,OP_RatesTU_SME_1[[#Headers],[Ausnet]:[United Energy]],0)))*IF($K$84="-",0,$K$84)</f>
        <v>0</v>
      </c>
      <c r="K99" s="143" cm="1">
        <f t="array" ref="K99">IF(
INDEX(OP_RatesTU_SME_1[[Ausnet]:[United Energy]],
MATCH(1,(OP_RatesTU_SME_1[[Rate name]:[Rate name]]="Anytime")*(OP_RatesTU_SME_1[[Customer type]:[Customer type]]=$E$79),0),
MATCH(K$90,OP_RatesTU_SME_1[[#Headers],[Ausnet]:[United Energy]],0))="-",0,
INDEX(OP_RatesTU_SME_1[[Ausnet]:[United Energy]],
MATCH(1,(OP_RatesTU_SME_1[[Rate name]:[Rate name]]="Anytime")*(OP_RatesTU_SME_1[[Customer type]:[Customer type]]=$E$79),0),
MATCH(K$90,OP_RatesTU_SME_1[[#Headers],[Ausnet]:[United Energy]],0)))*IF($K$84="-",0,$K$84)</f>
        <v>0</v>
      </c>
      <c r="L99" s="143" cm="1">
        <f t="array" ref="L99">IF(
INDEX(OP_RatesTU_SME_1[[Ausnet]:[United Energy]],
MATCH(1,(OP_RatesTU_SME_1[[Rate name]:[Rate name]]="Anytime")*(OP_RatesTU_SME_1[[Customer type]:[Customer type]]=$E$79),0),
MATCH(L$90,OP_RatesTU_SME_1[[#Headers],[Ausnet]:[United Energy]],0))="-",0,
INDEX(OP_RatesTU_SME_1[[Ausnet]:[United Energy]],
MATCH(1,(OP_RatesTU_SME_1[[Rate name]:[Rate name]]="Anytime")*(OP_RatesTU_SME_1[[Customer type]:[Customer type]]=$E$79),0),
MATCH(L$90,OP_RatesTU_SME_1[[#Headers],[Ausnet]:[United Energy]],0)))*IF($K$84="-",0,$K$84)</f>
        <v>0</v>
      </c>
      <c r="N99" s="143">
        <f>AVERAGE(O99:S99)</f>
        <v>14.492942008274076</v>
      </c>
      <c r="O99" s="143" cm="1">
        <f t="array" ref="O99">IF(
INDEX(OP_RatesTU_SME_2[[Ausnet]:[United Energy]],
MATCH(1,(OP_RatesTU_SME_2[[Rate name]:[Rate name]]="Anytime")*(OP_RatesTU_SME_2[[Customer type]:[Customer type]]=$E$79),0),
MATCH(O$90,OP_RatesTU_SME_2[[#Headers],[Ausnet]:[United Energy]],0))="-",0,
INDEX(OP_RatesTU_SME_2[[Ausnet]:[United Energy]],
MATCH(1,(OP_RatesTU_SME_2[[Rate name]:[Rate name]]="Anytime")*(OP_RatesTU_SME_2[[Customer type]:[Customer type]]=$E$79),0),
MATCH(O$90,OP_RatesTU_SME_2[[#Headers],[Ausnet]:[United Energy]],0)))*IF($R$84="-",0,$R$84)</f>
        <v>25.621321611765929</v>
      </c>
      <c r="P99" s="143" cm="1">
        <f t="array" ref="P99">IF(
INDEX(OP_RatesTU_SME_2[[Ausnet]:[United Energy]],
MATCH(1,(OP_RatesTU_SME_2[[Rate name]:[Rate name]]="Anytime")*(OP_RatesTU_SME_2[[Customer type]:[Customer type]]=$E$79),0),
MATCH(P$90,OP_RatesTU_SME_2[[#Headers],[Ausnet]:[United Energy]],0))="-",0,
INDEX(OP_RatesTU_SME_2[[Ausnet]:[United Energy]],
MATCH(1,(OP_RatesTU_SME_2[[Rate name]:[Rate name]]="Anytime")*(OP_RatesTU_SME_2[[Customer type]:[Customer type]]=$E$79),0),
MATCH(P$90,OP_RatesTU_SME_2[[#Headers],[Ausnet]:[United Energy]],0)))*IF($R$84="-",0,$R$84)</f>
        <v>9.2305963444484362</v>
      </c>
      <c r="Q99" s="143" cm="1">
        <f t="array" ref="Q99">IF(
INDEX(OP_RatesTU_SME_2[[Ausnet]:[United Energy]],
MATCH(1,(OP_RatesTU_SME_2[[Rate name]:[Rate name]]="Anytime")*(OP_RatesTU_SME_2[[Customer type]:[Customer type]]=$E$79),0),
MATCH(Q$90,OP_RatesTU_SME_2[[#Headers],[Ausnet]:[United Energy]],0))="-",0,
INDEX(OP_RatesTU_SME_2[[Ausnet]:[United Energy]],
MATCH(1,(OP_RatesTU_SME_2[[Rate name]:[Rate name]]="Anytime")*(OP_RatesTU_SME_2[[Customer type]:[Customer type]]=$E$79),0),
MATCH(Q$90,OP_RatesTU_SME_2[[#Headers],[Ausnet]:[United Energy]],0)))*IF($R$84="-",0,$R$84)</f>
        <v>26.520328950645411</v>
      </c>
      <c r="R99" s="143" cm="1">
        <f t="array" ref="R99">IF(
INDEX(OP_RatesTU_SME_2[[Ausnet]:[United Energy]],
MATCH(1,(OP_RatesTU_SME_2[[Rate name]:[Rate name]]="Anytime")*(OP_RatesTU_SME_2[[Customer type]:[Customer type]]=$E$79),0),
MATCH(R$90,OP_RatesTU_SME_2[[#Headers],[Ausnet]:[United Energy]],0))="-",0,
INDEX(OP_RatesTU_SME_2[[Ausnet]:[United Energy]],
MATCH(1,(OP_RatesTU_SME_2[[Rate name]:[Rate name]]="Anytime")*(OP_RatesTU_SME_2[[Customer type]:[Customer type]]=$E$79),0),
MATCH(R$90,OP_RatesTU_SME_2[[#Headers],[Ausnet]:[United Energy]],0)))*IF($R$84="-",0,$R$84)</f>
        <v>11.825496125052261</v>
      </c>
      <c r="S99" s="143" cm="1">
        <f t="array" ref="S99">IF(
INDEX(OP_RatesTU_SME_2[[Ausnet]:[United Energy]],
MATCH(1,(OP_RatesTU_SME_2[[Rate name]:[Rate name]]="Anytime")*(OP_RatesTU_SME_2[[Customer type]:[Customer type]]=$E$79),0),
MATCH(S$90,OP_RatesTU_SME_2[[#Headers],[Ausnet]:[United Energy]],0))="-",0,
INDEX(OP_RatesTU_SME_2[[Ausnet]:[United Energy]],
MATCH(1,(OP_RatesTU_SME_2[[Rate name]:[Rate name]]="Anytime")*(OP_RatesTU_SME_2[[Customer type]:[Customer type]]=$E$79),0),
MATCH(S$90,OP_RatesTU_SME_2[[#Headers],[Ausnet]:[United Energy]],0)))*IF($R$84="-",0,$R$84)</f>
        <v>-0.7330329905416626</v>
      </c>
      <c r="U99" s="143">
        <f>IFERROR(N99-G99,"-")</f>
        <v>14.492942008274076</v>
      </c>
      <c r="V99" s="143">
        <f t="shared" ref="V99:Z99" si="202">IFERROR(O99-H99,"-")</f>
        <v>25.621321611765929</v>
      </c>
      <c r="W99" s="143">
        <f t="shared" si="202"/>
        <v>9.2305963444484362</v>
      </c>
      <c r="X99" s="143">
        <f t="shared" si="202"/>
        <v>26.520328950645411</v>
      </c>
      <c r="Y99" s="143">
        <f t="shared" si="202"/>
        <v>11.825496125052261</v>
      </c>
      <c r="Z99" s="143">
        <f t="shared" si="202"/>
        <v>-0.7330329905416626</v>
      </c>
      <c r="AB99" s="222">
        <f>IFERROR(U99/G$92,"-")</f>
        <v>2.5488818164393378E-3</v>
      </c>
      <c r="AC99" s="222">
        <f t="shared" ref="AC99:AG99" si="203">IFERROR(V99/H$92,"-")</f>
        <v>3.5486595030146716E-3</v>
      </c>
      <c r="AD99" s="222">
        <f t="shared" si="203"/>
        <v>1.8170465244977236E-3</v>
      </c>
      <c r="AE99" s="222">
        <f t="shared" si="203"/>
        <v>4.6971889746095308E-3</v>
      </c>
      <c r="AF99" s="222">
        <f t="shared" si="203"/>
        <v>2.2375583964148083E-3</v>
      </c>
      <c r="AG99" s="222">
        <f t="shared" si="203"/>
        <v>-1.4102212207419443E-4</v>
      </c>
      <c r="AI99" s="242"/>
      <c r="AP99" s="242"/>
      <c r="AQ99" s="261"/>
      <c r="AS99" s="242"/>
    </row>
    <row r="100" spans="3:45" outlineLevel="1" x14ac:dyDescent="0.25">
      <c r="AB100" s="124"/>
      <c r="AC100" s="124"/>
      <c r="AD100" s="124"/>
      <c r="AE100" s="124"/>
      <c r="AF100" s="124"/>
      <c r="AG100" s="124"/>
      <c r="AI100" s="242"/>
      <c r="AP100" s="242"/>
      <c r="AQ100" s="261"/>
    </row>
    <row r="101" spans="3:45" outlineLevel="1" x14ac:dyDescent="0.25">
      <c r="C101" t="s">
        <v>322</v>
      </c>
      <c r="D101" s="60" t="s">
        <v>621</v>
      </c>
      <c r="E101" s="60" t="s">
        <v>139</v>
      </c>
      <c r="G101" s="143">
        <f>AVERAGE((H102+H103),I104,J104,K104,L104)</f>
        <v>0</v>
      </c>
      <c r="N101" s="143">
        <f>AVERAGE((O102+O103),P104,Q104,R104,S104)</f>
        <v>65.399354711290428</v>
      </c>
      <c r="U101" s="143">
        <f>IFERROR(N101-G101,"-")</f>
        <v>65.399354711290428</v>
      </c>
      <c r="V101" s="143">
        <f t="shared" ref="V101:Z104" si="204">IFERROR(O101-H101,"-")</f>
        <v>0</v>
      </c>
      <c r="W101" s="143">
        <f t="shared" si="204"/>
        <v>0</v>
      </c>
      <c r="X101" s="143">
        <f t="shared" si="204"/>
        <v>0</v>
      </c>
      <c r="Y101" s="143">
        <f t="shared" si="204"/>
        <v>0</v>
      </c>
      <c r="Z101" s="143">
        <f t="shared" si="204"/>
        <v>0</v>
      </c>
      <c r="AB101" s="222">
        <f>IFERROR(U101/G$92,"-")</f>
        <v>1.1501821088865711E-2</v>
      </c>
      <c r="AC101" s="222">
        <f t="shared" ref="AC101:AG104" si="205">IFERROR(V101/H$92,"-")</f>
        <v>0</v>
      </c>
      <c r="AD101" s="222">
        <f t="shared" si="205"/>
        <v>0</v>
      </c>
      <c r="AE101" s="222">
        <f t="shared" si="205"/>
        <v>0</v>
      </c>
      <c r="AF101" s="222">
        <f t="shared" si="205"/>
        <v>0</v>
      </c>
      <c r="AG101" s="222">
        <f t="shared" si="205"/>
        <v>0</v>
      </c>
      <c r="AI101" s="242"/>
      <c r="AP101" s="242"/>
      <c r="AQ101" s="261"/>
    </row>
    <row r="102" spans="3:45" outlineLevel="1" x14ac:dyDescent="0.25">
      <c r="D102" s="60" t="s">
        <v>230</v>
      </c>
      <c r="E102" s="60" t="s">
        <v>139</v>
      </c>
      <c r="G102" s="143">
        <f t="shared" ref="G102:G104" si="206">AVERAGE(H102:L102)</f>
        <v>0</v>
      </c>
      <c r="H102" s="143" cm="1">
        <f t="array" ref="H102">IF(LEFT($G$89,8)="VDO 2021",0,
IFERROR(
INDEX(OP_RatesTU_RES_2[[Ausnet]:[United Energy]],
MATCH(1,(OP_RatesTU_RES_2[[Cost element]:[Cost element]]="Environmental")*(OP_RatesTU_RES_2[[Rate name]:[Rate name]]=$D102),0),
MATCH(H$90,OP_RatesTU_RES_2[[#Headers],[Ausnet]:[United Energy]],0))*
(INDEX($G$81:$G$85,MATCH(IF($D102="Single rate","Annual",$D102),$F$81:$F$85,0),1)/$L$88),"-"))</f>
        <v>0</v>
      </c>
      <c r="I102" s="143" cm="1">
        <f t="array" ref="I102">IF(LEFT($G$89,8)="VDO 2021",0,
IFERROR(
INDEX(OP_RatesTU_RES_2[[Ausnet]:[United Energy]],
MATCH(1,(OP_RatesTU_RES_2[[Cost element]:[Cost element]]="Environmental")*(OP_RatesTU_RES_2[[Rate name]:[Rate name]]=$D102),0),
MATCH(I$90,OP_RatesTU_RES_2[[#Headers],[Ausnet]:[United Energy]],0))*
(INDEX($G$81:$G$85,MATCH(IF($D102="Single rate","Annual",$D102),$F$81:$F$85,0),1)/$L$88),"-"))</f>
        <v>0</v>
      </c>
      <c r="J102" s="143" cm="1">
        <f t="array" ref="J102">IF(LEFT($G$89,8)="VDO 2021",0,
IFERROR(
INDEX(OP_RatesTU_RES_2[[Ausnet]:[United Energy]],
MATCH(1,(OP_RatesTU_RES_2[[Cost element]:[Cost element]]="Environmental")*(OP_RatesTU_RES_2[[Rate name]:[Rate name]]=$D102),0),
MATCH(J$90,OP_RatesTU_RES_2[[#Headers],[Ausnet]:[United Energy]],0))*
(INDEX($G$81:$G$85,MATCH(IF($D102="Single rate","Annual",$D102),$F$81:$F$85,0),1)/$L$88),"-"))</f>
        <v>0</v>
      </c>
      <c r="K102" s="143" cm="1">
        <f t="array" ref="K102">IF(LEFT($G$89,8)="VDO 2021",0,
IFERROR(
INDEX(OP_RatesTU_RES_2[[Ausnet]:[United Energy]],
MATCH(1,(OP_RatesTU_RES_2[[Cost element]:[Cost element]]="Environmental")*(OP_RatesTU_RES_2[[Rate name]:[Rate name]]=$D102),0),
MATCH(K$90,OP_RatesTU_RES_2[[#Headers],[Ausnet]:[United Energy]],0))*
(INDEX($G$81:$G$85,MATCH(IF($D102="Single rate","Annual",$D102),$F$81:$F$85,0),1)/$L$88),"-"))</f>
        <v>0</v>
      </c>
      <c r="L102" s="143" cm="1">
        <f t="array" ref="L102">IF(LEFT($G$89,8)="VDO 2021",0,
IFERROR(
INDEX(OP_RatesTU_RES_2[[Ausnet]:[United Energy]],
MATCH(1,(OP_RatesTU_RES_2[[Cost element]:[Cost element]]="Environmental")*(OP_RatesTU_RES_2[[Rate name]:[Rate name]]=$D102),0),
MATCH(L$90,OP_RatesTU_RES_2[[#Headers],[Ausnet]:[United Energy]],0))*
(INDEX($G$81:$G$85,MATCH(IF($D102="Single rate","Annual",$D102),$F$81:$F$85,0),1)/$L$88),"-"))</f>
        <v>0</v>
      </c>
      <c r="N102" s="143">
        <f t="shared" ref="N102:N104" si="207">AVERAGE(O102:S102)</f>
        <v>2.6978350048822377</v>
      </c>
      <c r="O102" s="143" cm="1">
        <f t="array" ref="O102">IFERROR(
INDEX(OP_RatesTU_RES_2[[Ausnet]:[United Energy]],
MATCH(1,(OP_RatesTU_RES_2[[Cost element]:[Cost element]]="Environmental")*(OP_RatesTU_RES_2[[Rate name]:[Rate name]]=$D102),0),
MATCH(O$90,OP_RatesTU_RES_2[[#Headers],[Ausnet]:[United Energy]],0))*
(INDEX($N$81:$N$85,MATCH(IF($D102="Single rate","Annual",$D102),$F$81:$F$85,0),1)/$S$88),"-")</f>
        <v>13.489175024411189</v>
      </c>
      <c r="P102" s="143" cm="1">
        <f t="array" ref="P102">IFERROR(
INDEX(OP_RatesTU_RES_2[[Ausnet]:[United Energy]],
MATCH(1,(OP_RatesTU_RES_2[[Cost element]:[Cost element]]="Environmental")*(OP_RatesTU_RES_2[[Rate name]:[Rate name]]=$D102),0),
MATCH(P$90,OP_RatesTU_RES_2[[#Headers],[Ausnet]:[United Energy]],0))*
(INDEX($N$81:$N$85,MATCH(IF($D102="Single rate","Annual",$D102),$F$81:$F$85,0),1)/$S$88),"-")</f>
        <v>0</v>
      </c>
      <c r="Q102" s="143" cm="1">
        <f t="array" ref="Q102">IFERROR(
INDEX(OP_RatesTU_RES_2[[Ausnet]:[United Energy]],
MATCH(1,(OP_RatesTU_RES_2[[Cost element]:[Cost element]]="Environmental")*(OP_RatesTU_RES_2[[Rate name]:[Rate name]]=$D102),0),
MATCH(Q$90,OP_RatesTU_RES_2[[#Headers],[Ausnet]:[United Energy]],0))*
(INDEX($N$81:$N$85,MATCH(IF($D102="Single rate","Annual",$D102),$F$81:$F$85,0),1)/$S$88),"-")</f>
        <v>0</v>
      </c>
      <c r="R102" s="143" cm="1">
        <f t="array" ref="R102">IFERROR(
INDEX(OP_RatesTU_RES_2[[Ausnet]:[United Energy]],
MATCH(1,(OP_RatesTU_RES_2[[Cost element]:[Cost element]]="Environmental")*(OP_RatesTU_RES_2[[Rate name]:[Rate name]]=$D102),0),
MATCH(R$90,OP_RatesTU_RES_2[[#Headers],[Ausnet]:[United Energy]],0))*
(INDEX($N$81:$N$85,MATCH(IF($D102="Single rate","Annual",$D102),$F$81:$F$85,0),1)/$S$88),"-")</f>
        <v>0</v>
      </c>
      <c r="S102" s="143" cm="1">
        <f t="array" ref="S102">IFERROR(
INDEX(OP_RatesTU_RES_2[[Ausnet]:[United Energy]],
MATCH(1,(OP_RatesTU_RES_2[[Cost element]:[Cost element]]="Environmental")*(OP_RatesTU_RES_2[[Rate name]:[Rate name]]=$D102),0),
MATCH(S$90,OP_RatesTU_RES_2[[#Headers],[Ausnet]:[United Energy]],0))*
(INDEX($N$81:$N$85,MATCH(IF($D102="Single rate","Annual",$D102),$F$81:$F$85,0),1)/$S$88),"-")</f>
        <v>0</v>
      </c>
      <c r="U102" s="143">
        <f t="shared" ref="U102:U104" si="208">IFERROR(N102-G102,"-")</f>
        <v>2.6978350048822377</v>
      </c>
      <c r="V102" s="143">
        <f t="shared" si="204"/>
        <v>13.489175024411189</v>
      </c>
      <c r="W102" s="143">
        <f t="shared" si="204"/>
        <v>0</v>
      </c>
      <c r="X102" s="143">
        <f t="shared" si="204"/>
        <v>0</v>
      </c>
      <c r="Y102" s="143">
        <f t="shared" si="204"/>
        <v>0</v>
      </c>
      <c r="Z102" s="143">
        <f t="shared" si="204"/>
        <v>0</v>
      </c>
      <c r="AB102" s="222">
        <f>IFERROR(U102/G$92,"-")</f>
        <v>4.744697511224477E-4</v>
      </c>
      <c r="AC102" s="222">
        <f t="shared" si="205"/>
        <v>1.8683067900846521E-3</v>
      </c>
      <c r="AD102" s="222">
        <f t="shared" si="205"/>
        <v>0</v>
      </c>
      <c r="AE102" s="222">
        <f t="shared" si="205"/>
        <v>0</v>
      </c>
      <c r="AF102" s="222">
        <f t="shared" si="205"/>
        <v>0</v>
      </c>
      <c r="AG102" s="222">
        <f t="shared" si="205"/>
        <v>0</v>
      </c>
      <c r="AI102" s="242"/>
      <c r="AP102" s="242"/>
      <c r="AQ102" s="242"/>
    </row>
    <row r="103" spans="3:45" outlineLevel="1" x14ac:dyDescent="0.25">
      <c r="D103" s="60" t="s">
        <v>237</v>
      </c>
      <c r="E103" s="60" t="s">
        <v>139</v>
      </c>
      <c r="G103" s="143">
        <f t="shared" si="206"/>
        <v>0</v>
      </c>
      <c r="H103" s="143" cm="1">
        <f t="array" ref="H103">IF(LEFT($G$89,8)="VDO 2021",0,
IFERROR(
INDEX(OP_RatesTU_RES_2[[Ausnet]:[United Energy]],
MATCH(1,(OP_RatesTU_RES_2[[Cost element]:[Cost element]]="Environmental")*(OP_RatesTU_RES_2[[Rate name]:[Rate name]]=$D103),0),
MATCH(H$90,OP_RatesTU_RES_2[[#Headers],[Ausnet]:[United Energy]],0))*
(INDEX($G$81:$G$85,MATCH(IF($D103="Single rate","Annual",$D103),$F$81:$F$85,0),1)/$L$88),"-"))</f>
        <v>0</v>
      </c>
      <c r="I103" s="143" cm="1">
        <f t="array" ref="I103">IF(LEFT($G$89,8)="VDO 2021",0,
IFERROR(
INDEX(OP_RatesTU_RES_2[[Ausnet]:[United Energy]],
MATCH(1,(OP_RatesTU_RES_2[[Cost element]:[Cost element]]="Environmental")*(OP_RatesTU_RES_2[[Rate name]:[Rate name]]=$D103),0),
MATCH(I$90,OP_RatesTU_RES_2[[#Headers],[Ausnet]:[United Energy]],0))*
(INDEX($G$81:$G$85,MATCH(IF($D103="Single rate","Annual",$D103),$F$81:$F$85,0),1)/$L$88),"-"))</f>
        <v>0</v>
      </c>
      <c r="J103" s="143" cm="1">
        <f t="array" ref="J103">IF(LEFT($G$89,8)="VDO 2021",0,
IFERROR(
INDEX(OP_RatesTU_RES_2[[Ausnet]:[United Energy]],
MATCH(1,(OP_RatesTU_RES_2[[Cost element]:[Cost element]]="Environmental")*(OP_RatesTU_RES_2[[Rate name]:[Rate name]]=$D103),0),
MATCH(J$90,OP_RatesTU_RES_2[[#Headers],[Ausnet]:[United Energy]],0))*
(INDEX($G$81:$G$85,MATCH(IF($D103="Single rate","Annual",$D103),$F$81:$F$85,0),1)/$L$88),"-"))</f>
        <v>0</v>
      </c>
      <c r="K103" s="143" cm="1">
        <f t="array" ref="K103">IF(LEFT($G$89,8)="VDO 2021",0,
IFERROR(
INDEX(OP_RatesTU_RES_2[[Ausnet]:[United Energy]],
MATCH(1,(OP_RatesTU_RES_2[[Cost element]:[Cost element]]="Environmental")*(OP_RatesTU_RES_2[[Rate name]:[Rate name]]=$D103),0),
MATCH(K$90,OP_RatesTU_RES_2[[#Headers],[Ausnet]:[United Energy]],0))*
(INDEX($G$81:$G$85,MATCH(IF($D103="Single rate","Annual",$D103),$F$81:$F$85,0),1)/$L$88),"-"))</f>
        <v>0</v>
      </c>
      <c r="L103" s="143" cm="1">
        <f t="array" ref="L103">IF(LEFT($G$89,8)="VDO 2021",0,
IFERROR(
INDEX(OP_RatesTU_RES_2[[Ausnet]:[United Energy]],
MATCH(1,(OP_RatesTU_RES_2[[Cost element]:[Cost element]]="Environmental")*(OP_RatesTU_RES_2[[Rate name]:[Rate name]]=$D103),0),
MATCH(L$90,OP_RatesTU_RES_2[[#Headers],[Ausnet]:[United Energy]],0))*
(INDEX($G$81:$G$85,MATCH(IF($D103="Single rate","Annual",$D103),$F$81:$F$85,0),1)/$L$88),"-"))</f>
        <v>0</v>
      </c>
      <c r="N103" s="143">
        <f t="shared" si="207"/>
        <v>10.526846391599319</v>
      </c>
      <c r="O103" s="143" cm="1">
        <f t="array" ref="O103">IFERROR(
INDEX(OP_RatesTU_RES_2[[Ausnet]:[United Energy]],
MATCH(1,(OP_RatesTU_RES_2[[Cost element]:[Cost element]]="Environmental")*(OP_RatesTU_RES_2[[Rate name]:[Rate name]]=$D103),0),
MATCH(O$90,OP_RatesTU_RES_2[[#Headers],[Ausnet]:[United Energy]],0))*
(INDEX($N$81:$N$85,MATCH(IF($D103="Single rate","Annual",$D103),$F$81:$F$85,0),1)/$S$88),"-")</f>
        <v>52.634231957996597</v>
      </c>
      <c r="P103" s="143" cm="1">
        <f t="array" ref="P103">IFERROR(
INDEX(OP_RatesTU_RES_2[[Ausnet]:[United Energy]],
MATCH(1,(OP_RatesTU_RES_2[[Cost element]:[Cost element]]="Environmental")*(OP_RatesTU_RES_2[[Rate name]:[Rate name]]=$D103),0),
MATCH(P$90,OP_RatesTU_RES_2[[#Headers],[Ausnet]:[United Energy]],0))*
(INDEX($N$81:$N$85,MATCH(IF($D103="Single rate","Annual",$D103),$F$81:$F$85,0),1)/$S$88),"-")</f>
        <v>0</v>
      </c>
      <c r="Q103" s="143" cm="1">
        <f t="array" ref="Q103">IFERROR(
INDEX(OP_RatesTU_RES_2[[Ausnet]:[United Energy]],
MATCH(1,(OP_RatesTU_RES_2[[Cost element]:[Cost element]]="Environmental")*(OP_RatesTU_RES_2[[Rate name]:[Rate name]]=$D103),0),
MATCH(Q$90,OP_RatesTU_RES_2[[#Headers],[Ausnet]:[United Energy]],0))*
(INDEX($N$81:$N$85,MATCH(IF($D103="Single rate","Annual",$D103),$F$81:$F$85,0),1)/$S$88),"-")</f>
        <v>0</v>
      </c>
      <c r="R103" s="143" cm="1">
        <f t="array" ref="R103">IFERROR(
INDEX(OP_RatesTU_RES_2[[Ausnet]:[United Energy]],
MATCH(1,(OP_RatesTU_RES_2[[Cost element]:[Cost element]]="Environmental")*(OP_RatesTU_RES_2[[Rate name]:[Rate name]]=$D103),0),
MATCH(R$90,OP_RatesTU_RES_2[[#Headers],[Ausnet]:[United Energy]],0))*
(INDEX($N$81:$N$85,MATCH(IF($D103="Single rate","Annual",$D103),$F$81:$F$85,0),1)/$S$88),"-")</f>
        <v>0</v>
      </c>
      <c r="S103" s="143" cm="1">
        <f t="array" ref="S103">IFERROR(
INDEX(OP_RatesTU_RES_2[[Ausnet]:[United Energy]],
MATCH(1,(OP_RatesTU_RES_2[[Cost element]:[Cost element]]="Environmental")*(OP_RatesTU_RES_2[[Rate name]:[Rate name]]=$D103),0),
MATCH(S$90,OP_RatesTU_RES_2[[#Headers],[Ausnet]:[United Energy]],0))*
(INDEX($N$81:$N$85,MATCH(IF($D103="Single rate","Annual",$D103),$F$81:$F$85,0),1)/$S$88),"-")</f>
        <v>0</v>
      </c>
      <c r="U103" s="143">
        <f t="shared" si="208"/>
        <v>10.526846391599319</v>
      </c>
      <c r="V103" s="143">
        <f t="shared" si="204"/>
        <v>52.634231957996597</v>
      </c>
      <c r="W103" s="143">
        <f t="shared" si="204"/>
        <v>0</v>
      </c>
      <c r="X103" s="143">
        <f t="shared" si="204"/>
        <v>0</v>
      </c>
      <c r="Y103" s="143">
        <f t="shared" si="204"/>
        <v>0</v>
      </c>
      <c r="Z103" s="143">
        <f t="shared" si="204"/>
        <v>0</v>
      </c>
      <c r="AB103" s="222">
        <f>IFERROR(U103/G$92,"-")</f>
        <v>1.8513623622228841E-3</v>
      </c>
      <c r="AC103" s="222">
        <f t="shared" si="205"/>
        <v>7.2900598279773679E-3</v>
      </c>
      <c r="AD103" s="222">
        <f t="shared" si="205"/>
        <v>0</v>
      </c>
      <c r="AE103" s="222">
        <f t="shared" si="205"/>
        <v>0</v>
      </c>
      <c r="AF103" s="222">
        <f t="shared" si="205"/>
        <v>0</v>
      </c>
      <c r="AG103" s="222">
        <f t="shared" si="205"/>
        <v>0</v>
      </c>
      <c r="AI103" s="242"/>
      <c r="AP103" s="242"/>
      <c r="AQ103" s="242"/>
    </row>
    <row r="104" spans="3:45" outlineLevel="1" x14ac:dyDescent="0.25">
      <c r="D104" s="60" t="s">
        <v>508</v>
      </c>
      <c r="E104" s="60" t="s">
        <v>139</v>
      </c>
      <c r="G104" s="143">
        <f t="shared" si="206"/>
        <v>0</v>
      </c>
      <c r="H104" s="143" cm="1">
        <f t="array" ref="H104">IF(LEFT($G$89,8)="VDO 2021",0,
IFERROR(
INDEX(OP_RatesTU_RES_2[[Ausnet]:[United Energy]],
MATCH(1,(OP_RatesTU_RES_2[[Cost element]:[Cost element]]="Environmental")*(OP_RatesTU_RES_2[[Rate name]:[Rate name]]=$D104),0),
MATCH(H$90,OP_RatesTU_RES_2[[#Headers],[Ausnet]:[United Energy]],0))*
(INDEX($G$81:$G$85,MATCH(IF($D104="Single rate","Annual",$D104),$F$81:$F$85,0),1)/$L$88),"-"))</f>
        <v>0</v>
      </c>
      <c r="I104" s="143" cm="1">
        <f t="array" ref="I104">IF(LEFT($G$89,8)="VDO 2021",0,
IFERROR(
INDEX(OP_RatesTU_RES_2[[Ausnet]:[United Energy]],
MATCH(1,(OP_RatesTU_RES_2[[Cost element]:[Cost element]]="Environmental")*(OP_RatesTU_RES_2[[Rate name]:[Rate name]]=$D104),0),
MATCH(I$90,OP_RatesTU_RES_2[[#Headers],[Ausnet]:[United Energy]],0))*
(INDEX($G$81:$G$85,MATCH(IF($D104="Single rate","Annual",$D104),$F$81:$F$85,0),1)/$L$88),"-"))</f>
        <v>0</v>
      </c>
      <c r="J104" s="143" cm="1">
        <f t="array" ref="J104">IF(LEFT($G$89,8)="VDO 2021",0,
IFERROR(
INDEX(OP_RatesTU_RES_2[[Ausnet]:[United Energy]],
MATCH(1,(OP_RatesTU_RES_2[[Cost element]:[Cost element]]="Environmental")*(OP_RatesTU_RES_2[[Rate name]:[Rate name]]=$D104),0),
MATCH(J$90,OP_RatesTU_RES_2[[#Headers],[Ausnet]:[United Energy]],0))*
(INDEX($G$81:$G$85,MATCH(IF($D104="Single rate","Annual",$D104),$F$81:$F$85,0),1)/$L$88),"-"))</f>
        <v>0</v>
      </c>
      <c r="K104" s="143" cm="1">
        <f t="array" ref="K104">IF(LEFT($G$89,8)="VDO 2021",0,
IFERROR(
INDEX(OP_RatesTU_RES_2[[Ausnet]:[United Energy]],
MATCH(1,(OP_RatesTU_RES_2[[Cost element]:[Cost element]]="Environmental")*(OP_RatesTU_RES_2[[Rate name]:[Rate name]]=$D104),0),
MATCH(K$90,OP_RatesTU_RES_2[[#Headers],[Ausnet]:[United Energy]],0))*
(INDEX($G$81:$G$85,MATCH(IF($D104="Single rate","Annual",$D104),$F$81:$F$85,0),1)/$L$88),"-"))</f>
        <v>0</v>
      </c>
      <c r="L104" s="143" cm="1">
        <f t="array" ref="L104">IF(LEFT($G$89,8)="VDO 2021",0,
IFERROR(
INDEX(OP_RatesTU_RES_2[[Ausnet]:[United Energy]],
MATCH(1,(OP_RatesTU_RES_2[[Cost element]:[Cost element]]="Environmental")*(OP_RatesTU_RES_2[[Rate name]:[Rate name]]=$D104),0),
MATCH(L$90,OP_RatesTU_RES_2[[#Headers],[Ausnet]:[United Energy]],0))*
(INDEX($G$81:$G$85,MATCH(IF($D104="Single rate","Annual",$D104),$F$81:$F$85,0),1)/$L$88),"-"))</f>
        <v>0</v>
      </c>
      <c r="N104" s="143">
        <f t="shared" si="207"/>
        <v>52.174673314808864</v>
      </c>
      <c r="O104" s="143" cm="1">
        <f t="array" ref="O104">IFERROR(
INDEX(OP_RatesTU_RES_2[[Ausnet]:[United Energy]],
MATCH(1,(OP_RatesTU_RES_2[[Cost element]:[Cost element]]="Environmental")*(OP_RatesTU_RES_2[[Rate name]:[Rate name]]=$D104),0),
MATCH(O$90,OP_RatesTU_RES_2[[#Headers],[Ausnet]:[United Energy]],0))*
(INDEX($N$81:$N$85,MATCH(IF($D104="Single rate","Annual",$D104),$F$81:$F$85,0),1)/$S$88),"-")</f>
        <v>0</v>
      </c>
      <c r="P104" s="143" cm="1">
        <f t="array" ref="P104">IFERROR(
INDEX(OP_RatesTU_RES_2[[Ausnet]:[United Energy]],
MATCH(1,(OP_RatesTU_RES_2[[Cost element]:[Cost element]]="Environmental")*(OP_RatesTU_RES_2[[Rate name]:[Rate name]]=$D104),0),
MATCH(P$90,OP_RatesTU_RES_2[[#Headers],[Ausnet]:[United Energy]],0))*
(INDEX($N$81:$N$85,MATCH(IF($D104="Single rate","Annual",$D104),$F$81:$F$85,0),1)/$S$88),"-")</f>
        <v>64.980470812261331</v>
      </c>
      <c r="Q104" s="143" cm="1">
        <f t="array" ref="Q104">IFERROR(
INDEX(OP_RatesTU_RES_2[[Ausnet]:[United Energy]],
MATCH(1,(OP_RatesTU_RES_2[[Cost element]:[Cost element]]="Environmental")*(OP_RatesTU_RES_2[[Rate name]:[Rate name]]=$D104),0),
MATCH(Q$90,OP_RatesTU_RES_2[[#Headers],[Ausnet]:[United Energy]],0))*
(INDEX($N$81:$N$85,MATCH(IF($D104="Single rate","Annual",$D104),$F$81:$F$85,0),1)/$S$88),"-")</f>
        <v>64.301666231105273</v>
      </c>
      <c r="R104" s="143" cm="1">
        <f t="array" ref="R104">IFERROR(
INDEX(OP_RatesTU_RES_2[[Ausnet]:[United Energy]],
MATCH(1,(OP_RatesTU_RES_2[[Cost element]:[Cost element]]="Environmental")*(OP_RatesTU_RES_2[[Rate name]:[Rate name]]=$D104),0),
MATCH(R$90,OP_RatesTU_RES_2[[#Headers],[Ausnet]:[United Energy]],0))*
(INDEX($N$81:$N$85,MATCH(IF($D104="Single rate","Annual",$D104),$F$81:$F$85,0),1)/$S$88),"-")</f>
        <v>66.373737068173043</v>
      </c>
      <c r="S104" s="143" cm="1">
        <f t="array" ref="S104">IFERROR(
INDEX(OP_RatesTU_RES_2[[Ausnet]:[United Energy]],
MATCH(1,(OP_RatesTU_RES_2[[Cost element]:[Cost element]]="Environmental")*(OP_RatesTU_RES_2[[Rate name]:[Rate name]]=$D104),0),
MATCH(S$90,OP_RatesTU_RES_2[[#Headers],[Ausnet]:[United Energy]],0))*
(INDEX($N$81:$N$85,MATCH(IF($D104="Single rate","Annual",$D104),$F$81:$F$85,0),1)/$S$88),"-")</f>
        <v>65.217492462504651</v>
      </c>
      <c r="U104" s="143">
        <f t="shared" si="208"/>
        <v>52.174673314808864</v>
      </c>
      <c r="V104" s="143">
        <f t="shared" si="204"/>
        <v>0</v>
      </c>
      <c r="W104" s="143">
        <f t="shared" si="204"/>
        <v>64.980470812261331</v>
      </c>
      <c r="X104" s="143">
        <f t="shared" si="204"/>
        <v>64.301666231105273</v>
      </c>
      <c r="Y104" s="143">
        <f t="shared" si="204"/>
        <v>66.373737068173043</v>
      </c>
      <c r="Z104" s="143">
        <f t="shared" si="204"/>
        <v>65.217492462504651</v>
      </c>
      <c r="AB104" s="222">
        <f>IFERROR(U104/G$92,"-")</f>
        <v>9.1759889755203775E-3</v>
      </c>
      <c r="AC104" s="222">
        <f t="shared" si="205"/>
        <v>0</v>
      </c>
      <c r="AD104" s="222">
        <f t="shared" si="205"/>
        <v>1.2791431262256167E-2</v>
      </c>
      <c r="AE104" s="222">
        <f t="shared" si="205"/>
        <v>1.1388888811743761E-2</v>
      </c>
      <c r="AF104" s="222">
        <f t="shared" si="205"/>
        <v>1.2558890646768787E-2</v>
      </c>
      <c r="AG104" s="222">
        <f t="shared" si="205"/>
        <v>1.2546651108600357E-2</v>
      </c>
      <c r="AI104" s="242"/>
      <c r="AP104" s="242"/>
      <c r="AQ104" s="242"/>
    </row>
    <row r="105" spans="3:45" outlineLevel="1" x14ac:dyDescent="0.25">
      <c r="AB105" s="124"/>
      <c r="AC105" s="124"/>
      <c r="AD105" s="124"/>
      <c r="AE105" s="124"/>
      <c r="AF105" s="124"/>
      <c r="AG105" s="124"/>
      <c r="AI105" s="242"/>
    </row>
    <row r="106" spans="3:45" ht="15.75" outlineLevel="1" x14ac:dyDescent="0.25">
      <c r="D106" s="30" t="s">
        <v>117</v>
      </c>
      <c r="AB106" s="124"/>
      <c r="AC106" s="124"/>
      <c r="AD106" s="124"/>
      <c r="AE106" s="124"/>
      <c r="AF106" s="124"/>
      <c r="AG106" s="124"/>
      <c r="AI106" s="242"/>
    </row>
    <row r="107" spans="3:45" outlineLevel="1" x14ac:dyDescent="0.25">
      <c r="C107" t="s">
        <v>160</v>
      </c>
      <c r="D107" s="60" t="s">
        <v>125</v>
      </c>
      <c r="E107" s="60" t="s">
        <v>117</v>
      </c>
      <c r="G107" s="143">
        <f>AVERAGE(H107:L107)</f>
        <v>10.849248189087444</v>
      </c>
      <c r="H107" s="143">
        <f>INDEX(Calc_FiT_1[[Ausnet]:[United Energy]],MATCH($D107,Calc_FiT_1[[Cost item]:[Cost item]],0),MATCH(H$90,Calc_FiT_1[[#Headers],[Ausnet]:[United Energy]],1))</f>
        <v>10.849248189087444</v>
      </c>
      <c r="I107" s="143">
        <f>INDEX(Calc_FiT_1[[Ausnet]:[United Energy]],MATCH($D107,Calc_FiT_1[[Cost item]:[Cost item]],0),MATCH(I$90,Calc_FiT_1[[#Headers],[Ausnet]:[United Energy]],1))</f>
        <v>10.849248189087444</v>
      </c>
      <c r="J107" s="143">
        <f>INDEX(Calc_FiT_1[[Ausnet]:[United Energy]],MATCH($D107,Calc_FiT_1[[Cost item]:[Cost item]],0),MATCH(J$90,Calc_FiT_1[[#Headers],[Ausnet]:[United Energy]],1))</f>
        <v>10.849248189087444</v>
      </c>
      <c r="K107" s="143">
        <f>INDEX(Calc_FiT_1[[Ausnet]:[United Energy]],MATCH($D107,Calc_FiT_1[[Cost item]:[Cost item]],0),MATCH(K$90,Calc_FiT_1[[#Headers],[Ausnet]:[United Energy]],1))</f>
        <v>10.849248189087444</v>
      </c>
      <c r="L107" s="143">
        <f>INDEX(Calc_FiT_1[[Ausnet]:[United Energy]],MATCH($D107,Calc_FiT_1[[Cost item]:[Cost item]],0),MATCH(L$90,Calc_FiT_1[[#Headers],[Ausnet]:[United Energy]],1))</f>
        <v>10.849248189087444</v>
      </c>
      <c r="N107" s="143">
        <f>AVERAGE(O107:S107)</f>
        <v>13.337821545021233</v>
      </c>
      <c r="O107" s="143">
        <f>INDEX(Calc_FiT_2[[Ausnet]:[United Energy]],MATCH($D107,Calc_FiT_2[[Cost item]:[Cost item]],0),MATCH(O$90,Calc_FiT_2[[#Headers],[Ausnet]:[United Energy]],1))</f>
        <v>13.337821545021233</v>
      </c>
      <c r="P107" s="143">
        <f>INDEX(Calc_FiT_2[[Ausnet]:[United Energy]],MATCH($D107,Calc_FiT_2[[Cost item]:[Cost item]],0),MATCH(P$90,Calc_FiT_2[[#Headers],[Ausnet]:[United Energy]],1))</f>
        <v>13.337821545021233</v>
      </c>
      <c r="Q107" s="143">
        <f>INDEX(Calc_FiT_2[[Ausnet]:[United Energy]],MATCH($D107,Calc_FiT_2[[Cost item]:[Cost item]],0),MATCH(Q$90,Calc_FiT_2[[#Headers],[Ausnet]:[United Energy]],1))</f>
        <v>13.337821545021233</v>
      </c>
      <c r="R107" s="143">
        <f>INDEX(Calc_FiT_2[[Ausnet]:[United Energy]],MATCH($D107,Calc_FiT_2[[Cost item]:[Cost item]],0),MATCH(R$90,Calc_FiT_2[[#Headers],[Ausnet]:[United Energy]],1))</f>
        <v>13.337821545021233</v>
      </c>
      <c r="S107" s="143">
        <f>INDEX(Calc_FiT_2[[Ausnet]:[United Energy]],MATCH($D107,Calc_FiT_2[[Cost item]:[Cost item]],0),MATCH(S$90,Calc_FiT_2[[#Headers],[Ausnet]:[United Energy]],1))</f>
        <v>13.337821545021233</v>
      </c>
      <c r="U107" s="143">
        <f>IFERROR(N107-G107,"-")</f>
        <v>2.4885733559337897</v>
      </c>
      <c r="V107" s="143">
        <f t="shared" ref="V107:Z107" si="209">IFERROR(O107-H107,"-")</f>
        <v>2.4885733559337897</v>
      </c>
      <c r="W107" s="143">
        <f t="shared" si="209"/>
        <v>2.4885733559337897</v>
      </c>
      <c r="X107" s="143">
        <f t="shared" si="209"/>
        <v>2.4885733559337897</v>
      </c>
      <c r="Y107" s="143">
        <f t="shared" si="209"/>
        <v>2.4885733559337897</v>
      </c>
      <c r="Z107" s="143">
        <f t="shared" si="209"/>
        <v>2.4885733559337897</v>
      </c>
      <c r="AB107" s="222">
        <f>IFERROR(U107/G$92,"-")</f>
        <v>4.3766678788846109E-4</v>
      </c>
      <c r="AC107" s="222">
        <f t="shared" ref="AC107:AG107" si="210">IFERROR(V107/H$92,"-")</f>
        <v>3.4467775012933375E-4</v>
      </c>
      <c r="AD107" s="222">
        <f t="shared" si="210"/>
        <v>4.8987664486885621E-4</v>
      </c>
      <c r="AE107" s="222">
        <f t="shared" si="210"/>
        <v>4.4076750902121673E-4</v>
      </c>
      <c r="AF107" s="222">
        <f t="shared" si="210"/>
        <v>4.7087480717763287E-4</v>
      </c>
      <c r="AG107" s="222">
        <f t="shared" si="210"/>
        <v>4.7875593611654282E-4</v>
      </c>
      <c r="AI107" s="242"/>
    </row>
    <row r="108" spans="3:45" outlineLevel="1" x14ac:dyDescent="0.25">
      <c r="AB108" s="124"/>
      <c r="AC108" s="124"/>
      <c r="AD108" s="124"/>
      <c r="AE108" s="124"/>
      <c r="AF108" s="124"/>
      <c r="AG108" s="124"/>
      <c r="AI108" s="242"/>
    </row>
    <row r="109" spans="3:45" outlineLevel="1" x14ac:dyDescent="0.25">
      <c r="C109" t="s">
        <v>282</v>
      </c>
      <c r="D109" s="60" t="s">
        <v>126</v>
      </c>
      <c r="E109" s="60" t="s">
        <v>117</v>
      </c>
      <c r="G109" s="143">
        <f t="shared" ref="G109:G112" si="211">AVERAGE(H109:L109)</f>
        <v>1.6939335514995686</v>
      </c>
      <c r="H109" s="143">
        <f>INDEX(Calc_OtherCosts_1[[Ausnet]:[United Energy]],MATCH($D109,Calc_OtherCosts_1[[Cost item]:[Cost item]],0),MATCH(H$90,Calc_OtherCosts_1[[#Headers],[Ausnet]:[United Energy]],0))</f>
        <v>1.6939335514995686</v>
      </c>
      <c r="I109" s="143">
        <f>INDEX(Calc_OtherCosts_1[[Ausnet]:[United Energy]],MATCH($D109,Calc_OtherCosts_1[[Cost item]:[Cost item]],0),MATCH(I$90,Calc_OtherCosts_1[[#Headers],[Ausnet]:[United Energy]],0))</f>
        <v>1.6939335514995686</v>
      </c>
      <c r="J109" s="143">
        <f>INDEX(Calc_OtherCosts_1[[Ausnet]:[United Energy]],MATCH($D109,Calc_OtherCosts_1[[Cost item]:[Cost item]],0),MATCH(J$90,Calc_OtherCosts_1[[#Headers],[Ausnet]:[United Energy]],0))</f>
        <v>1.6939335514995686</v>
      </c>
      <c r="K109" s="143">
        <f>INDEX(Calc_OtherCosts_1[[Ausnet]:[United Energy]],MATCH($D109,Calc_OtherCosts_1[[Cost item]:[Cost item]],0),MATCH(K$90,Calc_OtherCosts_1[[#Headers],[Ausnet]:[United Energy]],0))</f>
        <v>1.6939335514995686</v>
      </c>
      <c r="L109" s="143">
        <f>INDEX(Calc_OtherCosts_1[[Ausnet]:[United Energy]],MATCH($D109,Calc_OtherCosts_1[[Cost item]:[Cost item]],0),MATCH(L$90,Calc_OtherCosts_1[[#Headers],[Ausnet]:[United Energy]],0))</f>
        <v>1.6939335514995686</v>
      </c>
      <c r="N109" s="143">
        <f t="shared" ref="N109:N112" si="212">AVERAGE(O109:S109)</f>
        <v>2.1558125061118716</v>
      </c>
      <c r="O109" s="143">
        <f>INDEX(Calc_OtherCosts_2[[Ausnet]:[United Energy]],MATCH($D109,Calc_OtherCosts_2[[Cost item]:[Cost item]],0),MATCH(O$90,Calc_OtherCosts_2[[#Headers],[Ausnet]:[United Energy]],0))</f>
        <v>2.1558125061118716</v>
      </c>
      <c r="P109" s="143">
        <f>INDEX(Calc_OtherCosts_2[[Ausnet]:[United Energy]],MATCH($D109,Calc_OtherCosts_2[[Cost item]:[Cost item]],0),MATCH(P$90,Calc_OtherCosts_2[[#Headers],[Ausnet]:[United Energy]],0))</f>
        <v>2.1558125061118716</v>
      </c>
      <c r="Q109" s="143">
        <f>INDEX(Calc_OtherCosts_2[[Ausnet]:[United Energy]],MATCH($D109,Calc_OtherCosts_2[[Cost item]:[Cost item]],0),MATCH(Q$90,Calc_OtherCosts_2[[#Headers],[Ausnet]:[United Energy]],0))</f>
        <v>2.1558125061118716</v>
      </c>
      <c r="R109" s="143">
        <f>INDEX(Calc_OtherCosts_2[[Ausnet]:[United Energy]],MATCH($D109,Calc_OtherCosts_2[[Cost item]:[Cost item]],0),MATCH(R$90,Calc_OtherCosts_2[[#Headers],[Ausnet]:[United Energy]],0))</f>
        <v>2.1558125061118716</v>
      </c>
      <c r="S109" s="143">
        <f>INDEX(Calc_OtherCosts_2[[Ausnet]:[United Energy]],MATCH($D109,Calc_OtherCosts_2[[Cost item]:[Cost item]],0),MATCH(S$90,Calc_OtherCosts_2[[#Headers],[Ausnet]:[United Energy]],0))</f>
        <v>2.1558125061118716</v>
      </c>
      <c r="U109" s="143">
        <f t="shared" ref="U109:Z112" si="213">IFERROR(N109-G109,"-")</f>
        <v>0.46187895461230299</v>
      </c>
      <c r="V109" s="143">
        <f t="shared" si="213"/>
        <v>0.46187895461230299</v>
      </c>
      <c r="W109" s="143">
        <f t="shared" si="213"/>
        <v>0.46187895461230299</v>
      </c>
      <c r="X109" s="143">
        <f t="shared" si="213"/>
        <v>0.46187895461230299</v>
      </c>
      <c r="Y109" s="143">
        <f t="shared" si="213"/>
        <v>0.46187895461230299</v>
      </c>
      <c r="Z109" s="143">
        <f t="shared" si="213"/>
        <v>0.46187895461230299</v>
      </c>
      <c r="AB109" s="222">
        <f>IFERROR(U109/G$92,"-")</f>
        <v>8.1230910061959731E-5</v>
      </c>
      <c r="AC109" s="222">
        <f t="shared" ref="AC109:AG112" si="214">IFERROR(V109/H$92,"-")</f>
        <v>6.3972154378435318E-5</v>
      </c>
      <c r="AD109" s="222">
        <f t="shared" si="214"/>
        <v>9.0921054057539958E-5</v>
      </c>
      <c r="AE109" s="222">
        <f t="shared" si="214"/>
        <v>8.1806403579933221E-5</v>
      </c>
      <c r="AF109" s="222">
        <f t="shared" si="214"/>
        <v>8.7394314969215325E-5</v>
      </c>
      <c r="AG109" s="222">
        <f t="shared" si="214"/>
        <v>8.8857051676087529E-5</v>
      </c>
      <c r="AI109" s="242"/>
    </row>
    <row r="110" spans="3:45" outlineLevel="1" x14ac:dyDescent="0.25">
      <c r="C110" t="s">
        <v>282</v>
      </c>
      <c r="D110" s="60" t="s">
        <v>127</v>
      </c>
      <c r="E110" s="60" t="s">
        <v>117</v>
      </c>
      <c r="G110" s="143">
        <f t="shared" si="211"/>
        <v>2.46</v>
      </c>
      <c r="H110" s="143">
        <f>INDEX(Calc_OtherCosts_1[[Ausnet]:[United Energy]],MATCH($D110,Calc_OtherCosts_1[[Cost item]:[Cost item]],0),MATCH(H$90,Calc_OtherCosts_1[[#Headers],[Ausnet]:[United Energy]],0))</f>
        <v>2.46</v>
      </c>
      <c r="I110" s="143">
        <f>INDEX(Calc_OtherCosts_1[[Ausnet]:[United Energy]],MATCH($D110,Calc_OtherCosts_1[[Cost item]:[Cost item]],0),MATCH(I$90,Calc_OtherCosts_1[[#Headers],[Ausnet]:[United Energy]],0))</f>
        <v>2.46</v>
      </c>
      <c r="J110" s="143">
        <f>INDEX(Calc_OtherCosts_1[[Ausnet]:[United Energy]],MATCH($D110,Calc_OtherCosts_1[[Cost item]:[Cost item]],0),MATCH(J$90,Calc_OtherCosts_1[[#Headers],[Ausnet]:[United Energy]],0))</f>
        <v>2.46</v>
      </c>
      <c r="K110" s="143">
        <f>INDEX(Calc_OtherCosts_1[[Ausnet]:[United Energy]],MATCH($D110,Calc_OtherCosts_1[[Cost item]:[Cost item]],0),MATCH(K$90,Calc_OtherCosts_1[[#Headers],[Ausnet]:[United Energy]],0))</f>
        <v>2.46</v>
      </c>
      <c r="L110" s="143">
        <f>INDEX(Calc_OtherCosts_1[[Ausnet]:[United Energy]],MATCH($D110,Calc_OtherCosts_1[[Cost item]:[Cost item]],0),MATCH(L$90,Calc_OtherCosts_1[[#Headers],[Ausnet]:[United Energy]],0))</f>
        <v>2.46</v>
      </c>
      <c r="N110" s="143">
        <f t="shared" si="212"/>
        <v>0</v>
      </c>
      <c r="O110" s="143">
        <f>INDEX(Calc_OtherCosts_2[[Ausnet]:[United Energy]],MATCH($D110,Calc_OtherCosts_2[[Cost item]:[Cost item]],0),MATCH(O$90,Calc_OtherCosts_2[[#Headers],[Ausnet]:[United Energy]],0))</f>
        <v>0</v>
      </c>
      <c r="P110" s="143">
        <f>INDEX(Calc_OtherCosts_2[[Ausnet]:[United Energy]],MATCH($D110,Calc_OtherCosts_2[[Cost item]:[Cost item]],0),MATCH(P$90,Calc_OtherCosts_2[[#Headers],[Ausnet]:[United Energy]],0))</f>
        <v>0</v>
      </c>
      <c r="Q110" s="143">
        <f>INDEX(Calc_OtherCosts_2[[Ausnet]:[United Energy]],MATCH($D110,Calc_OtherCosts_2[[Cost item]:[Cost item]],0),MATCH(Q$90,Calc_OtherCosts_2[[#Headers],[Ausnet]:[United Energy]],0))</f>
        <v>0</v>
      </c>
      <c r="R110" s="143">
        <f>INDEX(Calc_OtherCosts_2[[Ausnet]:[United Energy]],MATCH($D110,Calc_OtherCosts_2[[Cost item]:[Cost item]],0),MATCH(R$90,Calc_OtherCosts_2[[#Headers],[Ausnet]:[United Energy]],0))</f>
        <v>0</v>
      </c>
      <c r="S110" s="143">
        <f>INDEX(Calc_OtherCosts_2[[Ausnet]:[United Energy]],MATCH($D110,Calc_OtherCosts_2[[Cost item]:[Cost item]],0),MATCH(S$90,Calc_OtherCosts_2[[#Headers],[Ausnet]:[United Energy]],0))</f>
        <v>0</v>
      </c>
      <c r="U110" s="143">
        <f t="shared" si="213"/>
        <v>-2.46</v>
      </c>
      <c r="V110" s="143">
        <f t="shared" si="213"/>
        <v>-2.46</v>
      </c>
      <c r="W110" s="143">
        <f t="shared" si="213"/>
        <v>-2.46</v>
      </c>
      <c r="X110" s="143">
        <f t="shared" si="213"/>
        <v>-2.46</v>
      </c>
      <c r="Y110" s="143">
        <f t="shared" si="213"/>
        <v>-2.46</v>
      </c>
      <c r="Z110" s="143">
        <f t="shared" si="213"/>
        <v>-2.46</v>
      </c>
      <c r="AB110" s="222">
        <f>IFERROR(U110/G$92,"-")</f>
        <v>-4.3264157580021105E-4</v>
      </c>
      <c r="AC110" s="222">
        <f t="shared" si="214"/>
        <v>-3.4072022160664821E-4</v>
      </c>
      <c r="AD110" s="222">
        <f t="shared" si="214"/>
        <v>-4.8425196850393698E-4</v>
      </c>
      <c r="AE110" s="222">
        <f t="shared" si="214"/>
        <v>-4.3570669500531351E-4</v>
      </c>
      <c r="AF110" s="222">
        <f>IFERROR(Y110/K$92,"-")</f>
        <v>-4.6546830652790914E-4</v>
      </c>
      <c r="AG110" s="222">
        <f t="shared" si="214"/>
        <v>-4.7325894574836477E-4</v>
      </c>
      <c r="AI110" s="242"/>
    </row>
    <row r="111" spans="3:45" outlineLevel="1" x14ac:dyDescent="0.25">
      <c r="C111" t="s">
        <v>282</v>
      </c>
      <c r="D111" s="60" t="s">
        <v>633</v>
      </c>
      <c r="E111" s="60" t="s">
        <v>117</v>
      </c>
      <c r="G111" s="143">
        <f t="shared" si="211"/>
        <v>0.62589545454545448</v>
      </c>
      <c r="H111" s="143">
        <f>INDEX(Calc_OtherCosts_1[[Ausnet]:[United Energy]],MATCH($D111,Calc_OtherCosts_1[[Cost item]:[Cost item]],0),MATCH(H$90,Calc_OtherCosts_1[[#Headers],[Ausnet]:[United Energy]],0))</f>
        <v>0.62589545454545448</v>
      </c>
      <c r="I111" s="143">
        <f>INDEX(Calc_OtherCosts_1[[Ausnet]:[United Energy]],MATCH($D111,Calc_OtherCosts_1[[Cost item]:[Cost item]],0),MATCH(I$90,Calc_OtherCosts_1[[#Headers],[Ausnet]:[United Energy]],0))</f>
        <v>0.62589545454545448</v>
      </c>
      <c r="J111" s="143">
        <f>INDEX(Calc_OtherCosts_1[[Ausnet]:[United Energy]],MATCH($D111,Calc_OtherCosts_1[[Cost item]:[Cost item]],0),MATCH(J$90,Calc_OtherCosts_1[[#Headers],[Ausnet]:[United Energy]],0))</f>
        <v>0.62589545454545448</v>
      </c>
      <c r="K111" s="143">
        <f>INDEX(Calc_OtherCosts_1[[Ausnet]:[United Energy]],MATCH($D111,Calc_OtherCosts_1[[Cost item]:[Cost item]],0),MATCH(K$90,Calc_OtherCosts_1[[#Headers],[Ausnet]:[United Energy]],0))</f>
        <v>0.62589545454545448</v>
      </c>
      <c r="L111" s="143">
        <f>INDEX(Calc_OtherCosts_1[[Ausnet]:[United Energy]],MATCH($D111,Calc_OtherCosts_1[[Cost item]:[Cost item]],0),MATCH(L$90,Calc_OtherCosts_1[[#Headers],[Ausnet]:[United Energy]],0))</f>
        <v>0.62589545454545448</v>
      </c>
      <c r="N111" s="143">
        <f t="shared" si="212"/>
        <v>0.61619999999999997</v>
      </c>
      <c r="O111" s="143">
        <f>INDEX(Calc_OtherCosts_2[[Ausnet]:[United Energy]],MATCH($D111,Calc_OtherCosts_2[[Cost item]:[Cost item]],0),MATCH(O$90,Calc_OtherCosts_2[[#Headers],[Ausnet]:[United Energy]],0))</f>
        <v>0.61619999999999997</v>
      </c>
      <c r="P111" s="143">
        <f>INDEX(Calc_OtherCosts_2[[Ausnet]:[United Energy]],MATCH($D111,Calc_OtherCosts_2[[Cost item]:[Cost item]],0),MATCH(P$90,Calc_OtherCosts_2[[#Headers],[Ausnet]:[United Energy]],0))</f>
        <v>0.61619999999999997</v>
      </c>
      <c r="Q111" s="143">
        <f>INDEX(Calc_OtherCosts_2[[Ausnet]:[United Energy]],MATCH($D111,Calc_OtherCosts_2[[Cost item]:[Cost item]],0),MATCH(Q$90,Calc_OtherCosts_2[[#Headers],[Ausnet]:[United Energy]],0))</f>
        <v>0.61619999999999997</v>
      </c>
      <c r="R111" s="143">
        <f>INDEX(Calc_OtherCosts_2[[Ausnet]:[United Energy]],MATCH($D111,Calc_OtherCosts_2[[Cost item]:[Cost item]],0),MATCH(R$90,Calc_OtherCosts_2[[#Headers],[Ausnet]:[United Energy]],0))</f>
        <v>0.61619999999999997</v>
      </c>
      <c r="S111" s="143">
        <f>INDEX(Calc_OtherCosts_2[[Ausnet]:[United Energy]],MATCH($D111,Calc_OtherCosts_2[[Cost item]:[Cost item]],0),MATCH(S$90,Calc_OtherCosts_2[[#Headers],[Ausnet]:[United Energy]],0))</f>
        <v>0.61619999999999997</v>
      </c>
      <c r="U111" s="143">
        <f t="shared" si="213"/>
        <v>-9.6954545454545071E-3</v>
      </c>
      <c r="V111" s="143">
        <f t="shared" si="213"/>
        <v>-9.6954545454545071E-3</v>
      </c>
      <c r="W111" s="143">
        <f t="shared" si="213"/>
        <v>-9.6954545454545071E-3</v>
      </c>
      <c r="X111" s="143">
        <f t="shared" si="213"/>
        <v>-9.6954545454545071E-3</v>
      </c>
      <c r="Y111" s="143">
        <f t="shared" si="213"/>
        <v>-9.6954545454545071E-3</v>
      </c>
      <c r="Z111" s="143">
        <f t="shared" si="213"/>
        <v>-9.6954545454545071E-3</v>
      </c>
      <c r="AB111" s="222">
        <f>IFERROR(U111/G$92,"-")</f>
        <v>-1.7051450132702263E-6</v>
      </c>
      <c r="AC111" s="222">
        <f t="shared" si="214"/>
        <v>-1.3428607403676603E-6</v>
      </c>
      <c r="AD111" s="222">
        <f t="shared" si="214"/>
        <v>-1.9085540443808086E-6</v>
      </c>
      <c r="AE111" s="222">
        <f t="shared" si="214"/>
        <v>-1.717225388851312E-6</v>
      </c>
      <c r="AF111" s="222">
        <f t="shared" si="214"/>
        <v>-1.8345230928012312E-6</v>
      </c>
      <c r="AG111" s="222">
        <f t="shared" si="214"/>
        <v>-1.8652278848508093E-6</v>
      </c>
      <c r="AI111" s="242"/>
    </row>
    <row r="112" spans="3:45" outlineLevel="1" x14ac:dyDescent="0.25">
      <c r="C112" t="s">
        <v>282</v>
      </c>
      <c r="D112" s="60" t="s">
        <v>129</v>
      </c>
      <c r="E112" s="60" t="s">
        <v>117</v>
      </c>
      <c r="G112" s="143">
        <f t="shared" si="211"/>
        <v>1.3468636363636362</v>
      </c>
      <c r="H112" s="143">
        <f>INDEX(Calc_OtherCosts_1[[Ausnet]:[United Energy]],MATCH($D112,Calc_OtherCosts_1[[Cost item]:[Cost item]],0),MATCH(H$90,Calc_OtherCosts_1[[#Headers],[Ausnet]:[United Energy]],0))</f>
        <v>1.3468636363636362</v>
      </c>
      <c r="I112" s="143">
        <f>INDEX(Calc_OtherCosts_1[[Ausnet]:[United Energy]],MATCH($D112,Calc_OtherCosts_1[[Cost item]:[Cost item]],0),MATCH(I$90,Calc_OtherCosts_1[[#Headers],[Ausnet]:[United Energy]],0))</f>
        <v>1.3468636363636362</v>
      </c>
      <c r="J112" s="143">
        <f>INDEX(Calc_OtherCosts_1[[Ausnet]:[United Energy]],MATCH($D112,Calc_OtherCosts_1[[Cost item]:[Cost item]],0),MATCH(J$90,Calc_OtherCosts_1[[#Headers],[Ausnet]:[United Energy]],0))</f>
        <v>1.3468636363636362</v>
      </c>
      <c r="K112" s="143">
        <f>INDEX(Calc_OtherCosts_1[[Ausnet]:[United Energy]],MATCH($D112,Calc_OtherCosts_1[[Cost item]:[Cost item]],0),MATCH(K$90,Calc_OtherCosts_1[[#Headers],[Ausnet]:[United Energy]],0))</f>
        <v>1.3468636363636362</v>
      </c>
      <c r="L112" s="143">
        <f>INDEX(Calc_OtherCosts_1[[Ausnet]:[United Energy]],MATCH($D112,Calc_OtherCosts_1[[Cost item]:[Cost item]],0),MATCH(L$90,Calc_OtherCosts_1[[#Headers],[Ausnet]:[United Energy]],0))</f>
        <v>1.3468636363636362</v>
      </c>
      <c r="N112" s="143">
        <f t="shared" si="212"/>
        <v>1.3478399999999999</v>
      </c>
      <c r="O112" s="143">
        <f>INDEX(Calc_OtherCosts_2[[Ausnet]:[United Energy]],MATCH($D112,Calc_OtherCosts_2[[Cost item]:[Cost item]],0),MATCH(O$90,Calc_OtherCosts_2[[#Headers],[Ausnet]:[United Energy]],0))</f>
        <v>1.3478399999999999</v>
      </c>
      <c r="P112" s="143">
        <f>INDEX(Calc_OtherCosts_2[[Ausnet]:[United Energy]],MATCH($D112,Calc_OtherCosts_2[[Cost item]:[Cost item]],0),MATCH(P$90,Calc_OtherCosts_2[[#Headers],[Ausnet]:[United Energy]],0))</f>
        <v>1.3478399999999999</v>
      </c>
      <c r="Q112" s="143">
        <f>INDEX(Calc_OtherCosts_2[[Ausnet]:[United Energy]],MATCH($D112,Calc_OtherCosts_2[[Cost item]:[Cost item]],0),MATCH(Q$90,Calc_OtherCosts_2[[#Headers],[Ausnet]:[United Energy]],0))</f>
        <v>1.3478399999999999</v>
      </c>
      <c r="R112" s="143">
        <f>INDEX(Calc_OtherCosts_2[[Ausnet]:[United Energy]],MATCH($D112,Calc_OtherCosts_2[[Cost item]:[Cost item]],0),MATCH(R$90,Calc_OtherCosts_2[[#Headers],[Ausnet]:[United Energy]],0))</f>
        <v>1.3478399999999999</v>
      </c>
      <c r="S112" s="143">
        <f>INDEX(Calc_OtherCosts_2[[Ausnet]:[United Energy]],MATCH($D112,Calc_OtherCosts_2[[Cost item]:[Cost item]],0),MATCH(S$90,Calc_OtherCosts_2[[#Headers],[Ausnet]:[United Energy]],0))</f>
        <v>1.3478399999999999</v>
      </c>
      <c r="U112" s="143">
        <f t="shared" si="213"/>
        <v>9.763636363637751E-4</v>
      </c>
      <c r="V112" s="143">
        <f t="shared" si="213"/>
        <v>9.763636363637751E-4</v>
      </c>
      <c r="W112" s="143">
        <f t="shared" si="213"/>
        <v>9.763636363637751E-4</v>
      </c>
      <c r="X112" s="143">
        <f t="shared" si="213"/>
        <v>9.763636363637751E-4</v>
      </c>
      <c r="Y112" s="143">
        <f t="shared" si="213"/>
        <v>9.763636363637751E-4</v>
      </c>
      <c r="Z112" s="143">
        <f t="shared" si="213"/>
        <v>9.763636363637751E-4</v>
      </c>
      <c r="AB112" s="222">
        <f>IFERROR(U112/G$92,"-")</f>
        <v>1.7171361877660485E-7</v>
      </c>
      <c r="AC112" s="222">
        <f t="shared" si="214"/>
        <v>1.3523042054899931E-7</v>
      </c>
      <c r="AD112" s="222">
        <f t="shared" si="214"/>
        <v>1.9219756621334155E-7</v>
      </c>
      <c r="AE112" s="222">
        <f t="shared" si="214"/>
        <v>1.7293015167619113E-7</v>
      </c>
      <c r="AF112" s="222">
        <f t="shared" si="214"/>
        <v>1.8474240990799907E-7</v>
      </c>
      <c r="AG112" s="222">
        <f t="shared" si="214"/>
        <v>1.8783448179372356E-7</v>
      </c>
      <c r="AI112" s="242"/>
    </row>
    <row r="113" spans="3:35" outlineLevel="1" x14ac:dyDescent="0.25">
      <c r="AB113" s="124"/>
      <c r="AC113" s="124"/>
      <c r="AD113" s="124"/>
      <c r="AE113" s="124"/>
      <c r="AF113" s="124"/>
      <c r="AG113" s="124"/>
      <c r="AI113" s="242"/>
    </row>
    <row r="114" spans="3:35" outlineLevel="1" x14ac:dyDescent="0.25">
      <c r="C114" t="s">
        <v>130</v>
      </c>
      <c r="D114" s="60" t="s">
        <v>509</v>
      </c>
      <c r="E114" s="60" t="s">
        <v>117</v>
      </c>
      <c r="G114" s="143">
        <f t="shared" ref="G114:G115" si="215">AVERAGE(H114:L114)</f>
        <v>141.11709999999999</v>
      </c>
      <c r="H114" s="143" cm="1">
        <f t="array" ref="H114">INDEX(Calc_NetworkF_1[[Ausnet]:[United Energy]],MATCH(1,(Calc_NetworkF_1[[Cost item]:[Cost item]]=$D114)*(Calc_NetworkF_1[[Customer type]:[Customer type]]=$E$79),0),MATCH(H$90,Calc_NetworkF_1[[#Headers],[Ausnet]:[United Energy]],0))</f>
        <v>111.11</v>
      </c>
      <c r="I114" s="143" cm="1">
        <f t="array" ref="I114">INDEX(Calc_NetworkF_1[[Ausnet]:[United Energy]],MATCH(1,(Calc_NetworkF_1[[Cost item]:[Cost item]]=$D114)*(Calc_NetworkF_1[[Customer type]:[Customer type]]=$E$79),0),MATCH(I$90,Calc_NetworkF_1[[#Headers],[Ausnet]:[United Energy]],0))</f>
        <v>160.01599999999999</v>
      </c>
      <c r="J114" s="143" cm="1">
        <f t="array" ref="J114">INDEX(Calc_NetworkF_1[[Ausnet]:[United Energy]],MATCH(1,(Calc_NetworkF_1[[Cost item]:[Cost item]]=$D114)*(Calc_NetworkF_1[[Customer type]:[Customer type]]=$E$79),0),MATCH(J$90,Calc_NetworkF_1[[#Headers],[Ausnet]:[United Energy]],0))</f>
        <v>134.46600000000001</v>
      </c>
      <c r="K114" s="143" cm="1">
        <f t="array" ref="K114">INDEX(Calc_NetworkF_1[[Ausnet]:[United Energy]],MATCH(1,(Calc_NetworkF_1[[Cost item]:[Cost item]]=$D114)*(Calc_NetworkF_1[[Customer type]:[Customer type]]=$E$79),0),MATCH(K$90,Calc_NetworkF_1[[#Headers],[Ausnet]:[United Energy]],0))</f>
        <v>179.98150000000001</v>
      </c>
      <c r="L114" s="143" cm="1">
        <f t="array" ref="L114">INDEX(Calc_NetworkF_1[[Ausnet]:[United Energy]],MATCH(1,(Calc_NetworkF_1[[Cost item]:[Cost item]]=$D114)*(Calc_NetworkF_1[[Customer type]:[Customer type]]=$E$79),0),MATCH(L$90,Calc_NetworkF_1[[#Headers],[Ausnet]:[United Energy]],0))</f>
        <v>120.01199999999999</v>
      </c>
      <c r="N114" s="143">
        <f t="shared" ref="N114:N115" si="216">AVERAGE(O114:S114)</f>
        <v>141.11709999999999</v>
      </c>
      <c r="O114" s="143" cm="1">
        <f t="array" ref="O114">INDEX(Calc_NetworkF_2[[Ausnet]:[United Energy]],MATCH(1,(Calc_NetworkF_2[[Cost item]:[Cost item]]=$D114)*(Calc_NetworkF_2[[Customer type]:[Customer type]]=$E$79),0),MATCH(O$90,Calc_NetworkF_2[[#Headers],[Ausnet]:[United Energy]],0))</f>
        <v>111.11</v>
      </c>
      <c r="P114" s="143" cm="1">
        <f t="array" ref="P114">INDEX(Calc_NetworkF_2[[Ausnet]:[United Energy]],MATCH(1,(Calc_NetworkF_2[[Cost item]:[Cost item]]=$D114)*(Calc_NetworkF_2[[Customer type]:[Customer type]]=$E$79),0),MATCH(P$90,Calc_NetworkF_2[[#Headers],[Ausnet]:[United Energy]],0))</f>
        <v>160.01599999999999</v>
      </c>
      <c r="Q114" s="143" cm="1">
        <f t="array" ref="Q114">INDEX(Calc_NetworkF_2[[Ausnet]:[United Energy]],MATCH(1,(Calc_NetworkF_2[[Cost item]:[Cost item]]=$D114)*(Calc_NetworkF_2[[Customer type]:[Customer type]]=$E$79),0),MATCH(Q$90,Calc_NetworkF_2[[#Headers],[Ausnet]:[United Energy]],0))</f>
        <v>134.46600000000001</v>
      </c>
      <c r="R114" s="143" cm="1">
        <f t="array" ref="R114">INDEX(Calc_NetworkF_2[[Ausnet]:[United Energy]],MATCH(1,(Calc_NetworkF_2[[Cost item]:[Cost item]]=$D114)*(Calc_NetworkF_2[[Customer type]:[Customer type]]=$E$79),0),MATCH(R$90,Calc_NetworkF_2[[#Headers],[Ausnet]:[United Energy]],0))</f>
        <v>179.98150000000001</v>
      </c>
      <c r="S114" s="143" cm="1">
        <f t="array" ref="S114">INDEX(Calc_NetworkF_2[[Ausnet]:[United Energy]],MATCH(1,(Calc_NetworkF_2[[Cost item]:[Cost item]]=$D114)*(Calc_NetworkF_2[[Customer type]:[Customer type]]=$E$79),0),MATCH(S$90,Calc_NetworkF_2[[#Headers],[Ausnet]:[United Energy]],0))</f>
        <v>120.01199999999999</v>
      </c>
      <c r="U114" s="143">
        <f t="shared" ref="U114:Z115" si="217">IFERROR(N114-G114,"-")</f>
        <v>0</v>
      </c>
      <c r="V114" s="143">
        <f t="shared" si="217"/>
        <v>0</v>
      </c>
      <c r="W114" s="143">
        <f t="shared" si="217"/>
        <v>0</v>
      </c>
      <c r="X114" s="143">
        <f t="shared" si="217"/>
        <v>0</v>
      </c>
      <c r="Y114" s="143">
        <f t="shared" si="217"/>
        <v>0</v>
      </c>
      <c r="Z114" s="143">
        <f t="shared" si="217"/>
        <v>0</v>
      </c>
      <c r="AB114" s="222">
        <f>IFERROR(U114/G$92,"-")</f>
        <v>0</v>
      </c>
      <c r="AC114" s="222">
        <f t="shared" ref="AC114:AG115" si="218">IFERROR(V114/H$92,"-")</f>
        <v>0</v>
      </c>
      <c r="AD114" s="222">
        <f t="shared" si="218"/>
        <v>0</v>
      </c>
      <c r="AE114" s="222">
        <f t="shared" si="218"/>
        <v>0</v>
      </c>
      <c r="AF114" s="222">
        <f t="shared" si="218"/>
        <v>0</v>
      </c>
      <c r="AG114" s="222">
        <f t="shared" si="218"/>
        <v>0</v>
      </c>
      <c r="AI114" s="242"/>
    </row>
    <row r="115" spans="3:35" outlineLevel="1" x14ac:dyDescent="0.25">
      <c r="C115" t="s">
        <v>130</v>
      </c>
      <c r="D115" s="60" t="s">
        <v>284</v>
      </c>
      <c r="E115" s="60" t="s">
        <v>117</v>
      </c>
      <c r="G115" s="143">
        <f t="shared" si="215"/>
        <v>55.641999999999996</v>
      </c>
      <c r="H115" s="143">
        <f>INDEX(Calc_NetworkF_1[[Ausnet]:[United Energy]],MATCH($D115,Calc_NetworkF_1[[Cost item]:[Cost item]],0),MATCH(H$90,Calc_NetworkF_1[[#Headers],[Ausnet]:[United Energy]],0))</f>
        <v>63.7</v>
      </c>
      <c r="I115" s="143">
        <f>INDEX(Calc_NetworkF_1[[Ausnet]:[United Energy]],MATCH($D115,Calc_NetworkF_1[[Cost item]:[Cost item]],0),MATCH(I$90,Calc_NetworkF_1[[#Headers],[Ausnet]:[United Energy]],0))</f>
        <v>59.4</v>
      </c>
      <c r="J115" s="143">
        <f>INDEX(Calc_NetworkF_1[[Ausnet]:[United Energy]],MATCH($D115,Calc_NetworkF_1[[Cost item]:[Cost item]],0),MATCH(J$90,Calc_NetworkF_1[[#Headers],[Ausnet]:[United Energy]],0))</f>
        <v>54.19</v>
      </c>
      <c r="K115" s="143">
        <f>INDEX(Calc_NetworkF_1[[Ausnet]:[United Energy]],MATCH($D115,Calc_NetworkF_1[[Cost item]:[Cost item]],0),MATCH(K$90,Calc_NetworkF_1[[#Headers],[Ausnet]:[United Energy]],0))</f>
        <v>58</v>
      </c>
      <c r="L115" s="143">
        <f>INDEX(Calc_NetworkF_1[[Ausnet]:[United Energy]],MATCH($D115,Calc_NetworkF_1[[Cost item]:[Cost item]],0),MATCH(L$90,Calc_NetworkF_1[[#Headers],[Ausnet]:[United Energy]],0))</f>
        <v>42.92</v>
      </c>
      <c r="N115" s="143">
        <f t="shared" si="216"/>
        <v>55.641999999999996</v>
      </c>
      <c r="O115" s="143">
        <f>INDEX(Calc_NetworkF_2[[Ausnet]:[United Energy]],MATCH($D115,Calc_NetworkF_2[[Cost item]:[Cost item]],0),MATCH(O$90,Calc_NetworkF_2[[#Headers],[Ausnet]:[United Energy]],0))</f>
        <v>63.7</v>
      </c>
      <c r="P115" s="143">
        <f>INDEX(Calc_NetworkF_2[[Ausnet]:[United Energy]],MATCH($D115,Calc_NetworkF_2[[Cost item]:[Cost item]],0),MATCH(P$90,Calc_NetworkF_2[[#Headers],[Ausnet]:[United Energy]],0))</f>
        <v>59.4</v>
      </c>
      <c r="Q115" s="143">
        <f>INDEX(Calc_NetworkF_2[[Ausnet]:[United Energy]],MATCH($D115,Calc_NetworkF_2[[Cost item]:[Cost item]],0),MATCH(Q$90,Calc_NetworkF_2[[#Headers],[Ausnet]:[United Energy]],0))</f>
        <v>54.19</v>
      </c>
      <c r="R115" s="143">
        <f>INDEX(Calc_NetworkF_2[[Ausnet]:[United Energy]],MATCH($D115,Calc_NetworkF_2[[Cost item]:[Cost item]],0),MATCH(R$90,Calc_NetworkF_2[[#Headers],[Ausnet]:[United Energy]],0))</f>
        <v>58</v>
      </c>
      <c r="S115" s="143">
        <f>INDEX(Calc_NetworkF_2[[Ausnet]:[United Energy]],MATCH($D115,Calc_NetworkF_2[[Cost item]:[Cost item]],0),MATCH(S$90,Calc_NetworkF_2[[#Headers],[Ausnet]:[United Energy]],0))</f>
        <v>42.92</v>
      </c>
      <c r="U115" s="143">
        <f t="shared" si="217"/>
        <v>0</v>
      </c>
      <c r="V115" s="143">
        <f t="shared" si="217"/>
        <v>0</v>
      </c>
      <c r="W115" s="143">
        <f t="shared" si="217"/>
        <v>0</v>
      </c>
      <c r="X115" s="143">
        <f t="shared" si="217"/>
        <v>0</v>
      </c>
      <c r="Y115" s="143">
        <f t="shared" si="217"/>
        <v>0</v>
      </c>
      <c r="Z115" s="143">
        <f t="shared" si="217"/>
        <v>0</v>
      </c>
      <c r="AB115" s="222">
        <f>IFERROR(U115/G$92,"-")</f>
        <v>0</v>
      </c>
      <c r="AC115" s="222">
        <f t="shared" si="218"/>
        <v>0</v>
      </c>
      <c r="AD115" s="222">
        <f t="shared" si="218"/>
        <v>0</v>
      </c>
      <c r="AE115" s="222">
        <f t="shared" si="218"/>
        <v>0</v>
      </c>
      <c r="AF115" s="222">
        <f t="shared" si="218"/>
        <v>0</v>
      </c>
      <c r="AG115" s="222">
        <f t="shared" si="218"/>
        <v>0</v>
      </c>
      <c r="AI115" s="242"/>
    </row>
    <row r="116" spans="3:35" outlineLevel="1" x14ac:dyDescent="0.25">
      <c r="AB116" s="124"/>
      <c r="AC116" s="124"/>
      <c r="AD116" s="124"/>
      <c r="AE116" s="124"/>
      <c r="AF116" s="124"/>
      <c r="AG116" s="124"/>
      <c r="AI116" s="242"/>
    </row>
    <row r="117" spans="3:35" outlineLevel="1" x14ac:dyDescent="0.25">
      <c r="C117" t="s">
        <v>115</v>
      </c>
      <c r="D117" s="60" t="s">
        <v>301</v>
      </c>
      <c r="E117" s="60" t="s">
        <v>117</v>
      </c>
      <c r="G117" s="143">
        <f t="shared" ref="G117:G118" si="219">AVERAGE(H117:L117)</f>
        <v>143.29536631887984</v>
      </c>
      <c r="H117" s="143">
        <f>AVERAGE(INDEX(Calc_Retail_1[[Ausnet]:[United Energy]],MATCH($D117,Calc_Retail_1[[Cost item]:[Cost item]],0),MATCH(H$90,Calc_Retail_1[[#Headers],[Ausnet]:[United Energy]],0)))</f>
        <v>143.29536631887984</v>
      </c>
      <c r="I117" s="143">
        <f>AVERAGE(INDEX(Calc_Retail_1[[Ausnet]:[United Energy]],MATCH($D117,Calc_Retail_1[[Cost item]:[Cost item]],0),MATCH(I$90,Calc_Retail_1[[#Headers],[Ausnet]:[United Energy]],0)))</f>
        <v>143.29536631887984</v>
      </c>
      <c r="J117" s="143">
        <f>AVERAGE(INDEX(Calc_Retail_1[[Ausnet]:[United Energy]],MATCH($D117,Calc_Retail_1[[Cost item]:[Cost item]],0),MATCH(J$90,Calc_Retail_1[[#Headers],[Ausnet]:[United Energy]],0)))</f>
        <v>143.29536631887984</v>
      </c>
      <c r="K117" s="143">
        <f>AVERAGE(INDEX(Calc_Retail_1[[Ausnet]:[United Energy]],MATCH($D117,Calc_Retail_1[[Cost item]:[Cost item]],0),MATCH(K$90,Calc_Retail_1[[#Headers],[Ausnet]:[United Energy]],0)))</f>
        <v>143.29536631887984</v>
      </c>
      <c r="L117" s="143">
        <f>AVERAGE(INDEX(Calc_Retail_1[[Ausnet]:[United Energy]],MATCH($D117,Calc_Retail_1[[Cost item]:[Cost item]],0),MATCH(L$90,Calc_Retail_1[[#Headers],[Ausnet]:[United Energy]],0)))</f>
        <v>143.29536631887984</v>
      </c>
      <c r="N117" s="143">
        <f t="shared" ref="N117:N118" si="220">AVERAGE(O117:S117)</f>
        <v>141.75366943089429</v>
      </c>
      <c r="O117" s="143">
        <f>AVERAGE(INDEX(Calc_Retail_2[[Ausnet]:[United Energy]],MATCH($D117,Calc_Retail_2[[Cost item]:[Cost item]],0),MATCH(O$90,Calc_Retail_2[[#Headers],[Ausnet]:[United Energy]],0)))</f>
        <v>141.75366943089429</v>
      </c>
      <c r="P117" s="143">
        <f>AVERAGE(INDEX(Calc_Retail_2[[Ausnet]:[United Energy]],MATCH($D117,Calc_Retail_2[[Cost item]:[Cost item]],0),MATCH(P$90,Calc_Retail_2[[#Headers],[Ausnet]:[United Energy]],0)))</f>
        <v>141.75366943089429</v>
      </c>
      <c r="Q117" s="143">
        <f>AVERAGE(INDEX(Calc_Retail_2[[Ausnet]:[United Energy]],MATCH($D117,Calc_Retail_2[[Cost item]:[Cost item]],0),MATCH(Q$90,Calc_Retail_2[[#Headers],[Ausnet]:[United Energy]],0)))</f>
        <v>141.75366943089429</v>
      </c>
      <c r="R117" s="143">
        <f>AVERAGE(INDEX(Calc_Retail_2[[Ausnet]:[United Energy]],MATCH($D117,Calc_Retail_2[[Cost item]:[Cost item]],0),MATCH(R$90,Calc_Retail_2[[#Headers],[Ausnet]:[United Energy]],0)))</f>
        <v>141.75366943089429</v>
      </c>
      <c r="S117" s="143">
        <f>AVERAGE(INDEX(Calc_Retail_2[[Ausnet]:[United Energy]],MATCH($D117,Calc_Retail_2[[Cost item]:[Cost item]],0),MATCH(S$90,Calc_Retail_2[[#Headers],[Ausnet]:[United Energy]],0)))</f>
        <v>141.75366943089429</v>
      </c>
      <c r="U117" s="143">
        <f>IFERROR(N117-G117,"-")</f>
        <v>-1.5416968879855517</v>
      </c>
      <c r="V117" s="143">
        <f t="shared" ref="U117:Z118" si="221">IFERROR(O117-H117,"-")</f>
        <v>-1.5416968879855517</v>
      </c>
      <c r="W117" s="143">
        <f t="shared" si="221"/>
        <v>-1.5416968879855517</v>
      </c>
      <c r="X117" s="143">
        <f t="shared" si="221"/>
        <v>-1.5416968879855517</v>
      </c>
      <c r="Y117" s="143">
        <f t="shared" si="221"/>
        <v>-1.5416968879855517</v>
      </c>
      <c r="Z117" s="143">
        <f t="shared" si="221"/>
        <v>-1.5416968879855517</v>
      </c>
      <c r="AB117" s="222">
        <f>IFERROR(U117/G$92,"-")</f>
        <v>-2.7113909391233764E-4</v>
      </c>
      <c r="AC117" s="222">
        <f t="shared" ref="AC117:AG118" si="222">IFERROR(V117/H$92,"-")</f>
        <v>-2.1353142492874677E-4</v>
      </c>
      <c r="AD117" s="222">
        <f t="shared" si="222"/>
        <v>-3.0348363936723457E-4</v>
      </c>
      <c r="AE117" s="222">
        <f t="shared" si="222"/>
        <v>-2.7306002266835845E-4</v>
      </c>
      <c r="AF117" s="222">
        <f t="shared" si="222"/>
        <v>-2.9171180472763511E-4</v>
      </c>
      <c r="AG117" s="222">
        <f t="shared" si="222"/>
        <v>-2.9659424547625083E-4</v>
      </c>
      <c r="AI117" s="242"/>
    </row>
    <row r="118" spans="3:35" outlineLevel="1" x14ac:dyDescent="0.25">
      <c r="C118" t="s">
        <v>115</v>
      </c>
      <c r="D118" s="60" t="s">
        <v>123</v>
      </c>
      <c r="E118" s="60" t="s">
        <v>117</v>
      </c>
      <c r="G118" s="143">
        <f t="shared" si="219"/>
        <v>38.463414634146346</v>
      </c>
      <c r="H118" s="143">
        <f>AVERAGE(INDEX(Calc_Retail_1[[Ausnet]:[United Energy]],MATCH($D118,Calc_Retail_1[[Cost item]:[Cost item]],0),MATCH(H$90,Calc_Retail_1[[#Headers],[Ausnet]:[United Energy]],0)))</f>
        <v>38.463414634146346</v>
      </c>
      <c r="I118" s="143">
        <f>AVERAGE(INDEX(Calc_Retail_1[[Ausnet]:[United Energy]],MATCH($D118,Calc_Retail_1[[Cost item]:[Cost item]],0),MATCH(I$90,Calc_Retail_1[[#Headers],[Ausnet]:[United Energy]],0)))</f>
        <v>38.463414634146346</v>
      </c>
      <c r="J118" s="143">
        <f>AVERAGE(INDEX(Calc_Retail_1[[Ausnet]:[United Energy]],MATCH($D118,Calc_Retail_1[[Cost item]:[Cost item]],0),MATCH(J$90,Calc_Retail_1[[#Headers],[Ausnet]:[United Energy]],0)))</f>
        <v>38.463414634146346</v>
      </c>
      <c r="K118" s="143">
        <f>AVERAGE(INDEX(Calc_Retail_1[[Ausnet]:[United Energy]],MATCH($D118,Calc_Retail_1[[Cost item]:[Cost item]],0),MATCH(K$90,Calc_Retail_1[[#Headers],[Ausnet]:[United Energy]],0)))</f>
        <v>38.463414634146346</v>
      </c>
      <c r="L118" s="143">
        <f>AVERAGE(INDEX(Calc_Retail_1[[Ausnet]:[United Energy]],MATCH($D118,Calc_Retail_1[[Cost item]:[Cost item]],0),MATCH(L$90,Calc_Retail_1[[#Headers],[Ausnet]:[United Energy]],0)))</f>
        <v>38.463414634146346</v>
      </c>
      <c r="N118" s="143">
        <f t="shared" si="220"/>
        <v>39.621951219512198</v>
      </c>
      <c r="O118" s="143">
        <f>AVERAGE(INDEX(Calc_Retail_2[[Ausnet]:[United Energy]],MATCH($D118,Calc_Retail_2[[Cost item]:[Cost item]],0),MATCH(O$90,Calc_Retail_2[[#Headers],[Ausnet]:[United Energy]],0)))</f>
        <v>39.621951219512198</v>
      </c>
      <c r="P118" s="143">
        <f>AVERAGE(INDEX(Calc_Retail_2[[Ausnet]:[United Energy]],MATCH($D118,Calc_Retail_2[[Cost item]:[Cost item]],0),MATCH(P$90,Calc_Retail_2[[#Headers],[Ausnet]:[United Energy]],0)))</f>
        <v>39.621951219512198</v>
      </c>
      <c r="Q118" s="143">
        <f>AVERAGE(INDEX(Calc_Retail_2[[Ausnet]:[United Energy]],MATCH($D118,Calc_Retail_2[[Cost item]:[Cost item]],0),MATCH(Q$90,Calc_Retail_2[[#Headers],[Ausnet]:[United Energy]],0)))</f>
        <v>39.621951219512198</v>
      </c>
      <c r="R118" s="143">
        <f>AVERAGE(INDEX(Calc_Retail_2[[Ausnet]:[United Energy]],MATCH($D118,Calc_Retail_2[[Cost item]:[Cost item]],0),MATCH(R$90,Calc_Retail_2[[#Headers],[Ausnet]:[United Energy]],0)))</f>
        <v>39.621951219512198</v>
      </c>
      <c r="S118" s="143">
        <f>AVERAGE(INDEX(Calc_Retail_2[[Ausnet]:[United Energy]],MATCH($D118,Calc_Retail_2[[Cost item]:[Cost item]],0),MATCH(S$90,Calc_Retail_2[[#Headers],[Ausnet]:[United Energy]],0)))</f>
        <v>39.621951219512198</v>
      </c>
      <c r="U118" s="143">
        <f t="shared" si="221"/>
        <v>1.1585365853658516</v>
      </c>
      <c r="V118" s="143">
        <f t="shared" si="221"/>
        <v>1.1585365853658516</v>
      </c>
      <c r="W118" s="143">
        <f t="shared" si="221"/>
        <v>1.1585365853658516</v>
      </c>
      <c r="X118" s="143">
        <f t="shared" si="221"/>
        <v>1.1585365853658516</v>
      </c>
      <c r="Y118" s="143">
        <f t="shared" si="221"/>
        <v>1.1585365853658516</v>
      </c>
      <c r="Z118" s="143">
        <f t="shared" si="221"/>
        <v>1.1585365853658516</v>
      </c>
      <c r="AB118" s="222">
        <f>IFERROR(U118/G$92,"-")</f>
        <v>2.0375247720116983E-4</v>
      </c>
      <c r="AC118" s="222">
        <f t="shared" si="222"/>
        <v>1.6046213093709856E-4</v>
      </c>
      <c r="AD118" s="222">
        <f t="shared" si="222"/>
        <v>2.2805838294603377E-4</v>
      </c>
      <c r="AE118" s="222">
        <f t="shared" si="222"/>
        <v>2.0519599457418554E-4</v>
      </c>
      <c r="AF118" s="222">
        <f t="shared" si="222"/>
        <v>2.1921222050441845E-4</v>
      </c>
      <c r="AG118" s="222">
        <f t="shared" si="222"/>
        <v>2.2288122073217613E-4</v>
      </c>
      <c r="AI118" s="242"/>
    </row>
    <row r="119" spans="3:35" outlineLevel="1" x14ac:dyDescent="0.25">
      <c r="AB119" s="124"/>
      <c r="AC119" s="124"/>
      <c r="AD119" s="124"/>
      <c r="AE119" s="124"/>
      <c r="AF119" s="124"/>
      <c r="AG119" s="124"/>
      <c r="AI119" s="242"/>
    </row>
    <row r="120" spans="3:35" outlineLevel="1" x14ac:dyDescent="0.25">
      <c r="D120" s="214" t="s">
        <v>625</v>
      </c>
      <c r="E120" s="58" t="s">
        <v>117</v>
      </c>
      <c r="F120" s="214"/>
      <c r="G120" s="166">
        <f>AVERAGE(H120:L120)</f>
        <v>395.49382178452225</v>
      </c>
      <c r="H120" s="166">
        <f>H107+H109+H110+H111+H112+H114+H115+H117+H118</f>
        <v>373.54472178452227</v>
      </c>
      <c r="I120" s="166">
        <f>I107+I109+I110+I111+I112+I114+I115+I117+I118</f>
        <v>418.15072178452226</v>
      </c>
      <c r="J120" s="166">
        <f t="shared" ref="J120:L120" si="223">J107+J109+J110+J111+J112+J114+J115+J117+J118</f>
        <v>387.39072178452227</v>
      </c>
      <c r="K120" s="166">
        <f t="shared" si="223"/>
        <v>436.7162217845223</v>
      </c>
      <c r="L120" s="166">
        <f t="shared" si="223"/>
        <v>361.66672178452234</v>
      </c>
      <c r="M120" s="214"/>
      <c r="N120" s="166">
        <f>AVERAGE(O120:S120)</f>
        <v>395.5923947015396</v>
      </c>
      <c r="O120" s="166">
        <f>O107+O109+O110+O111+O112+O114+O115+O117+O118</f>
        <v>373.64329470153962</v>
      </c>
      <c r="P120" s="166">
        <f t="shared" ref="P120:S120" si="224">P107+P109+P110+P111+P112+P114+P115+P117+P118</f>
        <v>418.24929470153961</v>
      </c>
      <c r="Q120" s="166">
        <f t="shared" si="224"/>
        <v>387.48929470153962</v>
      </c>
      <c r="R120" s="166">
        <f t="shared" si="224"/>
        <v>436.8147947015396</v>
      </c>
      <c r="S120" s="166">
        <f t="shared" si="224"/>
        <v>361.76529470153957</v>
      </c>
      <c r="U120" s="143">
        <f>IFERROR(N120-G120,"-")</f>
        <v>9.8572917017349937E-2</v>
      </c>
      <c r="V120" s="143">
        <f t="shared" ref="V120" si="225">IFERROR(O120-H120,"-")</f>
        <v>9.8572917017349937E-2</v>
      </c>
      <c r="W120" s="143">
        <f>IFERROR(P120-I120,"-")</f>
        <v>9.8572917017349937E-2</v>
      </c>
      <c r="X120" s="143">
        <f t="shared" ref="X120:Z120" si="226">IFERROR(Q120-J120,"-")</f>
        <v>9.8572917017349937E-2</v>
      </c>
      <c r="Y120" s="143">
        <f t="shared" si="226"/>
        <v>9.8572917017293094E-2</v>
      </c>
      <c r="Z120" s="143">
        <f t="shared" si="226"/>
        <v>9.857291701723625E-2</v>
      </c>
      <c r="AB120" s="124"/>
      <c r="AC120" s="124"/>
      <c r="AD120" s="124"/>
      <c r="AE120" s="124"/>
      <c r="AF120" s="124"/>
      <c r="AG120" s="124"/>
      <c r="AI120" s="242"/>
    </row>
    <row r="121" spans="3:35" outlineLevel="1" x14ac:dyDescent="0.25">
      <c r="AB121" s="124"/>
      <c r="AC121" s="124"/>
      <c r="AD121" s="124"/>
      <c r="AE121" s="124"/>
      <c r="AF121" s="124"/>
      <c r="AG121" s="124"/>
      <c r="AI121" s="242"/>
    </row>
    <row r="122" spans="3:35" ht="15.75" outlineLevel="1" x14ac:dyDescent="0.25">
      <c r="D122" s="30" t="s">
        <v>626</v>
      </c>
      <c r="AB122" s="124"/>
      <c r="AC122" s="124"/>
      <c r="AD122" s="124"/>
      <c r="AE122" s="124"/>
      <c r="AF122" s="124"/>
      <c r="AG122" s="124"/>
      <c r="AI122" s="242"/>
    </row>
    <row r="123" spans="3:35" outlineLevel="1" x14ac:dyDescent="0.25">
      <c r="C123" t="s">
        <v>160</v>
      </c>
      <c r="D123" s="185" t="s">
        <v>316</v>
      </c>
      <c r="E123" s="60" t="s">
        <v>139</v>
      </c>
      <c r="G123" s="143">
        <f t="shared" ref="G123:G125" si="227">AVERAGE(H123:L123)</f>
        <v>111.74115363388282</v>
      </c>
      <c r="H123" s="143">
        <f>INDEX(Calc_EnviroVEU_1[[Ausnet]:[United Energy]],MATCH($D123,Calc_EnviroVEU_1[Cost item],0),MATCH(H$90,Calc_EnviroVEU_1[[#Headers],[Ausnet]:[United Energy]],0))*$G$81</f>
        <v>111.74115363388282</v>
      </c>
      <c r="I123" s="143">
        <f>INDEX(Calc_EnviroVEU_1[[Ausnet]:[United Energy]],MATCH($D123,Calc_EnviroVEU_1[Cost item],0),MATCH(I$90,Calc_EnviroVEU_1[[#Headers],[Ausnet]:[United Energy]],0))*$G$81</f>
        <v>111.74115363388282</v>
      </c>
      <c r="J123" s="143">
        <f>INDEX(Calc_EnviroVEU_1[[Ausnet]:[United Energy]],MATCH($D123,Calc_EnviroVEU_1[Cost item],0),MATCH(J$90,Calc_EnviroVEU_1[[#Headers],[Ausnet]:[United Energy]],0))*$G$81</f>
        <v>111.74115363388282</v>
      </c>
      <c r="K123" s="143">
        <f>INDEX(Calc_EnviroVEU_1[[Ausnet]:[United Energy]],MATCH($D123,Calc_EnviroVEU_1[Cost item],0),MATCH(K$90,Calc_EnviroVEU_1[[#Headers],[Ausnet]:[United Energy]],0))*$G$81</f>
        <v>111.74115363388282</v>
      </c>
      <c r="L123" s="143">
        <f>INDEX(Calc_EnviroVEU_1[[Ausnet]:[United Energy]],MATCH($D123,Calc_EnviroVEU_1[Cost item],0),MATCH(L$90,Calc_EnviroVEU_1[[#Headers],[Ausnet]:[United Energy]],0))*$G$81</f>
        <v>111.74115363388282</v>
      </c>
      <c r="N123" s="143">
        <f t="shared" ref="N123:N125" si="228">AVERAGE(O123:S123)</f>
        <v>196.49758736305179</v>
      </c>
      <c r="O123" s="143">
        <f>INDEX(Calc_EnviroVEU_2[[Ausnet]:[United Energy]],MATCH($D123,Calc_EnviroVEU_2[Cost item],0),MATCH(O$90,Calc_EnviroVEU_2[[#Headers],[Ausnet]:[United Energy]],0))*$N$81</f>
        <v>196.49758736305179</v>
      </c>
      <c r="P123" s="143">
        <f>INDEX(Calc_EnviroVEU_2[[Ausnet]:[United Energy]],MATCH($D123,Calc_EnviroVEU_2[Cost item],0),MATCH(P$90,Calc_EnviroVEU_2[[#Headers],[Ausnet]:[United Energy]],0))*$N$81</f>
        <v>196.49758736305179</v>
      </c>
      <c r="Q123" s="143">
        <f>INDEX(Calc_EnviroVEU_2[[Ausnet]:[United Energy]],MATCH($D123,Calc_EnviroVEU_2[Cost item],0),MATCH(Q$90,Calc_EnviroVEU_2[[#Headers],[Ausnet]:[United Energy]],0))*$N$81</f>
        <v>196.49758736305179</v>
      </c>
      <c r="R123" s="143">
        <f>INDEX(Calc_EnviroVEU_2[[Ausnet]:[United Energy]],MATCH($D123,Calc_EnviroVEU_2[Cost item],0),MATCH(R$90,Calc_EnviroVEU_2[[#Headers],[Ausnet]:[United Energy]],0))*$N$81</f>
        <v>196.49758736305179</v>
      </c>
      <c r="S123" s="143">
        <f>INDEX(Calc_EnviroVEU_2[[Ausnet]:[United Energy]],MATCH($D123,Calc_EnviroVEU_2[Cost item],0),MATCH(S$90,Calc_EnviroVEU_2[[#Headers],[Ausnet]:[United Energy]],0))*$N$81</f>
        <v>196.49758736305179</v>
      </c>
      <c r="U123" s="143">
        <f t="shared" ref="U123:Z125" si="229">IFERROR(N123-G123,"-")</f>
        <v>84.756433729168975</v>
      </c>
      <c r="V123" s="143">
        <f t="shared" si="229"/>
        <v>84.756433729168975</v>
      </c>
      <c r="W123" s="143">
        <f t="shared" si="229"/>
        <v>84.756433729168975</v>
      </c>
      <c r="X123" s="143">
        <f t="shared" si="229"/>
        <v>84.756433729168975</v>
      </c>
      <c r="Y123" s="143">
        <f t="shared" si="229"/>
        <v>84.756433729168975</v>
      </c>
      <c r="Z123" s="143">
        <f t="shared" si="229"/>
        <v>84.756433729168975</v>
      </c>
      <c r="AB123" s="222">
        <f>IFERROR(U123/G$92,"-")</f>
        <v>1.4906161401542205E-2</v>
      </c>
      <c r="AC123" s="222">
        <f t="shared" ref="AC123:AG125" si="230">IFERROR(V123/H$92,"-")</f>
        <v>1.1739118245037254E-2</v>
      </c>
      <c r="AD123" s="222">
        <f t="shared" si="230"/>
        <v>1.6684337348261611E-2</v>
      </c>
      <c r="AE123" s="222">
        <f t="shared" si="230"/>
        <v>1.5011766512428087E-2</v>
      </c>
      <c r="AF123" s="222">
        <f t="shared" si="230"/>
        <v>1.6037168160675304E-2</v>
      </c>
      <c r="AG123" s="222">
        <f t="shared" si="230"/>
        <v>1.6305585557747013E-2</v>
      </c>
      <c r="AI123" s="242"/>
    </row>
    <row r="124" spans="3:35" outlineLevel="1" x14ac:dyDescent="0.25">
      <c r="C124" t="s">
        <v>160</v>
      </c>
      <c r="D124" s="185" t="s">
        <v>318</v>
      </c>
      <c r="E124" s="60" t="s">
        <v>139</v>
      </c>
      <c r="G124" s="143">
        <f t="shared" si="227"/>
        <v>127.015544647906</v>
      </c>
      <c r="H124" s="143">
        <f>INDEX(Calc_EnviroLRET_1[[Ausnet]:[United Energy]],MATCH($D124,Calc_EnviroLRET_1[Cost item],0),MATCH(H$90,Calc_EnviroLRET_1[[#Headers],[Ausnet]:[United Energy]],0))*$G$81</f>
        <v>127.015544647906</v>
      </c>
      <c r="I124" s="143">
        <f>INDEX(Calc_EnviroLRET_1[[Ausnet]:[United Energy]],MATCH($D124,Calc_EnviroLRET_1[Cost item],0),MATCH(I$90,Calc_EnviroLRET_1[[#Headers],[Ausnet]:[United Energy]],0))*$G$81</f>
        <v>127.015544647906</v>
      </c>
      <c r="J124" s="143">
        <f>INDEX(Calc_EnviroLRET_1[[Ausnet]:[United Energy]],MATCH($D124,Calc_EnviroLRET_1[Cost item],0),MATCH(J$90,Calc_EnviroLRET_1[[#Headers],[Ausnet]:[United Energy]],0))*$G$81</f>
        <v>127.015544647906</v>
      </c>
      <c r="K124" s="143">
        <f>INDEX(Calc_EnviroLRET_1[[Ausnet]:[United Energy]],MATCH($D124,Calc_EnviroLRET_1[Cost item],0),MATCH(K$90,Calc_EnviroLRET_1[[#Headers],[Ausnet]:[United Energy]],0))*$G$81</f>
        <v>127.015544647906</v>
      </c>
      <c r="L124" s="143">
        <f>INDEX(Calc_EnviroLRET_1[[Ausnet]:[United Energy]],MATCH($D124,Calc_EnviroLRET_1[Cost item],0),MATCH(L$90,Calc_EnviroLRET_1[[#Headers],[Ausnet]:[United Energy]],0))*$G$81</f>
        <v>127.015544647906</v>
      </c>
      <c r="N124" s="143">
        <f t="shared" si="228"/>
        <v>127.70351999999998</v>
      </c>
      <c r="O124" s="143">
        <f>INDEX(Calc_EnviroLRET_2[[Ausnet]:[United Energy]],MATCH($D124,Calc_EnviroLRET_2[Cost item],0),MATCH(O$90,Calc_EnviroLRET_2[[#Headers],[Ausnet]:[United Energy]],0))*$N$81</f>
        <v>127.70351999999998</v>
      </c>
      <c r="P124" s="143">
        <f>INDEX(Calc_EnviroLRET_2[[Ausnet]:[United Energy]],MATCH($D124,Calc_EnviroLRET_2[Cost item],0),MATCH(P$90,Calc_EnviroLRET_2[[#Headers],[Ausnet]:[United Energy]],0))*$N$81</f>
        <v>127.70351999999998</v>
      </c>
      <c r="Q124" s="143">
        <f>INDEX(Calc_EnviroLRET_2[[Ausnet]:[United Energy]],MATCH($D124,Calc_EnviroLRET_2[Cost item],0),MATCH(Q$90,Calc_EnviroLRET_2[[#Headers],[Ausnet]:[United Energy]],0))*$N$81</f>
        <v>127.70351999999998</v>
      </c>
      <c r="R124" s="143">
        <f>INDEX(Calc_EnviroLRET_2[[Ausnet]:[United Energy]],MATCH($D124,Calc_EnviroLRET_2[Cost item],0),MATCH(R$90,Calc_EnviroLRET_2[[#Headers],[Ausnet]:[United Energy]],0))*$N$81</f>
        <v>127.70351999999998</v>
      </c>
      <c r="S124" s="143">
        <f>INDEX(Calc_EnviroLRET_2[[Ausnet]:[United Energy]],MATCH($D124,Calc_EnviroLRET_2[Cost item],0),MATCH(S$90,Calc_EnviroLRET_2[[#Headers],[Ausnet]:[United Energy]],0))*$N$81</f>
        <v>127.70351999999998</v>
      </c>
      <c r="U124" s="143">
        <f t="shared" si="229"/>
        <v>0.68797535209398575</v>
      </c>
      <c r="V124" s="143">
        <f t="shared" si="229"/>
        <v>0.68797535209398575</v>
      </c>
      <c r="W124" s="143">
        <f t="shared" si="229"/>
        <v>0.68797535209398575</v>
      </c>
      <c r="X124" s="143">
        <f t="shared" si="229"/>
        <v>0.68797535209398575</v>
      </c>
      <c r="Y124" s="143">
        <f t="shared" si="229"/>
        <v>0.68797535209398575</v>
      </c>
      <c r="Z124" s="143">
        <f t="shared" si="229"/>
        <v>0.68797535209398575</v>
      </c>
      <c r="AB124" s="222">
        <f>IFERROR(U124/G$92,"-")</f>
        <v>1.2099460993562887E-4</v>
      </c>
      <c r="AC124" s="222">
        <f t="shared" si="230"/>
        <v>9.5287444888363682E-5</v>
      </c>
      <c r="AD124" s="222">
        <f t="shared" si="230"/>
        <v>1.3542821891613892E-4</v>
      </c>
      <c r="AE124" s="222">
        <f t="shared" si="230"/>
        <v>1.2185181581544204E-4</v>
      </c>
      <c r="AF124" s="222">
        <f t="shared" si="230"/>
        <v>1.3017509027322342E-4</v>
      </c>
      <c r="AG124" s="222">
        <f t="shared" si="230"/>
        <v>1.3235385765563405E-4</v>
      </c>
      <c r="AI124" s="242"/>
    </row>
    <row r="125" spans="3:35" outlineLevel="1" x14ac:dyDescent="0.25">
      <c r="C125" t="s">
        <v>160</v>
      </c>
      <c r="D125" s="60" t="s">
        <v>320</v>
      </c>
      <c r="E125" s="60" t="s">
        <v>139</v>
      </c>
      <c r="G125" s="143">
        <f t="shared" si="227"/>
        <v>225.19999999999996</v>
      </c>
      <c r="H125" s="143">
        <f>INDEX(Calc_EnviroSRES_1[[Ausnet]:[United Energy]],MATCH($D125,Calc_EnviroSRES_1[Cost item],0),MATCH(H$90,Calc_EnviroSRES_1[[#Headers],[Ausnet]:[United Energy]],0))*$G$81</f>
        <v>225.19999999999996</v>
      </c>
      <c r="I125" s="143">
        <f>INDEX(Calc_EnviroSRES_1[[Ausnet]:[United Energy]],MATCH($D125,Calc_EnviroSRES_1[Cost item],0),MATCH(I$90,Calc_EnviroSRES_1[[#Headers],[Ausnet]:[United Energy]],0))*$G$81</f>
        <v>225.19999999999996</v>
      </c>
      <c r="J125" s="143">
        <f>INDEX(Calc_EnviroSRES_1[[Ausnet]:[United Energy]],MATCH($D125,Calc_EnviroSRES_1[Cost item],0),MATCH(J$90,Calc_EnviroSRES_1[[#Headers],[Ausnet]:[United Energy]],0))*$G$81</f>
        <v>225.19999999999996</v>
      </c>
      <c r="K125" s="143">
        <f>INDEX(Calc_EnviroSRES_1[[Ausnet]:[United Energy]],MATCH($D125,Calc_EnviroSRES_1[Cost item],0),MATCH(K$90,Calc_EnviroSRES_1[[#Headers],[Ausnet]:[United Energy]],0))*$G$81</f>
        <v>225.19999999999996</v>
      </c>
      <c r="L125" s="143">
        <f>INDEX(Calc_EnviroSRES_1[[Ausnet]:[United Energy]],MATCH($D125,Calc_EnviroSRES_1[Cost item],0),MATCH(L$90,Calc_EnviroSRES_1[[#Headers],[Ausnet]:[United Energy]],0))*$G$81</f>
        <v>225.19999999999996</v>
      </c>
      <c r="N125" s="143">
        <f t="shared" si="228"/>
        <v>204.8</v>
      </c>
      <c r="O125" s="143">
        <f>INDEX(Calc_EnviroSRES_2[[Ausnet]:[United Energy]],MATCH($D125,Calc_EnviroSRES_2[Cost item],0),MATCH(O$90,Calc_EnviroSRES_2[[#Headers],[Ausnet]:[United Energy]],0))*$N$81</f>
        <v>204.8</v>
      </c>
      <c r="P125" s="143">
        <f>INDEX(Calc_EnviroSRES_2[[Ausnet]:[United Energy]],MATCH($D125,Calc_EnviroSRES_2[Cost item],0),MATCH(P$90,Calc_EnviroSRES_2[[#Headers],[Ausnet]:[United Energy]],0))*$N$81</f>
        <v>204.8</v>
      </c>
      <c r="Q125" s="143">
        <f>INDEX(Calc_EnviroSRES_2[[Ausnet]:[United Energy]],MATCH($D125,Calc_EnviroSRES_2[Cost item],0),MATCH(Q$90,Calc_EnviroSRES_2[[#Headers],[Ausnet]:[United Energy]],0))*$N$81</f>
        <v>204.8</v>
      </c>
      <c r="R125" s="143">
        <f>INDEX(Calc_EnviroSRES_2[[Ausnet]:[United Energy]],MATCH($D125,Calc_EnviroSRES_2[Cost item],0),MATCH(R$90,Calc_EnviroSRES_2[[#Headers],[Ausnet]:[United Energy]],0))*$N$81</f>
        <v>204.8</v>
      </c>
      <c r="S125" s="143">
        <f>INDEX(Calc_EnviroSRES_2[[Ausnet]:[United Energy]],MATCH($D125,Calc_EnviroSRES_2[Cost item],0),MATCH(S$90,Calc_EnviroSRES_2[[#Headers],[Ausnet]:[United Energy]],0))*$N$81</f>
        <v>204.8</v>
      </c>
      <c r="U125" s="143">
        <f t="shared" si="229"/>
        <v>-20.399999999999949</v>
      </c>
      <c r="V125" s="143">
        <f t="shared" si="229"/>
        <v>-20.399999999999949</v>
      </c>
      <c r="W125" s="143">
        <f t="shared" si="229"/>
        <v>-20.399999999999949</v>
      </c>
      <c r="X125" s="143">
        <f t="shared" si="229"/>
        <v>-20.399999999999949</v>
      </c>
      <c r="Y125" s="143">
        <f t="shared" si="229"/>
        <v>-20.399999999999949</v>
      </c>
      <c r="Z125" s="143">
        <f t="shared" si="229"/>
        <v>-20.399999999999949</v>
      </c>
      <c r="AB125" s="222">
        <f>IFERROR(U125/G$92,"-")</f>
        <v>-3.5877594090749118E-3</v>
      </c>
      <c r="AC125" s="222">
        <f t="shared" si="230"/>
        <v>-2.825484764542929E-3</v>
      </c>
      <c r="AD125" s="222">
        <f t="shared" si="230"/>
        <v>-4.0157480314960527E-3</v>
      </c>
      <c r="AE125" s="222">
        <f t="shared" si="230"/>
        <v>-3.6131774707757612E-3</v>
      </c>
      <c r="AF125" s="222">
        <f t="shared" si="230"/>
        <v>-3.8599810785241153E-3</v>
      </c>
      <c r="AG125" s="222">
        <f t="shared" si="230"/>
        <v>-3.9245863793766732E-3</v>
      </c>
      <c r="AI125" s="242"/>
    </row>
    <row r="126" spans="3:35" outlineLevel="1" x14ac:dyDescent="0.25">
      <c r="AB126" s="124"/>
      <c r="AC126" s="124"/>
      <c r="AD126" s="124"/>
      <c r="AE126" s="124"/>
      <c r="AF126" s="124"/>
      <c r="AG126" s="124"/>
      <c r="AI126" s="242"/>
    </row>
    <row r="127" spans="3:35" outlineLevel="1" x14ac:dyDescent="0.25">
      <c r="AB127" s="124"/>
      <c r="AC127" s="124"/>
      <c r="AD127" s="124"/>
      <c r="AE127" s="124"/>
      <c r="AF127" s="124"/>
      <c r="AG127" s="124"/>
      <c r="AI127" s="242"/>
    </row>
    <row r="128" spans="3:35" outlineLevel="1" x14ac:dyDescent="0.25">
      <c r="C128" t="s">
        <v>130</v>
      </c>
      <c r="D128" t="s">
        <v>622</v>
      </c>
      <c r="E128" s="60" t="s">
        <v>139</v>
      </c>
      <c r="G128" s="143">
        <f>AVERAGE((H129+H130),I131,J131,K131,L131)</f>
        <v>2198.926704</v>
      </c>
      <c r="N128" s="143">
        <f>AVERAGE((O129+O130),P131,Q131,R131,S131)</f>
        <v>2198.926704</v>
      </c>
      <c r="U128" s="143">
        <f t="shared" ref="U128:Z131" si="231">IFERROR(N128-G128,"-")</f>
        <v>0</v>
      </c>
      <c r="V128" s="143">
        <f t="shared" si="231"/>
        <v>0</v>
      </c>
      <c r="W128" s="143">
        <f t="shared" si="231"/>
        <v>0</v>
      </c>
      <c r="X128" s="143">
        <f t="shared" si="231"/>
        <v>0</v>
      </c>
      <c r="Y128" s="143">
        <f t="shared" si="231"/>
        <v>0</v>
      </c>
      <c r="Z128" s="143">
        <f t="shared" si="231"/>
        <v>0</v>
      </c>
      <c r="AB128" s="222">
        <f>IFERROR(U128/G$92,"-")</f>
        <v>0</v>
      </c>
      <c r="AC128" s="222">
        <f t="shared" ref="AC128:AG131" si="232">IFERROR(V128/H$92,"-")</f>
        <v>0</v>
      </c>
      <c r="AD128" s="222">
        <f t="shared" si="232"/>
        <v>0</v>
      </c>
      <c r="AE128" s="222">
        <f t="shared" si="232"/>
        <v>0</v>
      </c>
      <c r="AF128" s="222">
        <f t="shared" si="232"/>
        <v>0</v>
      </c>
      <c r="AG128" s="222">
        <f t="shared" si="232"/>
        <v>0</v>
      </c>
      <c r="AI128" s="242"/>
    </row>
    <row r="129" spans="3:35" outlineLevel="1" x14ac:dyDescent="0.25">
      <c r="D129" s="60" t="s">
        <v>230</v>
      </c>
      <c r="E129" s="60" t="s">
        <v>139</v>
      </c>
      <c r="G129" s="143">
        <f t="shared" ref="G129:G131" si="233">AVERAGE(H129:L129)</f>
        <v>126.79497599999999</v>
      </c>
      <c r="H129" s="143" cm="1">
        <f t="array" ref="H129">IFERROR(
INDEX(Calc_NetworkV_1[[Ausnet]:[United Energy]],
MATCH(1,(Calc_NetworkV_1[[Cost item]:[Cost item]]=$D129)*(Calc_NetworkV_1[[Customer type]:[Customer type]]=$E$79),0),
MATCH(H$90,Calc_NetworkV_1[[#Headers],[Ausnet]:[United Energy]],0))*
INDEX($G$81:$G$84,MATCH(IF($D129="Single rate","Annual",$D129),$F$81:$F$84,0),1),0)</f>
        <v>633.97487999999998</v>
      </c>
      <c r="I129" s="143" cm="1">
        <f t="array" ref="I129">IFERROR(
INDEX(Calc_NetworkV_1[[Ausnet]:[United Energy]],
MATCH(1,(Calc_NetworkV_1[[Cost item]:[Cost item]]=$D129)*(Calc_NetworkV_1[[Customer type]:[Customer type]]=$E$79),0),
MATCH(I$90,Calc_NetworkV_1[[#Headers],[Ausnet]:[United Energy]],0))*
INDEX($G$81:$G$84,MATCH(IF($D129="Single rate","Annual",$D129),$F$81:$F$84,0),1),0)</f>
        <v>0</v>
      </c>
      <c r="J129" s="143" cm="1">
        <f t="array" ref="J129">IFERROR(
INDEX(Calc_NetworkV_1[[Ausnet]:[United Energy]],
MATCH(1,(Calc_NetworkV_1[[Cost item]:[Cost item]]=$D129)*(Calc_NetworkV_1[[Customer type]:[Customer type]]=$E$79),0),
MATCH(J$90,Calc_NetworkV_1[[#Headers],[Ausnet]:[United Energy]],0))*
INDEX($G$81:$G$84,MATCH(IF($D129="Single rate","Annual",$D129),$F$81:$F$84,0),1),0)</f>
        <v>0</v>
      </c>
      <c r="K129" s="143" cm="1">
        <f t="array" ref="K129">IFERROR(
INDEX(Calc_NetworkV_1[[Ausnet]:[United Energy]],
MATCH(1,(Calc_NetworkV_1[[Cost item]:[Cost item]]=$D129)*(Calc_NetworkV_1[[Customer type]:[Customer type]]=$E$79),0),
MATCH(K$90,Calc_NetworkV_1[[#Headers],[Ausnet]:[United Energy]],0))*
INDEX($G$81:$G$84,MATCH(IF($D129="Single rate","Annual",$D129),$F$81:$F$84,0),1),0)</f>
        <v>0</v>
      </c>
      <c r="L129" s="143" cm="1">
        <f t="array" ref="L129">IFERROR(
INDEX(Calc_NetworkV_1[[Ausnet]:[United Energy]],
MATCH(1,(Calc_NetworkV_1[[Cost item]:[Cost item]]=$D129)*(Calc_NetworkV_1[[Customer type]:[Customer type]]=$E$79),0),
MATCH(L$90,Calc_NetworkV_1[[#Headers],[Ausnet]:[United Energy]],0))*
INDEX($G$81:$G$84,MATCH(IF($D129="Single rate","Annual",$D129),$F$81:$F$84,0),1),0)</f>
        <v>0</v>
      </c>
      <c r="N129" s="143">
        <f t="shared" ref="N129:N131" si="234">AVERAGE(O129:S129)</f>
        <v>126.79497599999999</v>
      </c>
      <c r="O129" s="143" cm="1">
        <f t="array" ref="O129">IFERROR(
INDEX(Calc_NetworkV_2[[Ausnet]:[United Energy]],
MATCH(1,(Calc_NetworkV_2[[Cost item]:[Cost item]]=$D129)*(Calc_NetworkV_2[[Customer type]:[Customer type]]=$E$79),0),
MATCH(O$90,Calc_NetworkV_2[[#Headers],[Ausnet]:[United Energy]],0))*
INDEX($N$81:$N$84,MATCH(IF($D129="Single rate","Annual",$D129),$F$81:$F$84,0),1),0)</f>
        <v>633.97487999999998</v>
      </c>
      <c r="P129" s="143" cm="1">
        <f t="array" ref="P129">IFERROR(
INDEX(Calc_NetworkV_2[[Ausnet]:[United Energy]],
MATCH(1,(Calc_NetworkV_2[[Cost item]:[Cost item]]=$D129)*(Calc_NetworkV_2[[Customer type]:[Customer type]]=$E$79),0),
MATCH(P$90,Calc_NetworkV_2[[#Headers],[Ausnet]:[United Energy]],0))*
INDEX($N$81:$N$84,MATCH(IF($D129="Single rate","Annual",$D129),$F$81:$F$84,0),1),0)</f>
        <v>0</v>
      </c>
      <c r="Q129" s="143" cm="1">
        <f t="array" ref="Q129">IFERROR(
INDEX(Calc_NetworkV_2[[Ausnet]:[United Energy]],
MATCH(1,(Calc_NetworkV_2[[Cost item]:[Cost item]]=$D129)*(Calc_NetworkV_2[[Customer type]:[Customer type]]=$E$79),0),
MATCH(Q$90,Calc_NetworkV_2[[#Headers],[Ausnet]:[United Energy]],0))*
INDEX($N$81:$N$84,MATCH(IF($D129="Single rate","Annual",$D129),$F$81:$F$84,0),1),0)</f>
        <v>0</v>
      </c>
      <c r="R129" s="143" cm="1">
        <f t="array" ref="R129">IFERROR(
INDEX(Calc_NetworkV_2[[Ausnet]:[United Energy]],
MATCH(1,(Calc_NetworkV_2[[Cost item]:[Cost item]]=$D129)*(Calc_NetworkV_2[[Customer type]:[Customer type]]=$E$79),0),
MATCH(R$90,Calc_NetworkV_2[[#Headers],[Ausnet]:[United Energy]],0))*
INDEX($N$81:$N$84,MATCH(IF($D129="Single rate","Annual",$D129),$F$81:$F$84,0),1),0)</f>
        <v>0</v>
      </c>
      <c r="S129" s="143" cm="1">
        <f t="array" ref="S129">IFERROR(
INDEX(Calc_NetworkV_2[[Ausnet]:[United Energy]],
MATCH(1,(Calc_NetworkV_2[[Cost item]:[Cost item]]=$D129)*(Calc_NetworkV_2[[Customer type]:[Customer type]]=$E$79),0),
MATCH(S$90,Calc_NetworkV_2[[#Headers],[Ausnet]:[United Energy]],0))*
INDEX($N$81:$N$84,MATCH(IF($D129="Single rate","Annual",$D129),$F$81:$F$84,0),1),0)</f>
        <v>0</v>
      </c>
      <c r="U129" s="143">
        <f t="shared" si="231"/>
        <v>0</v>
      </c>
      <c r="V129" s="143">
        <f t="shared" si="231"/>
        <v>0</v>
      </c>
      <c r="W129" s="143">
        <f t="shared" si="231"/>
        <v>0</v>
      </c>
      <c r="X129" s="143">
        <f t="shared" si="231"/>
        <v>0</v>
      </c>
      <c r="Y129" s="143">
        <f t="shared" si="231"/>
        <v>0</v>
      </c>
      <c r="Z129" s="143">
        <f t="shared" si="231"/>
        <v>0</v>
      </c>
      <c r="AB129" s="222">
        <f>IFERROR(U129/G$92,"-")</f>
        <v>0</v>
      </c>
      <c r="AC129" s="222">
        <f t="shared" si="232"/>
        <v>0</v>
      </c>
      <c r="AD129" s="222">
        <f t="shared" si="232"/>
        <v>0</v>
      </c>
      <c r="AE129" s="222">
        <f t="shared" si="232"/>
        <v>0</v>
      </c>
      <c r="AF129" s="222">
        <f t="shared" si="232"/>
        <v>0</v>
      </c>
      <c r="AG129" s="222">
        <f t="shared" si="232"/>
        <v>0</v>
      </c>
      <c r="AI129" s="242"/>
    </row>
    <row r="130" spans="3:35" outlineLevel="1" x14ac:dyDescent="0.25">
      <c r="D130" s="60" t="s">
        <v>237</v>
      </c>
      <c r="E130" s="60" t="s">
        <v>139</v>
      </c>
      <c r="G130" s="143">
        <f t="shared" si="233"/>
        <v>581.61172799999997</v>
      </c>
      <c r="H130" s="143" cm="1">
        <f t="array" ref="H130">IFERROR(
INDEX(Calc_NetworkV_1[[Ausnet]:[United Energy]],
MATCH(1,(Calc_NetworkV_1[[Cost item]:[Cost item]]=$D130)*(Calc_NetworkV_1[[Customer type]:[Customer type]]=$E$79),0),
MATCH(H$90,Calc_NetworkV_1[[#Headers],[Ausnet]:[United Energy]],0))*
INDEX($G$81:$G$84,MATCH(IF($D130="Single rate","Annual",$D130),$F$81:$F$84,0),1),0)</f>
        <v>2908.0586399999997</v>
      </c>
      <c r="I130" s="143" cm="1">
        <f t="array" ref="I130">IFERROR(
INDEX(Calc_NetworkV_1[[Ausnet]:[United Energy]],
MATCH(1,(Calc_NetworkV_1[[Cost item]:[Cost item]]=$D130)*(Calc_NetworkV_1[[Customer type]:[Customer type]]=$E$79),0),
MATCH(I$90,Calc_NetworkV_1[[#Headers],[Ausnet]:[United Energy]],0))*
INDEX($G$81:$G$84,MATCH(IF($D130="Single rate","Annual",$D130),$F$81:$F$84,0),1),0)</f>
        <v>0</v>
      </c>
      <c r="J130" s="143" cm="1">
        <f t="array" ref="J130">IFERROR(
INDEX(Calc_NetworkV_1[[Ausnet]:[United Energy]],
MATCH(1,(Calc_NetworkV_1[[Cost item]:[Cost item]]=$D130)*(Calc_NetworkV_1[[Customer type]:[Customer type]]=$E$79),0),
MATCH(J$90,Calc_NetworkV_1[[#Headers],[Ausnet]:[United Energy]],0))*
INDEX($G$81:$G$84,MATCH(IF($D130="Single rate","Annual",$D130),$F$81:$F$84,0),1),0)</f>
        <v>0</v>
      </c>
      <c r="K130" s="143" cm="1">
        <f t="array" ref="K130">IFERROR(
INDEX(Calc_NetworkV_1[[Ausnet]:[United Energy]],
MATCH(1,(Calc_NetworkV_1[[Cost item]:[Cost item]]=$D130)*(Calc_NetworkV_1[[Customer type]:[Customer type]]=$E$79),0),
MATCH(K$90,Calc_NetworkV_1[[#Headers],[Ausnet]:[United Energy]],0))*
INDEX($G$81:$G$84,MATCH(IF($D130="Single rate","Annual",$D130),$F$81:$F$84,0),1),0)</f>
        <v>0</v>
      </c>
      <c r="L130" s="143" cm="1">
        <f t="array" ref="L130">IFERROR(
INDEX(Calc_NetworkV_1[[Ausnet]:[United Energy]],
MATCH(1,(Calc_NetworkV_1[[Cost item]:[Cost item]]=$D130)*(Calc_NetworkV_1[[Customer type]:[Customer type]]=$E$79),0),
MATCH(L$90,Calc_NetworkV_1[[#Headers],[Ausnet]:[United Energy]],0))*
INDEX($G$81:$G$84,MATCH(IF($D130="Single rate","Annual",$D130),$F$81:$F$84,0),1),0)</f>
        <v>0</v>
      </c>
      <c r="N130" s="143">
        <f t="shared" si="234"/>
        <v>581.61172799999997</v>
      </c>
      <c r="O130" s="143" cm="1">
        <f t="array" ref="O130">IFERROR(
INDEX(Calc_NetworkV_2[[Ausnet]:[United Energy]],
MATCH(1,(Calc_NetworkV_2[[Cost item]:[Cost item]]=$D130)*(Calc_NetworkV_2[[Customer type]:[Customer type]]=$E$79),0),
MATCH(O$90,Calc_NetworkV_2[[#Headers],[Ausnet]:[United Energy]],0))*
INDEX($N$81:$N$84,MATCH(IF($D130="Single rate","Annual",$D130),$F$81:$F$84,0),1),0)</f>
        <v>2908.0586399999997</v>
      </c>
      <c r="P130" s="143" cm="1">
        <f t="array" ref="P130">IFERROR(
INDEX(Calc_NetworkV_2[[Ausnet]:[United Energy]],
MATCH(1,(Calc_NetworkV_2[[Cost item]:[Cost item]]=$D130)*(Calc_NetworkV_2[[Customer type]:[Customer type]]=$E$79),0),
MATCH(P$90,Calc_NetworkV_2[[#Headers],[Ausnet]:[United Energy]],0))*
INDEX($N$81:$N$84,MATCH(IF($D130="Single rate","Annual",$D130),$F$81:$F$84,0),1),0)</f>
        <v>0</v>
      </c>
      <c r="Q130" s="143" cm="1">
        <f t="array" ref="Q130">IFERROR(
INDEX(Calc_NetworkV_2[[Ausnet]:[United Energy]],
MATCH(1,(Calc_NetworkV_2[[Cost item]:[Cost item]]=$D130)*(Calc_NetworkV_2[[Customer type]:[Customer type]]=$E$79),0),
MATCH(Q$90,Calc_NetworkV_2[[#Headers],[Ausnet]:[United Energy]],0))*
INDEX($N$81:$N$84,MATCH(IF($D130="Single rate","Annual",$D130),$F$81:$F$84,0),1),0)</f>
        <v>0</v>
      </c>
      <c r="R130" s="143" cm="1">
        <f t="array" ref="R130">IFERROR(
INDEX(Calc_NetworkV_2[[Ausnet]:[United Energy]],
MATCH(1,(Calc_NetworkV_2[[Cost item]:[Cost item]]=$D130)*(Calc_NetworkV_2[[Customer type]:[Customer type]]=$E$79),0),
MATCH(R$90,Calc_NetworkV_2[[#Headers],[Ausnet]:[United Energy]],0))*
INDEX($N$81:$N$84,MATCH(IF($D130="Single rate","Annual",$D130),$F$81:$F$84,0),1),0)</f>
        <v>0</v>
      </c>
      <c r="S130" s="143" cm="1">
        <f t="array" ref="S130">IFERROR(
INDEX(Calc_NetworkV_2[[Ausnet]:[United Energy]],
MATCH(1,(Calc_NetworkV_2[[Cost item]:[Cost item]]=$D130)*(Calc_NetworkV_2[[Customer type]:[Customer type]]=$E$79),0),
MATCH(S$90,Calc_NetworkV_2[[#Headers],[Ausnet]:[United Energy]],0))*
INDEX($N$81:$N$84,MATCH(IF($D130="Single rate","Annual",$D130),$F$81:$F$84,0),1),0)</f>
        <v>0</v>
      </c>
      <c r="U130" s="143">
        <f t="shared" si="231"/>
        <v>0</v>
      </c>
      <c r="V130" s="143">
        <f t="shared" si="231"/>
        <v>0</v>
      </c>
      <c r="W130" s="143">
        <f t="shared" si="231"/>
        <v>0</v>
      </c>
      <c r="X130" s="143">
        <f t="shared" si="231"/>
        <v>0</v>
      </c>
      <c r="Y130" s="143">
        <f t="shared" si="231"/>
        <v>0</v>
      </c>
      <c r="Z130" s="143">
        <f t="shared" si="231"/>
        <v>0</v>
      </c>
      <c r="AB130" s="222">
        <f>IFERROR(U130/G$92,"-")</f>
        <v>0</v>
      </c>
      <c r="AC130" s="222">
        <f t="shared" si="232"/>
        <v>0</v>
      </c>
      <c r="AD130" s="222">
        <f t="shared" si="232"/>
        <v>0</v>
      </c>
      <c r="AE130" s="222">
        <f t="shared" si="232"/>
        <v>0</v>
      </c>
      <c r="AF130" s="222">
        <f t="shared" si="232"/>
        <v>0</v>
      </c>
      <c r="AG130" s="222">
        <f t="shared" si="232"/>
        <v>0</v>
      </c>
      <c r="AI130" s="242"/>
    </row>
    <row r="131" spans="3:35" outlineLevel="1" x14ac:dyDescent="0.25">
      <c r="D131" s="60" t="s">
        <v>508</v>
      </c>
      <c r="E131" s="60" t="s">
        <v>139</v>
      </c>
      <c r="G131" s="143">
        <f t="shared" si="233"/>
        <v>1490.52</v>
      </c>
      <c r="H131" s="143" cm="1">
        <f t="array" ref="H131">IFERROR(
INDEX(Calc_NetworkV_1[[Ausnet]:[United Energy]],
MATCH(1,(Calc_NetworkV_1[[Cost item]:[Cost item]]=$D131)*(Calc_NetworkV_1[[Customer type]:[Customer type]]=$E$79),0),
MATCH(H$90,Calc_NetworkV_1[[#Headers],[Ausnet]:[United Energy]],0))*
INDEX($G$81:$G$84,MATCH(IF($D131="Single rate","Annual",$D131),$F$81:$F$84,0),1),0)</f>
        <v>0</v>
      </c>
      <c r="I131" s="143" cm="1">
        <f t="array" ref="I131">IFERROR(
INDEX(Calc_NetworkV_1[[Ausnet]:[United Energy]],
MATCH(1,(Calc_NetworkV_1[[Cost item]:[Cost item]]=$D131)*(Calc_NetworkV_1[[Customer type]:[Customer type]]=$E$79),0),
MATCH(I$90,Calc_NetworkV_1[[#Headers],[Ausnet]:[United Energy]],0))*
INDEX($G$81:$G$84,MATCH(IF($D131="Single rate","Annual",$D131),$F$81:$F$84,0),1),0)</f>
        <v>1642.0000000000002</v>
      </c>
      <c r="J131" s="143" cm="1">
        <f t="array" ref="J131">IFERROR(
INDEX(Calc_NetworkV_1[[Ausnet]:[United Energy]],
MATCH(1,(Calc_NetworkV_1[[Cost item]:[Cost item]]=$D131)*(Calc_NetworkV_1[[Customer type]:[Customer type]]=$E$79),0),
MATCH(J$90,Calc_NetworkV_1[[#Headers],[Ausnet]:[United Energy]],0))*
INDEX($G$81:$G$84,MATCH(IF($D131="Single rate","Annual",$D131),$F$81:$F$84,0),1),0)</f>
        <v>2194.6000000000004</v>
      </c>
      <c r="K131" s="143" cm="1">
        <f t="array" ref="K131">IFERROR(
INDEX(Calc_NetworkV_1[[Ausnet]:[United Energy]],
MATCH(1,(Calc_NetworkV_1[[Cost item]:[Cost item]]=$D131)*(Calc_NetworkV_1[[Customer type]:[Customer type]]=$E$79),0),
MATCH(K$90,Calc_NetworkV_1[[#Headers],[Ausnet]:[United Energy]],0))*
INDEX($G$81:$G$84,MATCH(IF($D131="Single rate","Annual",$D131),$F$81:$F$84,0),1),0)</f>
        <v>1858</v>
      </c>
      <c r="L131" s="143" cm="1">
        <f t="array" ref="L131">IFERROR(
INDEX(Calc_NetworkV_1[[Ausnet]:[United Energy]],
MATCH(1,(Calc_NetworkV_1[[Cost item]:[Cost item]]=$D131)*(Calc_NetworkV_1[[Customer type]:[Customer type]]=$E$79),0),
MATCH(L$90,Calc_NetworkV_1[[#Headers],[Ausnet]:[United Energy]],0))*
INDEX($G$81:$G$84,MATCH(IF($D131="Single rate","Annual",$D131),$F$81:$F$84,0),1),0)</f>
        <v>1757.9999999999998</v>
      </c>
      <c r="N131" s="143">
        <f t="shared" si="234"/>
        <v>1490.52</v>
      </c>
      <c r="O131" s="143" cm="1">
        <f t="array" ref="O131">IFERROR(
INDEX(Calc_NetworkV_2[[Ausnet]:[United Energy]],
MATCH(1,(Calc_NetworkV_2[[Cost item]:[Cost item]]=$D131)*(Calc_NetworkV_2[[Customer type]:[Customer type]]=$E$79),0),
MATCH(O$90,Calc_NetworkV_2[[#Headers],[Ausnet]:[United Energy]],0))*
INDEX($N$81:$N$84,MATCH(IF($D131="Single rate","Annual",$D131),$F$81:$F$84,0),1),0)</f>
        <v>0</v>
      </c>
      <c r="P131" s="143" cm="1">
        <f t="array" ref="P131">IFERROR(
INDEX(Calc_NetworkV_2[[Ausnet]:[United Energy]],
MATCH(1,(Calc_NetworkV_2[[Cost item]:[Cost item]]=$D131)*(Calc_NetworkV_2[[Customer type]:[Customer type]]=$E$79),0),
MATCH(P$90,Calc_NetworkV_2[[#Headers],[Ausnet]:[United Energy]],0))*
INDEX($N$81:$N$84,MATCH(IF($D131="Single rate","Annual",$D131),$F$81:$F$84,0),1),0)</f>
        <v>1642.0000000000002</v>
      </c>
      <c r="Q131" s="143" cm="1">
        <f t="array" ref="Q131">IFERROR(
INDEX(Calc_NetworkV_2[[Ausnet]:[United Energy]],
MATCH(1,(Calc_NetworkV_2[[Cost item]:[Cost item]]=$D131)*(Calc_NetworkV_2[[Customer type]:[Customer type]]=$E$79),0),
MATCH(Q$90,Calc_NetworkV_2[[#Headers],[Ausnet]:[United Energy]],0))*
INDEX($N$81:$N$84,MATCH(IF($D131="Single rate","Annual",$D131),$F$81:$F$84,0),1),0)</f>
        <v>2194.6000000000004</v>
      </c>
      <c r="R131" s="143" cm="1">
        <f t="array" ref="R131">IFERROR(
INDEX(Calc_NetworkV_2[[Ausnet]:[United Energy]],
MATCH(1,(Calc_NetworkV_2[[Cost item]:[Cost item]]=$D131)*(Calc_NetworkV_2[[Customer type]:[Customer type]]=$E$79),0),
MATCH(R$90,Calc_NetworkV_2[[#Headers],[Ausnet]:[United Energy]],0))*
INDEX($N$81:$N$84,MATCH(IF($D131="Single rate","Annual",$D131),$F$81:$F$84,0),1),0)</f>
        <v>1858</v>
      </c>
      <c r="S131" s="143" cm="1">
        <f t="array" ref="S131">IFERROR(
INDEX(Calc_NetworkV_2[[Ausnet]:[United Energy]],
MATCH(1,(Calc_NetworkV_2[[Cost item]:[Cost item]]=$D131)*(Calc_NetworkV_2[[Customer type]:[Customer type]]=$E$79),0),
MATCH(S$90,Calc_NetworkV_2[[#Headers],[Ausnet]:[United Energy]],0))*
INDEX($N$81:$N$84,MATCH(IF($D131="Single rate","Annual",$D131),$F$81:$F$84,0),1),0)</f>
        <v>1757.9999999999998</v>
      </c>
      <c r="U131" s="143">
        <f t="shared" si="231"/>
        <v>0</v>
      </c>
      <c r="V131" s="143">
        <f t="shared" si="231"/>
        <v>0</v>
      </c>
      <c r="W131" s="143">
        <f t="shared" si="231"/>
        <v>0</v>
      </c>
      <c r="X131" s="143">
        <f t="shared" si="231"/>
        <v>0</v>
      </c>
      <c r="Y131" s="143">
        <f t="shared" si="231"/>
        <v>0</v>
      </c>
      <c r="Z131" s="143">
        <f t="shared" si="231"/>
        <v>0</v>
      </c>
      <c r="AB131" s="222">
        <f>IFERROR(U131/G$92,"-")</f>
        <v>0</v>
      </c>
      <c r="AC131" s="222">
        <f t="shared" si="232"/>
        <v>0</v>
      </c>
      <c r="AD131" s="222">
        <f t="shared" si="232"/>
        <v>0</v>
      </c>
      <c r="AE131" s="222">
        <f t="shared" si="232"/>
        <v>0</v>
      </c>
      <c r="AF131" s="222">
        <f t="shared" si="232"/>
        <v>0</v>
      </c>
      <c r="AG131" s="222">
        <f t="shared" si="232"/>
        <v>0</v>
      </c>
      <c r="AI131" s="242"/>
    </row>
    <row r="132" spans="3:35" outlineLevel="1" x14ac:dyDescent="0.25">
      <c r="AB132" s="124"/>
      <c r="AC132" s="124"/>
      <c r="AD132" s="124"/>
      <c r="AE132" s="124"/>
      <c r="AF132" s="124"/>
      <c r="AG132" s="124"/>
      <c r="AI132" s="242"/>
    </row>
    <row r="133" spans="3:35" outlineLevel="1" x14ac:dyDescent="0.25">
      <c r="C133" t="s">
        <v>293</v>
      </c>
      <c r="D133" s="60" t="s">
        <v>759</v>
      </c>
      <c r="E133" s="60" t="s">
        <v>139</v>
      </c>
      <c r="G133" s="143">
        <f>AVERAGE(H133:L133)</f>
        <v>92.669841528319964</v>
      </c>
      <c r="H133" s="143">
        <f>(H$143)*
((INDEX(Input_ForRateCalc[[F-CurrentVDO_InputDate]:[F-NextVDO_Input]],MATCH("Distribution loss factor - "&amp;H$90,Input_ForRateCalc[[Cost item]:[Cost item]],0),MATCH($G$89,Inputs!$H$8:$Q$8,0))*
INDEX(Input_ForRateCalc[[F-CurrentVDO_InputDate]:[F-NextVDO_Input]],MATCH("Marginal loss factor - "&amp;H$90,Input_ForRateCalc[[Cost item]:[Cost item]],0),MATCH($G$89,Inputs!$H$8:$Q$8,0)))-1)</f>
        <v>110.78060150699984</v>
      </c>
      <c r="I133" s="236">
        <f>(I$143)*
((INDEX(Input_ForRateCalc[[F-CurrentVDO_InputDate]:[F-NextVDO_Input]],MATCH("Distribution loss factor - "&amp;I$90,Input_ForRateCalc[[Cost item]:[Cost item]],0),MATCH($G$89,Inputs!$H$8:$Q$8,0))*
INDEX(Input_ForRateCalc[[F-CurrentVDO_InputDate]:[F-NextVDO_Input]],MATCH("Marginal loss factor - "&amp;I$90,Input_ForRateCalc[[Cost item]:[Cost item]],0),MATCH($G$89,Inputs!$H$8:$Q$8,0)))-1)</f>
        <v>83.084045178399904</v>
      </c>
      <c r="J133" s="236">
        <f>(J$143)*
((INDEX(Input_ForRateCalc[[F-CurrentVDO_InputDate]:[F-NextVDO_Input]],MATCH("Distribution loss factor - "&amp;J$90,Input_ForRateCalc[[Cost item]:[Cost item]],0),MATCH($G$89,Inputs!$H$8:$Q$8,0))*
INDEX(Input_ForRateCalc[[F-CurrentVDO_InputDate]:[F-NextVDO_Input]],MATCH("Marginal loss factor - "&amp;J$90,Input_ForRateCalc[[Cost item]:[Cost item]],0),MATCH($G$89,Inputs!$H$8:$Q$8,0)))-1)</f>
        <v>63.89789123200039</v>
      </c>
      <c r="K133" s="236">
        <f>(K$143)*
((INDEX(Input_ForRateCalc[[F-CurrentVDO_InputDate]:[F-NextVDO_Input]],MATCH("Distribution loss factor - "&amp;K$90,Input_ForRateCalc[[Cost item]:[Cost item]],0),MATCH($G$89,Inputs!$H$8:$Q$8,0))*
INDEX(Input_ForRateCalc[[F-CurrentVDO_InputDate]:[F-NextVDO_Input]],MATCH("Marginal loss factor - "&amp;K$90,Input_ForRateCalc[[Cost item]:[Cost item]],0),MATCH($G$89,Inputs!$H$8:$Q$8,0)))-1)</f>
        <v>114.32805156099946</v>
      </c>
      <c r="L133" s="236">
        <f>(L$143)*
((INDEX(Input_ForRateCalc[[F-CurrentVDO_InputDate]:[F-NextVDO_Input]],MATCH("Distribution loss factor - "&amp;L$90,Input_ForRateCalc[[Cost item]:[Cost item]],0),MATCH($G$89,Inputs!$H$8:$Q$8,0))*
INDEX(Input_ForRateCalc[[F-CurrentVDO_InputDate]:[F-NextVDO_Input]],MATCH("Marginal loss factor - "&amp;L$90,Input_ForRateCalc[[Cost item]:[Cost item]],0),MATCH($G$89,Inputs!$H$8:$Q$8,0)))-1)</f>
        <v>91.258618163200268</v>
      </c>
      <c r="N133" s="143">
        <f>AVERAGE(O133:S133)</f>
        <v>73.195915823632575</v>
      </c>
      <c r="O133" s="236">
        <f>(O$143)*
((INDEX(Input_ForRateCalc[[F-CurrentVDO_InputDate]:[F-NextVDO_Input]],MATCH("Distribution loss factor - "&amp;O$90,Input_ForRateCalc[[Cost item]:[Cost item]],0),MATCH($N$89,Inputs!$H$8:$Q$8,0))*
INDEX(Input_ForRateCalc[[F-CurrentVDO_InputDate]:[F-NextVDO_Input]],MATCH("Marginal loss factor - "&amp;O$90,Input_ForRateCalc[[Cost item]:[Cost item]],0),MATCH($N$89,Inputs!$H$8:$Q$8,0)))-1)</f>
        <v>100.09473058935099</v>
      </c>
      <c r="P133" s="236">
        <f>(P$143)*
((INDEX(Input_ForRateCalc[[F-CurrentVDO_InputDate]:[F-NextVDO_Input]],MATCH("Distribution loss factor - "&amp;P$90,Input_ForRateCalc[[Cost item]:[Cost item]],0),MATCH($N$89,Inputs!$H$8:$Q$8,0))*
INDEX(Input_ForRateCalc[[F-CurrentVDO_InputDate]:[F-NextVDO_Input]],MATCH("Marginal loss factor - "&amp;P$90,Input_ForRateCalc[[Cost item]:[Cost item]],0),MATCH($N$89,Inputs!$H$8:$Q$8,0)))-1)</f>
        <v>61.252831000000128</v>
      </c>
      <c r="Q133" s="236">
        <f>(Q$143)*
((INDEX(Input_ForRateCalc[[F-CurrentVDO_InputDate]:[F-NextVDO_Input]],MATCH("Distribution loss factor - "&amp;Q$90,Input_ForRateCalc[[Cost item]:[Cost item]],0),MATCH($N$89,Inputs!$H$8:$Q$8,0))*
INDEX(Input_ForRateCalc[[F-CurrentVDO_InputDate]:[F-NextVDO_Input]],MATCH("Marginal loss factor - "&amp;Q$90,Input_ForRateCalc[[Cost item]:[Cost item]],0),MATCH($N$89,Inputs!$H$8:$Q$8,0)))-1)</f>
        <v>54.291113510000052</v>
      </c>
      <c r="R133" s="236">
        <f>(R$143)*
((INDEX(Input_ForRateCalc[[F-CurrentVDO_InputDate]:[F-NextVDO_Input]],MATCH("Distribution loss factor - "&amp;R$90,Input_ForRateCalc[[Cost item]:[Cost item]],0),MATCH($N$89,Inputs!$H$8:$Q$8,0))*
INDEX(Input_ForRateCalc[[F-CurrentVDO_InputDate]:[F-NextVDO_Input]],MATCH("Marginal loss factor - "&amp;R$90,Input_ForRateCalc[[Cost item]:[Cost item]],0),MATCH($N$89,Inputs!$H$8:$Q$8,0)))-1)</f>
        <v>87.592709768811702</v>
      </c>
      <c r="S133" s="236">
        <f>(S$143)*
((INDEX(Input_ForRateCalc[[F-CurrentVDO_InputDate]:[F-NextVDO_Input]],MATCH("Distribution loss factor - "&amp;S$90,Input_ForRateCalc[[Cost item]:[Cost item]],0),MATCH($N$89,Inputs!$H$8:$Q$8,0))*
INDEX(Input_ForRateCalc[[F-CurrentVDO_InputDate]:[F-NextVDO_Input]],MATCH("Marginal loss factor - "&amp;S$90,Input_ForRateCalc[[Cost item]:[Cost item]],0),MATCH($N$89,Inputs!$H$8:$Q$8,0)))-1)</f>
        <v>62.748194249999955</v>
      </c>
      <c r="U133" s="143">
        <f>IFERROR(N133-G133,"-")</f>
        <v>-19.473925704687389</v>
      </c>
      <c r="V133" s="143">
        <f t="shared" ref="V133:Z133" si="235">IFERROR(O133-H133,"-")</f>
        <v>-10.685870917648856</v>
      </c>
      <c r="W133" s="143">
        <f t="shared" si="235"/>
        <v>-21.831214178399776</v>
      </c>
      <c r="X133" s="143">
        <f t="shared" si="235"/>
        <v>-9.6067777220003379</v>
      </c>
      <c r="Y133" s="143">
        <f t="shared" si="235"/>
        <v>-26.735341792187754</v>
      </c>
      <c r="Z133" s="143">
        <f t="shared" si="235"/>
        <v>-28.510423913200313</v>
      </c>
      <c r="AB133" s="222">
        <f>IFERROR(U133/G$92,"-")</f>
        <v>-3.4248902048342224E-3</v>
      </c>
      <c r="AC133" s="222">
        <f t="shared" ref="AC133:AG133" si="236">IFERROR(V133/H$92,"-")</f>
        <v>-1.4800375232200632E-3</v>
      </c>
      <c r="AD133" s="222">
        <f t="shared" si="236"/>
        <v>-4.2974831059842079E-3</v>
      </c>
      <c r="AE133" s="222">
        <f t="shared" si="236"/>
        <v>-1.7015192564648137E-3</v>
      </c>
      <c r="AF133" s="222">
        <f t="shared" si="236"/>
        <v>-5.0587212473392155E-3</v>
      </c>
      <c r="AG133" s="222">
        <f t="shared" si="236"/>
        <v>-5.4848834000000603E-3</v>
      </c>
      <c r="AI133" s="242"/>
    </row>
    <row r="134" spans="3:35" outlineLevel="1" x14ac:dyDescent="0.25">
      <c r="C134" t="s">
        <v>293</v>
      </c>
      <c r="D134" s="60" t="s">
        <v>760</v>
      </c>
      <c r="E134" s="60" t="s">
        <v>139</v>
      </c>
      <c r="G134" s="236">
        <f t="shared" ref="G134:G135" si="237">AVERAGE(H134:L134)</f>
        <v>25.683767969819392</v>
      </c>
      <c r="H134" s="236">
        <f>(H$123+H$124+H$125)*
((INDEX(Input_ForRateCalc[[F-CurrentVDO_InputDate]:[F-NextVDO_Input]],MATCH("Distribution loss factor - "&amp;H$90,Input_ForRateCalc[[Cost item]:[Cost item]],0),MATCH($G$89,Inputs!$H$8:$Q$8,0))*
INDEX(Input_ForRateCalc[[F-CurrentVDO_InputDate]:[F-NextVDO_Input]],MATCH("Marginal loss factor - "&amp;H$90,Input_ForRateCalc[[Cost item]:[Cost item]],0),MATCH($G$89,Inputs!$H$8:$Q$8,0)))-1)</f>
        <v>31.104697475706974</v>
      </c>
      <c r="I134" s="236">
        <f>(I$123+I$124+I$125)*
((INDEX(Input_ForRateCalc[[F-CurrentVDO_InputDate]:[F-NextVDO_Input]],MATCH("Distribution loss factor - "&amp;I$90,Input_ForRateCalc[[Cost item]:[Cost item]],0),MATCH($G$89,Inputs!$H$8:$Q$8,0))*
INDEX(Input_ForRateCalc[[F-CurrentVDO_InputDate]:[F-NextVDO_Input]],MATCH("Marginal loss factor - "&amp;I$90,Input_ForRateCalc[[Cost item]:[Cost item]],0),MATCH($G$89,Inputs!$H$8:$Q$8,0)))-1)</f>
        <v>22.547613056191739</v>
      </c>
      <c r="J134" s="236">
        <f>(J$123+J$124+J$125)*
((INDEX(Input_ForRateCalc[[F-CurrentVDO_InputDate]:[F-NextVDO_Input]],MATCH("Distribution loss factor - "&amp;J$90,Input_ForRateCalc[[Cost item]:[Cost item]],0),MATCH($G$89,Inputs!$H$8:$Q$8,0))*
INDEX(Input_ForRateCalc[[F-CurrentVDO_InputDate]:[F-NextVDO_Input]],MATCH("Marginal loss factor - "&amp;J$90,Input_ForRateCalc[[Cost item]:[Cost item]],0),MATCH($G$89,Inputs!$H$8:$Q$8,0)))-1)</f>
        <v>17.465449889930344</v>
      </c>
      <c r="K134" s="236">
        <f>(K$123+K$124+K$125)*
((INDEX(Input_ForRateCalc[[F-CurrentVDO_InputDate]:[F-NextVDO_Input]],MATCH("Distribution loss factor - "&amp;K$90,Input_ForRateCalc[[Cost item]:[Cost item]],0),MATCH($G$89,Inputs!$H$8:$Q$8,0))*
INDEX(Input_ForRateCalc[[F-CurrentVDO_InputDate]:[F-NextVDO_Input]],MATCH("Marginal loss factor - "&amp;K$90,Input_ForRateCalc[[Cost item]:[Cost item]],0),MATCH($G$89,Inputs!$H$8:$Q$8,0)))-1)</f>
        <v>32.978901593652957</v>
      </c>
      <c r="L134" s="236">
        <f>(L$123+L$124+L$125)*
((INDEX(Input_ForRateCalc[[F-CurrentVDO_InputDate]:[F-NextVDO_Input]],MATCH("Distribution loss factor - "&amp;L$90,Input_ForRateCalc[[Cost item]:[Cost item]],0),MATCH($G$89,Inputs!$H$8:$Q$8,0))*
INDEX(Input_ForRateCalc[[F-CurrentVDO_InputDate]:[F-NextVDO_Input]],MATCH("Marginal loss factor - "&amp;L$90,Input_ForRateCalc[[Cost item]:[Cost item]],0),MATCH($G$89,Inputs!$H$8:$Q$8,0)))-1)</f>
        <v>24.322177833614937</v>
      </c>
      <c r="N134" s="236">
        <f>AVERAGE(O134:S134)</f>
        <v>30.574581962514646</v>
      </c>
      <c r="O134" s="236">
        <f>(O$123+O$124+O$125)*
((INDEX(Input_ForRateCalc[[F-CurrentVDO_InputDate]:[F-NextVDO_Input]],MATCH("Distribution loss factor - "&amp;O$90,Input_ForRateCalc[[Cost item]:[Cost item]],0),MATCH($N$89,Inputs!$H$8:$Q$8,0))*
INDEX(Input_ForRateCalc[[F-CurrentVDO_InputDate]:[F-NextVDO_Input]],MATCH("Marginal loss factor - "&amp;O$90,Input_ForRateCalc[[Cost item]:[Cost item]],0),MATCH($N$89,Inputs!$H$8:$Q$8,0)))-1)</f>
        <v>42.030658297327371</v>
      </c>
      <c r="P134" s="236">
        <f>(P$123+P$124+P$125)*
((INDEX(Input_ForRateCalc[[F-CurrentVDO_InputDate]:[F-NextVDO_Input]],MATCH("Distribution loss factor - "&amp;P$90,Input_ForRateCalc[[Cost item]:[Cost item]],0),MATCH($N$89,Inputs!$H$8:$Q$8,0))*
INDEX(Input_ForRateCalc[[F-CurrentVDO_InputDate]:[F-NextVDO_Input]],MATCH("Marginal loss factor - "&amp;P$90,Input_ForRateCalc[[Cost item]:[Cost item]],0),MATCH($N$89,Inputs!$H$8:$Q$8,0)))-1)</f>
        <v>25.271264567245311</v>
      </c>
      <c r="Q134" s="236">
        <f>(Q$123+Q$124+Q$125)*
((INDEX(Input_ForRateCalc[[F-CurrentVDO_InputDate]:[F-NextVDO_Input]],MATCH("Distribution loss factor - "&amp;Q$90,Input_ForRateCalc[[Cost item]:[Cost item]],0),MATCH($N$89,Inputs!$H$8:$Q$8,0))*
INDEX(Input_ForRateCalc[[F-CurrentVDO_InputDate]:[F-NextVDO_Input]],MATCH("Marginal loss factor - "&amp;Q$90,Input_ForRateCalc[[Cost item]:[Cost item]],0),MATCH($N$89,Inputs!$H$8:$Q$8,0)))-1)</f>
        <v>22.374617611999977</v>
      </c>
      <c r="R134" s="236">
        <f>(R$123+R$124+R$125)*
((INDEX(Input_ForRateCalc[[F-CurrentVDO_InputDate]:[F-NextVDO_Input]],MATCH("Distribution loss factor - "&amp;R$90,Input_ForRateCalc[[Cost item]:[Cost item]],0),MATCH($N$89,Inputs!$H$8:$Q$8,0))*
INDEX(Input_ForRateCalc[[F-CurrentVDO_InputDate]:[F-NextVDO_Input]],MATCH("Marginal loss factor - "&amp;R$90,Input_ForRateCalc[[Cost item]:[Cost item]],0),MATCH($N$89,Inputs!$H$8:$Q$8,0)))-1)</f>
        <v>37.838184276197779</v>
      </c>
      <c r="S134" s="236">
        <f>(S$123+S$124+S$125)*
((INDEX(Input_ForRateCalc[[F-CurrentVDO_InputDate]:[F-NextVDO_Input]],MATCH("Distribution loss factor - "&amp;S$90,Input_ForRateCalc[[Cost item]:[Cost item]],0),MATCH($N$89,Inputs!$H$8:$Q$8,0))*
INDEX(Input_ForRateCalc[[F-CurrentVDO_InputDate]:[F-NextVDO_Input]],MATCH("Marginal loss factor - "&amp;S$90,Input_ForRateCalc[[Cost item]:[Cost item]],0),MATCH($N$89,Inputs!$H$8:$Q$8,0)))-1)</f>
        <v>25.3581850598028</v>
      </c>
      <c r="U134" s="236">
        <f t="shared" ref="U134:U135" si="238">IFERROR(N134-G134,"-")</f>
        <v>4.8908139926952536</v>
      </c>
      <c r="V134" s="236">
        <f t="shared" ref="V134:V135" si="239">IFERROR(O134-H134,"-")</f>
        <v>10.925960821620397</v>
      </c>
      <c r="W134" s="236">
        <f t="shared" ref="W134:W135" si="240">IFERROR(P134-I134,"-")</f>
        <v>2.7236515110535713</v>
      </c>
      <c r="X134" s="236">
        <f t="shared" ref="X134:X135" si="241">IFERROR(Q134-J134,"-")</f>
        <v>4.9091677220696326</v>
      </c>
      <c r="Y134" s="236">
        <f t="shared" ref="Y134:Y135" si="242">IFERROR(R134-K134,"-")</f>
        <v>4.8592826825448228</v>
      </c>
      <c r="Z134" s="236">
        <f t="shared" ref="Z134:Z135" si="243">IFERROR(S134-L134,"-")</f>
        <v>1.0360072261878628</v>
      </c>
      <c r="AB134" s="222">
        <f t="shared" ref="AB134:AB135" si="244">IFERROR(U134/G$92,"-")</f>
        <v>8.6015019217292531E-4</v>
      </c>
      <c r="AC134" s="222">
        <f t="shared" ref="AC134:AC135" si="245">IFERROR(V134/H$92,"-")</f>
        <v>1.5132909725236005E-3</v>
      </c>
      <c r="AD134" s="222">
        <f t="shared" ref="AD134:AD135" si="246">IFERROR(W134/I$92,"-")</f>
        <v>5.3615187225464005E-4</v>
      </c>
      <c r="AE134" s="222">
        <f t="shared" ref="AE134:AE135" si="247">IFERROR(X134/J$92,"-")</f>
        <v>8.6949481439419635E-4</v>
      </c>
      <c r="AF134" s="222">
        <f t="shared" ref="AF134:AF135" si="248">IFERROR(Y134/K$92,"-")</f>
        <v>9.1944800048151805E-4</v>
      </c>
      <c r="AG134" s="222">
        <f t="shared" ref="AG134:AG135" si="249">IFERROR(Z134/L$92,"-")</f>
        <v>1.9930881611925023E-4</v>
      </c>
      <c r="AI134" s="242"/>
    </row>
    <row r="135" spans="3:35" outlineLevel="1" x14ac:dyDescent="0.25">
      <c r="C135" t="s">
        <v>293</v>
      </c>
      <c r="D135" s="60" t="s">
        <v>761</v>
      </c>
      <c r="E135" s="60" t="s">
        <v>139</v>
      </c>
      <c r="G135" s="236">
        <f t="shared" si="237"/>
        <v>0.81275275382597023</v>
      </c>
      <c r="H135" s="236">
        <f>(H$137+H$138+H$141)*
((INDEX(Input_ForRateCalc[[F-CurrentVDO_InputDate]:[F-NextVDO_Input]],MATCH("Distribution loss factor - "&amp;H$90,Input_ForRateCalc[[Cost item]:[Cost item]],0),MATCH($G$89,Inputs!$H$8:$Q$8,0))*
INDEX(Input_ForRateCalc[[F-CurrentVDO_InputDate]:[F-NextVDO_Input]],MATCH("Marginal loss factor - "&amp;H$90,Input_ForRateCalc[[Cost item]:[Cost item]],0),MATCH($G$89,Inputs!$H$8:$Q$8,0)))-1)</f>
        <v>0.98429593975507013</v>
      </c>
      <c r="I135" s="236">
        <f>(I$137+I$138+I$141)*
((INDEX(Input_ForRateCalc[[F-CurrentVDO_InputDate]:[F-NextVDO_Input]],MATCH("Distribution loss factor - "&amp;I$90,Input_ForRateCalc[[Cost item]:[Cost item]],0),MATCH($G$89,Inputs!$H$8:$Q$8,0))*
INDEX(Input_ForRateCalc[[F-CurrentVDO_InputDate]:[F-NextVDO_Input]],MATCH("Marginal loss factor - "&amp;I$90,Input_ForRateCalc[[Cost item]:[Cost item]],0),MATCH($G$89,Inputs!$H$8:$Q$8,0)))-1)</f>
        <v>0.71351036285471869</v>
      </c>
      <c r="J135" s="236">
        <f>(J$137+J$138+J$141)*
((INDEX(Input_ForRateCalc[[F-CurrentVDO_InputDate]:[F-NextVDO_Input]],MATCH("Distribution loss factor - "&amp;J$90,Input_ForRateCalc[[Cost item]:[Cost item]],0),MATCH($G$89,Inputs!$H$8:$Q$8,0))*
INDEX(Input_ForRateCalc[[F-CurrentVDO_InputDate]:[F-NextVDO_Input]],MATCH("Marginal loss factor - "&amp;J$90,Input_ForRateCalc[[Cost item]:[Cost item]],0),MATCH($G$89,Inputs!$H$8:$Q$8,0)))-1)</f>
        <v>0.55268730474168792</v>
      </c>
      <c r="K135" s="236">
        <f>(K$137+K$138+K$141)*
((INDEX(Input_ForRateCalc[[F-CurrentVDO_InputDate]:[F-NextVDO_Input]],MATCH("Distribution loss factor - "&amp;K$90,Input_ForRateCalc[[Cost item]:[Cost item]],0),MATCH($G$89,Inputs!$H$8:$Q$8,0))*
INDEX(Input_ForRateCalc[[F-CurrentVDO_InputDate]:[F-NextVDO_Input]],MATCH("Marginal loss factor - "&amp;K$90,Input_ForRateCalc[[Cost item]:[Cost item]],0),MATCH($G$89,Inputs!$H$8:$Q$8,0)))-1)</f>
        <v>1.0436043932453265</v>
      </c>
      <c r="L135" s="236">
        <f>(L$137+L$138+L$141)*
((INDEX(Input_ForRateCalc[[F-CurrentVDO_InputDate]:[F-NextVDO_Input]],MATCH("Distribution loss factor - "&amp;L$90,Input_ForRateCalc[[Cost item]:[Cost item]],0),MATCH($G$89,Inputs!$H$8:$Q$8,0))*
INDEX(Input_ForRateCalc[[F-CurrentVDO_InputDate]:[F-NextVDO_Input]],MATCH("Marginal loss factor - "&amp;L$90,Input_ForRateCalc[[Cost item]:[Cost item]],0),MATCH($G$89,Inputs!$H$8:$Q$8,0)))-1)</f>
        <v>0.76966576853304747</v>
      </c>
      <c r="N135" s="236">
        <f>AVERAGE(O135:S135)</f>
        <v>1.0119988616008673</v>
      </c>
      <c r="O135" s="236">
        <f>(O$137+O$138+O139+O140+O$141)*
((INDEX(Input_ForRateCalc[[F-CurrentVDO_InputDate]:[F-NextVDO_Input]],MATCH("Distribution loss factor - "&amp;O$90,Input_ForRateCalc[[Cost item]:[Cost item]],0),MATCH($N$89,Inputs!$H$8:$Q$8,0))*
INDEX(Input_ForRateCalc[[F-CurrentVDO_InputDate]:[F-NextVDO_Input]],MATCH("Marginal loss factor - "&amp;O$90,Input_ForRateCalc[[Cost item]:[Cost item]],0),MATCH($N$89,Inputs!$H$8:$Q$8,0)))-1)</f>
        <v>1.3911875688563624</v>
      </c>
      <c r="P135" s="236">
        <f>(P$137+P$138+P139+P140+P$141)*
((INDEX(Input_ForRateCalc[[F-CurrentVDO_InputDate]:[F-NextVDO_Input]],MATCH("Distribution loss factor - "&amp;P$90,Input_ForRateCalc[[Cost item]:[Cost item]],0),MATCH($N$89,Inputs!$H$8:$Q$8,0))*
INDEX(Input_ForRateCalc[[F-CurrentVDO_InputDate]:[F-NextVDO_Input]],MATCH("Marginal loss factor - "&amp;P$90,Input_ForRateCalc[[Cost item]:[Cost item]],0),MATCH($N$89,Inputs!$H$8:$Q$8,0)))-1)</f>
        <v>0.83646249046419263</v>
      </c>
      <c r="Q135" s="236">
        <f>(Q$137+Q$138+Q139+Q140+Q$141)*
((INDEX(Input_ForRateCalc[[F-CurrentVDO_InputDate]:[F-NextVDO_Input]],MATCH("Distribution loss factor - "&amp;Q$90,Input_ForRateCalc[[Cost item]:[Cost item]],0),MATCH($N$89,Inputs!$H$8:$Q$8,0))*
INDEX(Input_ForRateCalc[[F-CurrentVDO_InputDate]:[F-NextVDO_Input]],MATCH("Marginal loss factor - "&amp;Q$90,Input_ForRateCalc[[Cost item]:[Cost item]],0),MATCH($N$89,Inputs!$H$8:$Q$8,0)))-1)</f>
        <v>0.74058535223342681</v>
      </c>
      <c r="R135" s="236">
        <f>(R$137+R$138+R139+R140+R$141)*
((INDEX(Input_ForRateCalc[[F-CurrentVDO_InputDate]:[F-NextVDO_Input]],MATCH("Distribution loss factor - "&amp;R$90,Input_ForRateCalc[[Cost item]:[Cost item]],0),MATCH($N$89,Inputs!$H$8:$Q$8,0))*
INDEX(Input_ForRateCalc[[F-CurrentVDO_InputDate]:[F-NextVDO_Input]],MATCH("Marginal loss factor - "&amp;R$90,Input_ForRateCalc[[Cost item]:[Cost item]],0),MATCH($N$89,Inputs!$H$8:$Q$8,0)))-1)</f>
        <v>1.2524193939757988</v>
      </c>
      <c r="S135" s="236">
        <f>(S$137+S$138+S139+S140+S$141)*
((INDEX(Input_ForRateCalc[[F-CurrentVDO_InputDate]:[F-NextVDO_Input]],MATCH("Distribution loss factor - "&amp;S$90,Input_ForRateCalc[[Cost item]:[Cost item]],0),MATCH($N$89,Inputs!$H$8:$Q$8,0))*
INDEX(Input_ForRateCalc[[F-CurrentVDO_InputDate]:[F-NextVDO_Input]],MATCH("Marginal loss factor - "&amp;S$90,Input_ForRateCalc[[Cost item]:[Cost item]],0),MATCH($N$89,Inputs!$H$8:$Q$8,0)))-1)</f>
        <v>0.83933950247455502</v>
      </c>
      <c r="U135" s="236">
        <f t="shared" si="238"/>
        <v>0.19924610777489704</v>
      </c>
      <c r="V135" s="236">
        <f t="shared" si="239"/>
        <v>0.40689162910129228</v>
      </c>
      <c r="W135" s="236">
        <f t="shared" si="240"/>
        <v>0.12295212760947394</v>
      </c>
      <c r="X135" s="236">
        <f t="shared" si="241"/>
        <v>0.18789804749173888</v>
      </c>
      <c r="Y135" s="236">
        <f t="shared" si="242"/>
        <v>0.20881500073047232</v>
      </c>
      <c r="Z135" s="236">
        <f t="shared" si="243"/>
        <v>6.9673733941507554E-2</v>
      </c>
      <c r="AB135" s="222">
        <f t="shared" si="244"/>
        <v>3.5041524406418753E-5</v>
      </c>
      <c r="AC135" s="222">
        <f t="shared" si="245"/>
        <v>5.6356181315968459E-5</v>
      </c>
      <c r="AD135" s="222">
        <f t="shared" si="246"/>
        <v>2.4203174726274399E-5</v>
      </c>
      <c r="AE135" s="222">
        <f t="shared" si="247"/>
        <v>3.3279852549015032E-5</v>
      </c>
      <c r="AF135" s="222">
        <f t="shared" si="248"/>
        <v>3.9510879986844338E-5</v>
      </c>
      <c r="AG135" s="222">
        <f t="shared" si="249"/>
        <v>1.3403950354272327E-5</v>
      </c>
      <c r="AI135" s="242"/>
    </row>
    <row r="136" spans="3:35" outlineLevel="1" x14ac:dyDescent="0.25">
      <c r="AB136" s="124"/>
      <c r="AC136" s="124"/>
      <c r="AD136" s="124"/>
      <c r="AE136" s="124"/>
      <c r="AF136" s="124"/>
      <c r="AG136" s="124"/>
      <c r="AI136" s="242"/>
    </row>
    <row r="137" spans="3:35" outlineLevel="1" x14ac:dyDescent="0.25">
      <c r="C137" t="s">
        <v>282</v>
      </c>
      <c r="D137" s="60" t="s">
        <v>169</v>
      </c>
      <c r="E137" s="60" t="s">
        <v>139</v>
      </c>
      <c r="G137" s="143">
        <f>IFERROR(AVERAGE(H137:L137),"-")</f>
        <v>7.4758041958041961</v>
      </c>
      <c r="H137" s="143">
        <f>IFERROR(INDEX(Calc_OtherCosts_1[[Ausnet]:[United Energy]],MATCH($D137,Calc_OtherCosts_1[Cost item],0),MATCH(H$90,Calc_OtherCosts_1[[#Headers],[Ausnet]:[United Energy]],0))*$G$81,"-")</f>
        <v>7.4758041958041952</v>
      </c>
      <c r="I137" s="143">
        <f>IFERROR(INDEX(Calc_OtherCosts_1[[Ausnet]:[United Energy]],MATCH($D137,Calc_OtherCosts_1[Cost item],0),MATCH(I$90,Calc_OtherCosts_1[[#Headers],[Ausnet]:[United Energy]],0))*$G$81,"-")</f>
        <v>7.4758041958041952</v>
      </c>
      <c r="J137" s="143">
        <f>IFERROR(INDEX(Calc_OtherCosts_1[[Ausnet]:[United Energy]],MATCH($D137,Calc_OtherCosts_1[Cost item],0),MATCH(J$90,Calc_OtherCosts_1[[#Headers],[Ausnet]:[United Energy]],0))*$G$81,"-")</f>
        <v>7.4758041958041952</v>
      </c>
      <c r="K137" s="143">
        <f>IFERROR(INDEX(Calc_OtherCosts_1[[Ausnet]:[United Energy]],MATCH($D137,Calc_OtherCosts_1[Cost item],0),MATCH(K$90,Calc_OtherCosts_1[[#Headers],[Ausnet]:[United Energy]],0))*$G$81,"-")</f>
        <v>7.4758041958041952</v>
      </c>
      <c r="L137" s="143">
        <f>IFERROR(INDEX(Calc_OtherCosts_1[[Ausnet]:[United Energy]],MATCH($D137,Calc_OtherCosts_1[Cost item],0),MATCH(L$90,Calc_OtherCosts_1[[#Headers],[Ausnet]:[United Energy]],0))*$G$81,"-")</f>
        <v>7.4758041958041952</v>
      </c>
      <c r="N137" s="143">
        <f t="shared" ref="N137" si="250">AVERAGE(O137:S137)</f>
        <v>8.0004000000000008</v>
      </c>
      <c r="O137" s="143">
        <f>INDEX(Calc_OtherCosts_2[[Ausnet]:[United Energy]],MATCH($D137,Calc_OtherCosts_2[Cost item],0),MATCH(O$90,Calc_OtherCosts_2[[#Headers],[Ausnet]:[United Energy]],0))*$N$81</f>
        <v>8.0004000000000008</v>
      </c>
      <c r="P137" s="143">
        <f>INDEX(Calc_OtherCosts_2[[Ausnet]:[United Energy]],MATCH($D137,Calc_OtherCosts_2[Cost item],0),MATCH(P$90,Calc_OtherCosts_2[[#Headers],[Ausnet]:[United Energy]],0))*$N$81</f>
        <v>8.0004000000000008</v>
      </c>
      <c r="Q137" s="143">
        <f>INDEX(Calc_OtherCosts_2[[Ausnet]:[United Energy]],MATCH($D137,Calc_OtherCosts_2[Cost item],0),MATCH(Q$90,Calc_OtherCosts_2[[#Headers],[Ausnet]:[United Energy]],0))*$N$81</f>
        <v>8.0004000000000008</v>
      </c>
      <c r="R137" s="143">
        <f>INDEX(Calc_OtherCosts_2[[Ausnet]:[United Energy]],MATCH($D137,Calc_OtherCosts_2[Cost item],0),MATCH(R$90,Calc_OtherCosts_2[[#Headers],[Ausnet]:[United Energy]],0))*$N$81</f>
        <v>8.0004000000000008</v>
      </c>
      <c r="S137" s="143">
        <f>INDEX(Calc_OtherCosts_2[[Ausnet]:[United Energy]],MATCH($D137,Calc_OtherCosts_2[Cost item],0),MATCH(S$90,Calc_OtherCosts_2[[#Headers],[Ausnet]:[United Energy]],0))*$N$81</f>
        <v>8.0004000000000008</v>
      </c>
      <c r="U137" s="143">
        <f t="shared" ref="U137:Z141" si="251">IFERROR(N137-G137,"-")</f>
        <v>0.52459580419580476</v>
      </c>
      <c r="V137" s="143">
        <f t="shared" si="251"/>
        <v>0.52459580419580565</v>
      </c>
      <c r="W137" s="143">
        <f t="shared" si="251"/>
        <v>0.52459580419580565</v>
      </c>
      <c r="X137" s="143">
        <f t="shared" si="251"/>
        <v>0.52459580419580565</v>
      </c>
      <c r="Y137" s="143">
        <f t="shared" si="251"/>
        <v>0.52459580419580565</v>
      </c>
      <c r="Z137" s="143">
        <f t="shared" si="251"/>
        <v>0.52459580419580565</v>
      </c>
      <c r="AB137" s="222">
        <f>IFERROR(U137/G$92,"-")</f>
        <v>9.2260957473760949E-5</v>
      </c>
      <c r="AC137" s="222">
        <f t="shared" ref="AC137:AG141" si="252">IFERROR(V137/H$92,"-")</f>
        <v>7.2658698642078347E-5</v>
      </c>
      <c r="AD137" s="222">
        <f t="shared" si="252"/>
        <v>1.0326689058972553E-4</v>
      </c>
      <c r="AE137" s="222">
        <f t="shared" si="252"/>
        <v>9.2914595146263839E-5</v>
      </c>
      <c r="AF137" s="222">
        <f t="shared" si="252"/>
        <v>9.9261268532791988E-5</v>
      </c>
      <c r="AG137" s="222">
        <f t="shared" si="252"/>
        <v>1.0092262489338315E-4</v>
      </c>
      <c r="AI137" s="242"/>
    </row>
    <row r="138" spans="3:35" outlineLevel="1" x14ac:dyDescent="0.25">
      <c r="C138" t="s">
        <v>282</v>
      </c>
      <c r="D138" s="60" t="s">
        <v>171</v>
      </c>
      <c r="E138" s="60" t="s">
        <v>139</v>
      </c>
      <c r="G138" s="143">
        <f t="shared" ref="G138:G141" si="253">IFERROR(AVERAGE(H138:L138),"-")</f>
        <v>0</v>
      </c>
      <c r="H138" s="143">
        <f>IFERROR(INDEX(Calc_OtherCosts_1[[Ausnet]:[United Energy]],MATCH($D138,Calc_OtherCosts_1[Cost item],0),MATCH(H$90,Calc_OtherCosts_1[[#Headers],[Ausnet]:[United Energy]],0))*$G$81,"-")</f>
        <v>0</v>
      </c>
      <c r="I138" s="143">
        <f>IFERROR(INDEX(Calc_OtherCosts_1[[Ausnet]:[United Energy]],MATCH($D138,Calc_OtherCosts_1[Cost item],0),MATCH(I$90,Calc_OtherCosts_1[[#Headers],[Ausnet]:[United Energy]],0))*$G$81,"-")</f>
        <v>0</v>
      </c>
      <c r="J138" s="143">
        <f>IFERROR(INDEX(Calc_OtherCosts_1[[Ausnet]:[United Energy]],MATCH($D138,Calc_OtherCosts_1[Cost item],0),MATCH(J$90,Calc_OtherCosts_1[[#Headers],[Ausnet]:[United Energy]],0))*$G$81,"-")</f>
        <v>0</v>
      </c>
      <c r="K138" s="143">
        <f>IFERROR(INDEX(Calc_OtherCosts_1[[Ausnet]:[United Energy]],MATCH($D138,Calc_OtherCosts_1[Cost item],0),MATCH(K$90,Calc_OtherCosts_1[[#Headers],[Ausnet]:[United Energy]],0))*$G$81,"-")</f>
        <v>0</v>
      </c>
      <c r="L138" s="143">
        <f>IFERROR(INDEX(Calc_OtherCosts_1[[Ausnet]:[United Energy]],MATCH($D138,Calc_OtherCosts_1[Cost item],0),MATCH(L$90,Calc_OtherCosts_1[[#Headers],[Ausnet]:[United Energy]],0))*$G$81,"-")</f>
        <v>0</v>
      </c>
      <c r="N138" s="143">
        <f t="shared" ref="N138:N141" si="254">AVERAGE(O138:S138)</f>
        <v>0</v>
      </c>
      <c r="O138" s="143">
        <f>INDEX(Calc_OtherCosts_2[[Ausnet]:[United Energy]],MATCH($D138,Calc_OtherCosts_2[Cost item],0),MATCH(O$90,Calc_OtherCosts_2[[#Headers],[Ausnet]:[United Energy]],0))*$N$81</f>
        <v>0</v>
      </c>
      <c r="P138" s="143">
        <f>INDEX(Calc_OtherCosts_2[[Ausnet]:[United Energy]],MATCH($D138,Calc_OtherCosts_2[Cost item],0),MATCH(P$90,Calc_OtherCosts_2[[#Headers],[Ausnet]:[United Energy]],0))*$N$81</f>
        <v>0</v>
      </c>
      <c r="Q138" s="143">
        <f>INDEX(Calc_OtherCosts_2[[Ausnet]:[United Energy]],MATCH($D138,Calc_OtherCosts_2[Cost item],0),MATCH(Q$90,Calc_OtherCosts_2[[#Headers],[Ausnet]:[United Energy]],0))*$N$81</f>
        <v>0</v>
      </c>
      <c r="R138" s="143">
        <f>INDEX(Calc_OtherCosts_2[[Ausnet]:[United Energy]],MATCH($D138,Calc_OtherCosts_2[Cost item],0),MATCH(R$90,Calc_OtherCosts_2[[#Headers],[Ausnet]:[United Energy]],0))*$N$81</f>
        <v>0</v>
      </c>
      <c r="S138" s="143">
        <f>INDEX(Calc_OtherCosts_2[[Ausnet]:[United Energy]],MATCH($D138,Calc_OtherCosts_2[Cost item],0),MATCH(S$90,Calc_OtherCosts_2[[#Headers],[Ausnet]:[United Energy]],0))*$N$81</f>
        <v>0</v>
      </c>
      <c r="U138" s="143">
        <f t="shared" si="251"/>
        <v>0</v>
      </c>
      <c r="V138" s="143">
        <f t="shared" si="251"/>
        <v>0</v>
      </c>
      <c r="W138" s="143">
        <f t="shared" si="251"/>
        <v>0</v>
      </c>
      <c r="X138" s="143">
        <f t="shared" si="251"/>
        <v>0</v>
      </c>
      <c r="Y138" s="143">
        <f t="shared" si="251"/>
        <v>0</v>
      </c>
      <c r="Z138" s="143">
        <f t="shared" si="251"/>
        <v>0</v>
      </c>
      <c r="AB138" s="222">
        <f>IFERROR(U138/G$92,"-")</f>
        <v>0</v>
      </c>
      <c r="AC138" s="222">
        <f t="shared" si="252"/>
        <v>0</v>
      </c>
      <c r="AD138" s="222">
        <f t="shared" si="252"/>
        <v>0</v>
      </c>
      <c r="AE138" s="222">
        <f t="shared" si="252"/>
        <v>0</v>
      </c>
      <c r="AF138" s="222">
        <f t="shared" si="252"/>
        <v>0</v>
      </c>
      <c r="AG138" s="222">
        <f t="shared" si="252"/>
        <v>0</v>
      </c>
      <c r="AI138" s="242"/>
    </row>
    <row r="139" spans="3:35" outlineLevel="1" x14ac:dyDescent="0.25">
      <c r="C139" t="s">
        <v>282</v>
      </c>
      <c r="D139" s="60" t="s">
        <v>660</v>
      </c>
      <c r="E139" s="60" t="s">
        <v>139</v>
      </c>
      <c r="G139" s="143" t="str">
        <f t="shared" si="253"/>
        <v>-</v>
      </c>
      <c r="H139" s="143" t="str">
        <f>IFERROR(INDEX(Calc_OtherCosts_1[[Ausnet]:[United Energy]],MATCH($D139,Calc_OtherCosts_1[Cost item],0),MATCH(H$90,Calc_OtherCosts_1[[#Headers],[Ausnet]:[United Energy]],0))*$G$81,"-")</f>
        <v>-</v>
      </c>
      <c r="I139" s="143" t="str">
        <f>IFERROR(INDEX(Calc_OtherCosts_1[[Ausnet]:[United Energy]],MATCH($D139,Calc_OtherCosts_1[Cost item],0),MATCH(I$90,Calc_OtherCosts_1[[#Headers],[Ausnet]:[United Energy]],0))*$G$81,"-")</f>
        <v>-</v>
      </c>
      <c r="J139" s="143" t="str">
        <f>IFERROR(INDEX(Calc_OtherCosts_1[[Ausnet]:[United Energy]],MATCH($D139,Calc_OtherCosts_1[Cost item],0),MATCH(J$90,Calc_OtherCosts_1[[#Headers],[Ausnet]:[United Energy]],0))*$G$81,"-")</f>
        <v>-</v>
      </c>
      <c r="K139" s="143" t="str">
        <f>IFERROR(INDEX(Calc_OtherCosts_1[[Ausnet]:[United Energy]],MATCH($D139,Calc_OtherCosts_1[Cost item],0),MATCH(K$90,Calc_OtherCosts_1[[#Headers],[Ausnet]:[United Energy]],0))*$G$81,"-")</f>
        <v>-</v>
      </c>
      <c r="L139" s="143" t="str">
        <f>IFERROR(INDEX(Calc_OtherCosts_1[[Ausnet]:[United Energy]],MATCH($D139,Calc_OtherCosts_1[Cost item],0),MATCH(L$90,Calc_OtherCosts_1[[#Headers],[Ausnet]:[United Energy]],0))*$G$81,"-")</f>
        <v>-</v>
      </c>
      <c r="N139" s="143">
        <f t="shared" si="254"/>
        <v>2.4649999999999999</v>
      </c>
      <c r="O139" s="143">
        <f>INDEX(Calc_OtherCosts_2[[Ausnet]:[United Energy]],MATCH($D139,Calc_OtherCosts_2[Cost item],0),MATCH(O$90,Calc_OtherCosts_2[[#Headers],[Ausnet]:[United Energy]],0))*$N$81</f>
        <v>2.4649999999999999</v>
      </c>
      <c r="P139" s="143">
        <f>INDEX(Calc_OtherCosts_2[[Ausnet]:[United Energy]],MATCH($D139,Calc_OtherCosts_2[Cost item],0),MATCH(P$90,Calc_OtherCosts_2[[#Headers],[Ausnet]:[United Energy]],0))*$N$81</f>
        <v>2.4649999999999999</v>
      </c>
      <c r="Q139" s="143">
        <f>INDEX(Calc_OtherCosts_2[[Ausnet]:[United Energy]],MATCH($D139,Calc_OtherCosts_2[Cost item],0),MATCH(Q$90,Calc_OtherCosts_2[[#Headers],[Ausnet]:[United Energy]],0))*$N$81</f>
        <v>2.4649999999999999</v>
      </c>
      <c r="R139" s="143">
        <f>INDEX(Calc_OtherCosts_2[[Ausnet]:[United Energy]],MATCH($D139,Calc_OtherCosts_2[Cost item],0),MATCH(R$90,Calc_OtherCosts_2[[#Headers],[Ausnet]:[United Energy]],0))*$N$81</f>
        <v>2.4649999999999999</v>
      </c>
      <c r="S139" s="143">
        <f>INDEX(Calc_OtherCosts_2[[Ausnet]:[United Energy]],MATCH($D139,Calc_OtherCosts_2[Cost item],0),MATCH(S$90,Calc_OtherCosts_2[[#Headers],[Ausnet]:[United Energy]],0))*$N$81</f>
        <v>2.4649999999999999</v>
      </c>
      <c r="U139" s="143" t="str">
        <f t="shared" ref="U139:U140" si="255">IFERROR(N139-G139,"-")</f>
        <v>-</v>
      </c>
      <c r="V139" s="143" t="str">
        <f t="shared" ref="V139:V140" si="256">IFERROR(O139-H139,"-")</f>
        <v>-</v>
      </c>
      <c r="W139" s="143" t="str">
        <f t="shared" ref="W139:W140" si="257">IFERROR(P139-I139,"-")</f>
        <v>-</v>
      </c>
      <c r="X139" s="143" t="str">
        <f t="shared" ref="X139:X140" si="258">IFERROR(Q139-J139,"-")</f>
        <v>-</v>
      </c>
      <c r="Y139" s="143" t="str">
        <f t="shared" ref="Y139:Y140" si="259">IFERROR(R139-K139,"-")</f>
        <v>-</v>
      </c>
      <c r="Z139" s="143" t="str">
        <f t="shared" ref="Z139:Z140" si="260">IFERROR(S139-L139,"-")</f>
        <v>-</v>
      </c>
      <c r="AB139" s="222" t="str">
        <f>IFERROR(U139/G$92,"-")</f>
        <v>-</v>
      </c>
      <c r="AC139" s="222" t="str">
        <f t="shared" ref="AC139:AC140" si="261">IFERROR(V139/H$92,"-")</f>
        <v>-</v>
      </c>
      <c r="AD139" s="222" t="str">
        <f t="shared" ref="AD139:AD140" si="262">IFERROR(W139/I$92,"-")</f>
        <v>-</v>
      </c>
      <c r="AE139" s="222" t="str">
        <f t="shared" ref="AE139:AE140" si="263">IFERROR(X139/J$92,"-")</f>
        <v>-</v>
      </c>
      <c r="AF139" s="222" t="str">
        <f t="shared" ref="AF139:AF140" si="264">IFERROR(Y139/K$92,"-")</f>
        <v>-</v>
      </c>
      <c r="AG139" s="222" t="str">
        <f t="shared" ref="AG139:AG140" si="265">IFERROR(Z139/L$92,"-")</f>
        <v>-</v>
      </c>
      <c r="AI139" s="242"/>
    </row>
    <row r="140" spans="3:35" outlineLevel="1" x14ac:dyDescent="0.25">
      <c r="C140" t="s">
        <v>282</v>
      </c>
      <c r="D140" s="60" t="s">
        <v>659</v>
      </c>
      <c r="E140" s="60" t="s">
        <v>139</v>
      </c>
      <c r="G140" s="143" t="str">
        <f t="shared" si="253"/>
        <v>-</v>
      </c>
      <c r="H140" s="143" t="str">
        <f>IFERROR(INDEX(Calc_OtherCosts_1[[Ausnet]:[United Energy]],MATCH($D140,Calc_OtherCosts_1[Cost item],0),MATCH(H$90,Calc_OtherCosts_1[[#Headers],[Ausnet]:[United Energy]],0))*$G$81,"-")</f>
        <v>-</v>
      </c>
      <c r="I140" s="143" t="str">
        <f>IFERROR(INDEX(Calc_OtherCosts_1[[Ausnet]:[United Energy]],MATCH($D140,Calc_OtherCosts_1[Cost item],0),MATCH(I$90,Calc_OtherCosts_1[[#Headers],[Ausnet]:[United Energy]],0))*$G$81,"-")</f>
        <v>-</v>
      </c>
      <c r="J140" s="143" t="str">
        <f>IFERROR(INDEX(Calc_OtherCosts_1[[Ausnet]:[United Energy]],MATCH($D140,Calc_OtherCosts_1[Cost item],0),MATCH(J$90,Calc_OtherCosts_1[[#Headers],[Ausnet]:[United Energy]],0))*$G$81,"-")</f>
        <v>-</v>
      </c>
      <c r="K140" s="143" t="str">
        <f>IFERROR(INDEX(Calc_OtherCosts_1[[Ausnet]:[United Energy]],MATCH($D140,Calc_OtherCosts_1[Cost item],0),MATCH(K$90,Calc_OtherCosts_1[[#Headers],[Ausnet]:[United Energy]],0))*$G$81,"-")</f>
        <v>-</v>
      </c>
      <c r="L140" s="143" t="str">
        <f>IFERROR(INDEX(Calc_OtherCosts_1[[Ausnet]:[United Energy]],MATCH($D140,Calc_OtherCosts_1[Cost item],0),MATCH(L$90,Calc_OtherCosts_1[[#Headers],[Ausnet]:[United Energy]],0))*$G$81,"-")</f>
        <v>-</v>
      </c>
      <c r="N140" s="143">
        <f t="shared" si="254"/>
        <v>0.52460000000000007</v>
      </c>
      <c r="O140" s="143">
        <f>INDEX(Calc_OtherCosts_2[[Ausnet]:[United Energy]],MATCH($D140,Calc_OtherCosts_2[Cost item],0),MATCH(O$90,Calc_OtherCosts_2[[#Headers],[Ausnet]:[United Energy]],0))*$N$81</f>
        <v>0.52460000000000007</v>
      </c>
      <c r="P140" s="143">
        <f>INDEX(Calc_OtherCosts_2[[Ausnet]:[United Energy]],MATCH($D140,Calc_OtherCosts_2[Cost item],0),MATCH(P$90,Calc_OtherCosts_2[[#Headers],[Ausnet]:[United Energy]],0))*$N$81</f>
        <v>0.52460000000000007</v>
      </c>
      <c r="Q140" s="143">
        <f>INDEX(Calc_OtherCosts_2[[Ausnet]:[United Energy]],MATCH($D140,Calc_OtherCosts_2[Cost item],0),MATCH(Q$90,Calc_OtherCosts_2[[#Headers],[Ausnet]:[United Energy]],0))*$N$81</f>
        <v>0.52460000000000007</v>
      </c>
      <c r="R140" s="143">
        <f>INDEX(Calc_OtherCosts_2[[Ausnet]:[United Energy]],MATCH($D140,Calc_OtherCosts_2[Cost item],0),MATCH(R$90,Calc_OtherCosts_2[[#Headers],[Ausnet]:[United Energy]],0))*$N$81</f>
        <v>0.52460000000000007</v>
      </c>
      <c r="S140" s="143">
        <f>INDEX(Calc_OtherCosts_2[[Ausnet]:[United Energy]],MATCH($D140,Calc_OtherCosts_2[Cost item],0),MATCH(S$90,Calc_OtherCosts_2[[#Headers],[Ausnet]:[United Energy]],0))*$N$81</f>
        <v>0.52460000000000007</v>
      </c>
      <c r="U140" s="143" t="str">
        <f t="shared" si="255"/>
        <v>-</v>
      </c>
      <c r="V140" s="143" t="str">
        <f t="shared" si="256"/>
        <v>-</v>
      </c>
      <c r="W140" s="143" t="str">
        <f t="shared" si="257"/>
        <v>-</v>
      </c>
      <c r="X140" s="143" t="str">
        <f t="shared" si="258"/>
        <v>-</v>
      </c>
      <c r="Y140" s="143" t="str">
        <f t="shared" si="259"/>
        <v>-</v>
      </c>
      <c r="Z140" s="143" t="str">
        <f t="shared" si="260"/>
        <v>-</v>
      </c>
      <c r="AB140" s="222" t="str">
        <f t="shared" ref="AB140" si="266">IFERROR(U140/G$92,"-")</f>
        <v>-</v>
      </c>
      <c r="AC140" s="222" t="str">
        <f t="shared" si="261"/>
        <v>-</v>
      </c>
      <c r="AD140" s="222" t="str">
        <f t="shared" si="262"/>
        <v>-</v>
      </c>
      <c r="AE140" s="222" t="str">
        <f t="shared" si="263"/>
        <v>-</v>
      </c>
      <c r="AF140" s="222" t="str">
        <f t="shared" si="264"/>
        <v>-</v>
      </c>
      <c r="AG140" s="222" t="str">
        <f t="shared" si="265"/>
        <v>-</v>
      </c>
      <c r="AI140" s="242"/>
    </row>
    <row r="141" spans="3:35" outlineLevel="1" x14ac:dyDescent="0.25">
      <c r="C141" t="s">
        <v>282</v>
      </c>
      <c r="D141" s="60" t="s">
        <v>172</v>
      </c>
      <c r="E141" s="60" t="s">
        <v>139</v>
      </c>
      <c r="G141" s="143">
        <f t="shared" si="253"/>
        <v>7.2059233695449452</v>
      </c>
      <c r="H141" s="143">
        <f>IFERROR(INDEX(Calc_OtherCosts_1[[Ausnet]:[United Energy]],MATCH($D141,Calc_OtherCosts_1[Cost item],0),MATCH(H$90,Calc_OtherCosts_1[[#Headers],[Ausnet]:[United Energy]],0))*$G$81,"-")</f>
        <v>7.2059233695449443</v>
      </c>
      <c r="I141" s="143">
        <f>IFERROR(INDEX(Calc_OtherCosts_1[[Ausnet]:[United Energy]],MATCH($D141,Calc_OtherCosts_1[Cost item],0),MATCH(I$90,Calc_OtherCosts_1[[#Headers],[Ausnet]:[United Energy]],0))*$G$81,"-")</f>
        <v>7.2059233695449443</v>
      </c>
      <c r="J141" s="143">
        <f>IFERROR(INDEX(Calc_OtherCosts_1[[Ausnet]:[United Energy]],MATCH($D141,Calc_OtherCosts_1[Cost item],0),MATCH(J$90,Calc_OtherCosts_1[[#Headers],[Ausnet]:[United Energy]],0))*$G$81,"-")</f>
        <v>7.2059233695449443</v>
      </c>
      <c r="K141" s="143">
        <f>IFERROR(INDEX(Calc_OtherCosts_1[[Ausnet]:[United Energy]],MATCH($D141,Calc_OtherCosts_1[Cost item],0),MATCH(K$90,Calc_OtherCosts_1[[#Headers],[Ausnet]:[United Energy]],0))*$G$81,"-")</f>
        <v>7.2059233695449443</v>
      </c>
      <c r="L141" s="143">
        <f>IFERROR(INDEX(Calc_OtherCosts_1[[Ausnet]:[United Energy]],MATCH($D141,Calc_OtherCosts_1[Cost item],0),MATCH(L$90,Calc_OtherCosts_1[[#Headers],[Ausnet]:[United Energy]],0))*$G$81,"-")</f>
        <v>7.2059233695449443</v>
      </c>
      <c r="N141" s="143">
        <f t="shared" si="254"/>
        <v>6.5195940508151464</v>
      </c>
      <c r="O141" s="143">
        <f>INDEX(Calc_OtherCosts_2[[Ausnet]:[United Energy]],MATCH($D141,Calc_OtherCosts_2[Cost item],0),MATCH(O$90,Calc_OtherCosts_2[[#Headers],[Ausnet]:[United Energy]],0))*$N$81</f>
        <v>6.5195940508151473</v>
      </c>
      <c r="P141" s="143">
        <f>INDEX(Calc_OtherCosts_2[[Ausnet]:[United Energy]],MATCH($D141,Calc_OtherCosts_2[Cost item],0),MATCH(P$90,Calc_OtherCosts_2[[#Headers],[Ausnet]:[United Energy]],0))*$N$81</f>
        <v>6.5195940508151473</v>
      </c>
      <c r="Q141" s="143">
        <f>INDEX(Calc_OtherCosts_2[[Ausnet]:[United Energy]],MATCH($D141,Calc_OtherCosts_2[Cost item],0),MATCH(Q$90,Calc_OtherCosts_2[[#Headers],[Ausnet]:[United Energy]],0))*$N$81</f>
        <v>6.5195940508151473</v>
      </c>
      <c r="R141" s="143">
        <f>INDEX(Calc_OtherCosts_2[[Ausnet]:[United Energy]],MATCH($D141,Calc_OtherCosts_2[Cost item],0),MATCH(R$90,Calc_OtherCosts_2[[#Headers],[Ausnet]:[United Energy]],0))*$N$81</f>
        <v>6.5195940508151473</v>
      </c>
      <c r="S141" s="143">
        <f>INDEX(Calc_OtherCosts_2[[Ausnet]:[United Energy]],MATCH($D141,Calc_OtherCosts_2[Cost item],0),MATCH(S$90,Calc_OtherCosts_2[[#Headers],[Ausnet]:[United Energy]],0))*$N$81</f>
        <v>6.5195940508151473</v>
      </c>
      <c r="U141" s="143">
        <f t="shared" si="251"/>
        <v>-0.68632931872979874</v>
      </c>
      <c r="V141" s="143">
        <f t="shared" si="251"/>
        <v>-0.68632931872979697</v>
      </c>
      <c r="W141" s="143">
        <f t="shared" si="251"/>
        <v>-0.68632931872979697</v>
      </c>
      <c r="X141" s="143">
        <f t="shared" si="251"/>
        <v>-0.68632931872979697</v>
      </c>
      <c r="Y141" s="143">
        <f t="shared" si="251"/>
        <v>-0.68632931872979697</v>
      </c>
      <c r="Z141" s="143">
        <f t="shared" si="251"/>
        <v>-0.68632931872979697</v>
      </c>
      <c r="AB141" s="222">
        <f>IFERROR(U141/G$92,"-")</f>
        <v>-1.2070512112729488E-4</v>
      </c>
      <c r="AC141" s="222">
        <f t="shared" si="252"/>
        <v>-9.5059462427949718E-5</v>
      </c>
      <c r="AD141" s="222">
        <f t="shared" si="252"/>
        <v>-1.3510419660035374E-4</v>
      </c>
      <c r="AE141" s="222">
        <f t="shared" si="252"/>
        <v>-1.2156027607683261E-4</v>
      </c>
      <c r="AF141" s="222">
        <f t="shared" si="252"/>
        <v>-1.2986363646732204E-4</v>
      </c>
      <c r="AG141" s="222">
        <f t="shared" si="252"/>
        <v>-1.3203719098303136E-4</v>
      </c>
      <c r="AI141" s="242"/>
    </row>
    <row r="142" spans="3:35" outlineLevel="1" x14ac:dyDescent="0.25">
      <c r="AB142" s="124"/>
      <c r="AC142" s="124"/>
      <c r="AD142" s="124"/>
      <c r="AE142" s="124"/>
      <c r="AF142" s="124"/>
      <c r="AG142" s="124"/>
      <c r="AI142" s="242"/>
    </row>
    <row r="143" spans="3:35" outlineLevel="1" x14ac:dyDescent="0.25">
      <c r="C143" t="s">
        <v>137</v>
      </c>
      <c r="D143" s="60" t="s">
        <v>292</v>
      </c>
      <c r="E143" s="60" t="s">
        <v>139</v>
      </c>
      <c r="G143" s="143">
        <f>AVERAGE(H143:L143)</f>
        <v>1681.7199999999998</v>
      </c>
      <c r="H143" s="143">
        <f>INDEX(Calc_WholesaleSME_1[[Ausnet]:[United Energy]],MATCH($D143,Calc_WholesaleSME_1[Cost item],0),MATCH(H$90,Calc_WholesaleSME_1[[#Headers],[Ausnet]:[United Energy]],0))*$G$81</f>
        <v>1652.4</v>
      </c>
      <c r="I143" s="143">
        <f>INDEX(Calc_WholesaleSME_1[[Ausnet]:[United Energy]],MATCH($D143,Calc_WholesaleSME_1[Cost item],0),MATCH(I$90,Calc_WholesaleSME_1[[#Headers],[Ausnet]:[United Energy]],0))*$G$81</f>
        <v>1709.6</v>
      </c>
      <c r="J143" s="143">
        <f>INDEX(Calc_WholesaleSME_1[[Ausnet]:[United Energy]],MATCH($D143,Calc_WholesaleSME_1[Cost item],0),MATCH(J$90,Calc_WholesaleSME_1[[#Headers],[Ausnet]:[United Energy]],0))*$G$81</f>
        <v>1697.4</v>
      </c>
      <c r="K143" s="143">
        <f>INDEX(Calc_WholesaleSME_1[[Ausnet]:[United Energy]],MATCH($D143,Calc_WholesaleSME_1[Cost item],0),MATCH(K$90,Calc_WholesaleSME_1[[#Headers],[Ausnet]:[United Energy]],0))*$G$81</f>
        <v>1608.4</v>
      </c>
      <c r="L143" s="143">
        <f>INDEX(Calc_WholesaleSME_1[[Ausnet]:[United Energy]],MATCH($D143,Calc_WholesaleSME_1[Cost item],0),MATCH(L$90,Calc_WholesaleSME_1[[#Headers],[Ausnet]:[United Energy]],0))*$G$81</f>
        <v>1740.8</v>
      </c>
      <c r="N143" s="143">
        <f>AVERAGE(O143:S143)</f>
        <v>1271.8399999999999</v>
      </c>
      <c r="O143" s="143">
        <f>INDEX(Calc_WholesaleSME_2[[Ausnet]:[United Energy]],MATCH($D143,Calc_WholesaleSME_2[Cost item],0),MATCH(O$90,Calc_WholesaleSME_2[[#Headers],[Ausnet]:[United Energy]],0))*$N$81</f>
        <v>1259.7999999999997</v>
      </c>
      <c r="P143" s="143">
        <f>INDEX(Calc_WholesaleSME_2[[Ausnet]:[United Energy]],MATCH($D143,Calc_WholesaleSME_2[Cost item],0),MATCH(P$90,Calc_WholesaleSME_2[[#Headers],[Ausnet]:[United Energy]],0))*$N$81</f>
        <v>1282.2</v>
      </c>
      <c r="Q143" s="143">
        <f>INDEX(Calc_WholesaleSME_2[[Ausnet]:[United Energy]],MATCH($D143,Calc_WholesaleSME_2[Cost item],0),MATCH(Q$90,Calc_WholesaleSME_2[[#Headers],[Ausnet]:[United Energy]],0))*$N$81</f>
        <v>1283.5999999999999</v>
      </c>
      <c r="R143" s="143">
        <f>INDEX(Calc_WholesaleSME_2[[Ausnet]:[United Energy]],MATCH($D143,Calc_WholesaleSME_2[Cost item],0),MATCH(R$90,Calc_WholesaleSME_2[[#Headers],[Ausnet]:[United Energy]],0))*$N$81</f>
        <v>1224.5999999999999</v>
      </c>
      <c r="S143" s="143">
        <f>INDEX(Calc_WholesaleSME_2[[Ausnet]:[United Energy]],MATCH($D143,Calc_WholesaleSME_2[Cost item],0),MATCH(S$90,Calc_WholesaleSME_2[[#Headers],[Ausnet]:[United Energy]],0))*$N$81</f>
        <v>1308.9999999999998</v>
      </c>
      <c r="U143" s="143">
        <f>IFERROR(N143-G143,"-")</f>
        <v>-409.87999999999988</v>
      </c>
      <c r="V143" s="143">
        <f t="shared" ref="V143:Z143" si="267">IFERROR(O143-H143,"-")</f>
        <v>-392.60000000000036</v>
      </c>
      <c r="W143" s="143">
        <f t="shared" si="267"/>
        <v>-427.39999999999986</v>
      </c>
      <c r="X143" s="143">
        <f t="shared" si="267"/>
        <v>-413.80000000000018</v>
      </c>
      <c r="Y143" s="143">
        <f t="shared" si="267"/>
        <v>-383.80000000000018</v>
      </c>
      <c r="Z143" s="143">
        <f t="shared" si="267"/>
        <v>-431.80000000000018</v>
      </c>
      <c r="AB143" s="222">
        <f>IFERROR(U143/G$92,"-")</f>
        <v>-7.2085824832922946E-2</v>
      </c>
      <c r="AC143" s="222">
        <f t="shared" ref="AC143:AG143" si="268">IFERROR(V143/H$92,"-")</f>
        <v>-5.437673130193911E-2</v>
      </c>
      <c r="AD143" s="222">
        <f t="shared" si="268"/>
        <v>-8.4133858267716508E-2</v>
      </c>
      <c r="AE143" s="222">
        <f t="shared" si="268"/>
        <v>-7.3290825363088938E-2</v>
      </c>
      <c r="AF143" s="222">
        <f t="shared" si="268"/>
        <v>-7.2620624408703913E-2</v>
      </c>
      <c r="AG143" s="222">
        <f t="shared" si="268"/>
        <v>-8.3070411696806498E-2</v>
      </c>
      <c r="AI143" s="242"/>
    </row>
    <row r="144" spans="3:35" outlineLevel="1" x14ac:dyDescent="0.25">
      <c r="AI144" s="242"/>
    </row>
    <row r="145" spans="4:35" outlineLevel="1" x14ac:dyDescent="0.25">
      <c r="D145" s="214" t="s">
        <v>625</v>
      </c>
      <c r="E145" s="58" t="s">
        <v>139</v>
      </c>
      <c r="F145" s="214"/>
      <c r="G145" s="166">
        <f>AVERAGE(H145:L145)</f>
        <v>4478.4514920991032</v>
      </c>
      <c r="H145" s="166">
        <f>H123+H124+H125+H129+H130+H131+H133+H134+H135+SUM(H137:H141)+H143</f>
        <v>5815.9415407695997</v>
      </c>
      <c r="I145" s="166">
        <f t="shared" ref="I145:L145" si="269">I123+I124+I125+I129+I130+I131+I133+I134+I135+SUM(I137:I141)+I143</f>
        <v>3936.5835944445848</v>
      </c>
      <c r="J145" s="166">
        <f t="shared" si="269"/>
        <v>4452.5544542738107</v>
      </c>
      <c r="K145" s="166">
        <f t="shared" si="269"/>
        <v>4093.3889833950361</v>
      </c>
      <c r="L145" s="166">
        <f t="shared" si="269"/>
        <v>4093.7888876124862</v>
      </c>
      <c r="M145" s="214"/>
      <c r="N145" s="166">
        <f>AVERAGE(O145:S145)</f>
        <v>4122.0599020616146</v>
      </c>
      <c r="O145" s="166">
        <f>O123+O124+O125+O129+O130+O131+O133+O134+O135+SUM(O137:O141)+O143</f>
        <v>5491.8607978694017</v>
      </c>
      <c r="P145" s="166">
        <f t="shared" ref="P145:S145" si="270">P123+P124+P125+P129+P130+P131+P133+P134+P135+SUM(P137:P141)+P143</f>
        <v>3558.0712594715769</v>
      </c>
      <c r="Q145" s="166">
        <f t="shared" si="270"/>
        <v>4102.1170178881002</v>
      </c>
      <c r="R145" s="166">
        <f t="shared" si="270"/>
        <v>3755.7940148528519</v>
      </c>
      <c r="S145" s="166">
        <f t="shared" si="270"/>
        <v>3702.4564202261436</v>
      </c>
      <c r="U145" s="143">
        <f>IFERROR(N145-G145,"-")</f>
        <v>-356.39159003748864</v>
      </c>
      <c r="V145" s="143">
        <f t="shared" ref="V145" si="271">IFERROR(O145-H145,"-")</f>
        <v>-324.08074290019795</v>
      </c>
      <c r="W145" s="143">
        <f>IFERROR(P145-I145,"-")</f>
        <v>-378.51233497300791</v>
      </c>
      <c r="X145" s="143">
        <f t="shared" ref="X145:Z145" si="272">IFERROR(Q145-J145,"-")</f>
        <v>-350.4374363857105</v>
      </c>
      <c r="Y145" s="143">
        <f t="shared" si="272"/>
        <v>-337.59496854218423</v>
      </c>
      <c r="Z145" s="143">
        <f t="shared" si="272"/>
        <v>-391.33246738634261</v>
      </c>
      <c r="AI145" s="242"/>
    </row>
    <row r="146" spans="4:35" outlineLevel="1" x14ac:dyDescent="0.25"/>
    <row r="147" spans="4:35" outlineLevel="1" x14ac:dyDescent="0.25"/>
    <row r="149" spans="4:35" x14ac:dyDescent="0.25">
      <c r="N149" s="114"/>
      <c r="O149" s="114"/>
      <c r="P149" s="114"/>
      <c r="Q149" s="114"/>
      <c r="R149" s="114"/>
      <c r="S149" s="114"/>
    </row>
    <row r="151" spans="4:35" x14ac:dyDescent="0.25">
      <c r="O151" s="114"/>
      <c r="P151" s="114"/>
      <c r="Q151" s="114"/>
      <c r="R151" s="114"/>
      <c r="S151" s="114"/>
    </row>
    <row r="201" spans="8:19" x14ac:dyDescent="0.25">
      <c r="H201" s="88"/>
      <c r="I201" s="88"/>
      <c r="J201" s="88"/>
      <c r="K201" s="88"/>
      <c r="L201" s="88"/>
      <c r="O201" s="88"/>
      <c r="P201" s="88"/>
      <c r="Q201" s="88"/>
      <c r="R201" s="88"/>
      <c r="S201" s="88"/>
    </row>
  </sheetData>
  <mergeCells count="1">
    <mergeCell ref="A2:A3"/>
  </mergeCells>
  <conditionalFormatting sqref="U96:U104 U107 U109:U112 U114:U115 U117:U118 U123:U125 U128:U131 U143 U137:U141 U133:U135">
    <cfRule type="colorScale" priority="3">
      <colorScale>
        <cfvo type="min"/>
        <cfvo type="max"/>
        <color rgb="FFFCFCFF"/>
        <color rgb="FFF8696B"/>
      </colorScale>
    </cfRule>
  </conditionalFormatting>
  <conditionalFormatting sqref="U24:U25 U27 U29:U32 U35 U37:U40 U42:U43 U45:U46 U51:U53 U56:U59 U71 U65:U69 U61:U63">
    <cfRule type="colorScale" priority="2">
      <colorScale>
        <cfvo type="min"/>
        <cfvo type="max"/>
        <color rgb="FFFCFCFF"/>
        <color rgb="FFF8696B"/>
      </colorScale>
    </cfRule>
  </conditionalFormatting>
  <conditionalFormatting sqref="U61:U62">
    <cfRule type="colorScale" priority="1">
      <colorScale>
        <cfvo type="min"/>
        <cfvo type="max"/>
        <color rgb="FFFCFCFF"/>
        <color rgb="FFF8696B"/>
      </colorScale>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0745E-84FD-4567-9225-6CFD2ED37715}">
  <sheetPr>
    <tabColor rgb="FFFFB13F"/>
  </sheetPr>
  <dimension ref="A1:Z79"/>
  <sheetViews>
    <sheetView showGridLines="0" topLeftCell="B1" zoomScale="70" zoomScaleNormal="70" workbookViewId="0">
      <pane ySplit="3" topLeftCell="A4" activePane="bottomLeft" state="frozen"/>
      <selection activeCell="AQ60" sqref="AQ60"/>
      <selection pane="bottomLeft" activeCell="AQ60" sqref="AQ60"/>
    </sheetView>
  </sheetViews>
  <sheetFormatPr defaultRowHeight="15" outlineLevelCol="1" x14ac:dyDescent="0.25"/>
  <cols>
    <col min="1" max="1" width="100.7109375" hidden="1" customWidth="1" outlineLevel="1"/>
    <col min="2" max="2" width="10.7109375" style="6" customWidth="1" collapsed="1"/>
    <col min="3" max="4" width="50.5703125" customWidth="1"/>
    <col min="5" max="5" width="15.5703125" hidden="1" customWidth="1"/>
    <col min="6" max="8" width="15.5703125" customWidth="1"/>
    <col min="9" max="12" width="15.5703125" hidden="1" customWidth="1"/>
    <col min="13" max="14" width="20.5703125" customWidth="1"/>
    <col min="15" max="16" width="15.5703125" customWidth="1"/>
    <col min="17" max="17" width="5.5703125" style="138" hidden="1" customWidth="1"/>
    <col min="18" max="18" width="25.5703125" hidden="1" customWidth="1"/>
    <col min="19" max="21" width="15.5703125" hidden="1" customWidth="1"/>
    <col min="22" max="22" width="5.5703125" customWidth="1"/>
    <col min="23" max="23" width="25.5703125" customWidth="1"/>
    <col min="24" max="26" width="15.5703125" customWidth="1"/>
  </cols>
  <sheetData>
    <row r="1" spans="1:26" ht="15" customHeight="1" x14ac:dyDescent="0.25">
      <c r="A1" s="1" t="s">
        <v>27</v>
      </c>
      <c r="B1" s="22"/>
      <c r="C1" s="23"/>
      <c r="D1" s="23"/>
      <c r="E1" s="23"/>
      <c r="F1" s="23"/>
      <c r="G1" s="23"/>
      <c r="H1" s="23"/>
      <c r="I1" s="23"/>
      <c r="J1" s="23"/>
      <c r="K1" s="23"/>
      <c r="L1" s="23"/>
      <c r="M1" s="23"/>
      <c r="N1" s="23"/>
      <c r="O1" s="23"/>
      <c r="P1" s="23"/>
      <c r="Q1" s="255"/>
      <c r="R1" s="23"/>
      <c r="S1" s="23"/>
      <c r="T1" s="23"/>
      <c r="U1" s="23"/>
      <c r="V1" s="23"/>
      <c r="W1" s="23"/>
      <c r="X1" s="23"/>
      <c r="Y1" s="23"/>
      <c r="Z1" s="23"/>
    </row>
    <row r="2" spans="1:26" s="4" customFormat="1" ht="50.1" customHeight="1" x14ac:dyDescent="0.25">
      <c r="A2" s="293" t="s">
        <v>28</v>
      </c>
      <c r="B2" s="26"/>
      <c r="C2" s="26" t="str">
        <f>Disclaimer!$B$1</f>
        <v>VDO calculation model</v>
      </c>
      <c r="D2" s="26"/>
      <c r="E2" s="26"/>
      <c r="F2" s="26"/>
      <c r="G2" s="26"/>
      <c r="H2" s="26"/>
      <c r="I2" s="26"/>
      <c r="J2" s="26"/>
      <c r="K2" s="26"/>
      <c r="L2" s="26"/>
      <c r="M2" s="26"/>
      <c r="N2" s="26"/>
      <c r="O2" s="26"/>
      <c r="P2" s="26"/>
      <c r="Q2" s="31"/>
      <c r="R2" s="26"/>
      <c r="S2" s="26"/>
      <c r="T2" s="26"/>
      <c r="U2" s="26"/>
      <c r="V2" s="26"/>
      <c r="W2" s="26"/>
      <c r="X2" s="26"/>
      <c r="Y2" s="26"/>
      <c r="Z2" s="26"/>
    </row>
    <row r="3" spans="1:26" s="4" customFormat="1" ht="30" customHeight="1" x14ac:dyDescent="0.25">
      <c r="A3" s="294"/>
      <c r="B3" s="28">
        <f ca="1">_xlfn.SHEET()</f>
        <v>20</v>
      </c>
      <c r="C3" s="27" t="s">
        <v>706</v>
      </c>
      <c r="D3" s="27"/>
      <c r="E3" s="27"/>
      <c r="F3" s="27"/>
      <c r="G3" s="27"/>
      <c r="H3" s="27"/>
      <c r="I3" s="27"/>
      <c r="J3" s="27"/>
      <c r="K3" s="27"/>
      <c r="L3" s="27"/>
      <c r="M3" s="27"/>
      <c r="N3" s="27"/>
      <c r="O3" s="27"/>
      <c r="P3" s="27"/>
      <c r="Q3" s="28"/>
      <c r="R3" s="27"/>
      <c r="S3" s="27"/>
      <c r="T3" s="27"/>
      <c r="U3" s="27"/>
      <c r="V3" s="27"/>
      <c r="W3" s="27"/>
      <c r="X3" s="27"/>
      <c r="Y3" s="27"/>
      <c r="Z3" s="27"/>
    </row>
    <row r="4" spans="1:26" x14ac:dyDescent="0.25">
      <c r="B4"/>
    </row>
    <row r="5" spans="1:26" x14ac:dyDescent="0.25">
      <c r="B5"/>
    </row>
    <row r="6" spans="1:26" ht="16.5" thickBot="1" x14ac:dyDescent="0.3">
      <c r="A6" s="1" t="s">
        <v>30</v>
      </c>
      <c r="B6" s="9">
        <f ca="1">MAX(B$3:B5)+0.1</f>
        <v>20.100000000000001</v>
      </c>
      <c r="C6" s="29" t="s">
        <v>737</v>
      </c>
      <c r="D6" s="29"/>
      <c r="E6" s="29"/>
      <c r="F6" s="29"/>
      <c r="G6" s="29"/>
      <c r="H6" s="29"/>
      <c r="I6" s="29"/>
      <c r="J6" s="29"/>
      <c r="K6" s="29"/>
      <c r="L6" s="29"/>
      <c r="M6" s="29"/>
      <c r="N6" s="29"/>
      <c r="O6" s="29"/>
      <c r="P6" s="29"/>
      <c r="Q6" s="256"/>
      <c r="R6" s="29"/>
      <c r="S6" s="29"/>
      <c r="T6" s="29"/>
      <c r="U6" s="29"/>
      <c r="V6" s="29"/>
      <c r="W6" s="29"/>
      <c r="X6" s="29"/>
      <c r="Y6" s="29"/>
      <c r="Z6" s="29"/>
    </row>
    <row r="8" spans="1:26" ht="15.75" x14ac:dyDescent="0.25">
      <c r="I8" s="30" t="s">
        <v>707</v>
      </c>
      <c r="J8" s="30" t="s">
        <v>743</v>
      </c>
      <c r="K8" s="30" t="s">
        <v>739</v>
      </c>
      <c r="M8" s="30" t="s">
        <v>707</v>
      </c>
      <c r="N8" s="30" t="s">
        <v>755</v>
      </c>
      <c r="O8" s="30" t="s">
        <v>739</v>
      </c>
      <c r="R8" s="30" t="s">
        <v>742</v>
      </c>
    </row>
    <row r="9" spans="1:26" s="10" customFormat="1" ht="31.5" x14ac:dyDescent="0.25">
      <c r="B9" s="264"/>
      <c r="C9" s="265" t="s">
        <v>53</v>
      </c>
      <c r="D9" s="265" t="s">
        <v>54</v>
      </c>
      <c r="E9" s="265" t="s">
        <v>421</v>
      </c>
      <c r="F9" s="145" t="str">
        <f>Calc_Rates!$D$5</f>
        <v>VDO 2021 - Variation final</v>
      </c>
      <c r="G9" s="145" t="str">
        <f>Calc_Rates!$D$251</f>
        <v>VDO 2022 - Final</v>
      </c>
      <c r="I9" s="145" t="str">
        <f>Calc_Rates!$D$5</f>
        <v>VDO 2021 - Variation final</v>
      </c>
      <c r="J9" s="145" t="str">
        <f>Calc_Rates!$D$5</f>
        <v>VDO 2021 - Variation final</v>
      </c>
      <c r="K9" s="145" t="str">
        <f>Calc_Rates!$D$5</f>
        <v>VDO 2021 - Variation final</v>
      </c>
      <c r="M9" s="145" t="str">
        <f>Calc_Rates!$D$5</f>
        <v>VDO 2021 - Variation final</v>
      </c>
      <c r="N9" s="145" t="str">
        <f>Calc_Rates!$D$251</f>
        <v>VDO 2022 - Final</v>
      </c>
      <c r="O9" s="145" t="str">
        <f>Calc_Rates!$D$251</f>
        <v>VDO 2022 - Final</v>
      </c>
      <c r="Q9" s="35"/>
      <c r="R9" s="42" t="str">
        <f>Calc_Rates!$D$5</f>
        <v>VDO 2021 - Variation final</v>
      </c>
      <c r="W9" s="42" t="str">
        <f>Calc_Rates!$D$251</f>
        <v>VDO 2022 - Final</v>
      </c>
    </row>
    <row r="10" spans="1:26" x14ac:dyDescent="0.25">
      <c r="Q10" s="138">
        <v>1</v>
      </c>
      <c r="R10" t="str">
        <f>INDEX($D$13:$D$38,MATCH($Q10,K$13:K$38,0),1)</f>
        <v>Network</v>
      </c>
      <c r="S10" s="279">
        <f>INDEX($I$13:$I$38,MATCH($Q10,K$13:K$38,0),1)</f>
        <v>0</v>
      </c>
      <c r="T10" s="281">
        <f>INDEX($J$13:$J$38,MATCH($Q10,K$13:K$38,0),1)</f>
        <v>0</v>
      </c>
      <c r="V10" s="138">
        <v>1</v>
      </c>
      <c r="W10" t="str">
        <f>INDEX($D$13:$D$38,MATCH($V10,O$13:O$38,0),1)</f>
        <v>VEU cost</v>
      </c>
      <c r="X10" s="279">
        <f>INDEX($M$13:$M$38,MATCH($V10,O$13:O$38,0),1)</f>
        <v>16.951286745833798</v>
      </c>
      <c r="Y10" s="281">
        <f>INDEX($N$13:$N$38,MATCH($V10,O$13:O$38,0),1)</f>
        <v>1.2005160584868129E-2</v>
      </c>
    </row>
    <row r="11" spans="1:26" x14ac:dyDescent="0.25">
      <c r="C11" s="277" t="s">
        <v>384</v>
      </c>
      <c r="D11" s="277"/>
      <c r="E11" s="278">
        <v>1412</v>
      </c>
      <c r="F11" s="278">
        <f>ROUNDUP(SUM(F13:F38),0)</f>
        <v>1412</v>
      </c>
      <c r="G11" s="278">
        <f>ROUNDUP(SUM(G13:G38),0)</f>
        <v>1342</v>
      </c>
      <c r="H11" s="214"/>
      <c r="I11" s="275">
        <f t="shared" ref="I11" si="0">IF(F11="-",0,F11)-IF(E11="-",0,E11)</f>
        <v>0</v>
      </c>
      <c r="J11" s="280">
        <f>IFERROR((F11-E11)/E11,"-")</f>
        <v>0</v>
      </c>
      <c r="L11" s="214"/>
      <c r="M11" s="275">
        <f>IF(G11="-",0,G11)-IF(F11="-",0,F11)</f>
        <v>-70</v>
      </c>
      <c r="N11" s="280">
        <f>IFERROR((G11-F11)/F11,"-")</f>
        <v>-4.9575070821529746E-2</v>
      </c>
      <c r="Q11" s="138">
        <v>2</v>
      </c>
      <c r="R11" t="e">
        <f>INDEX($D$13:$D$38,MATCH($Q11,K$13:K$38,0),1)</f>
        <v>#N/A</v>
      </c>
      <c r="S11" s="279" t="e">
        <f>INDEX($I$13:$I$38,MATCH($Q11,K$13:K$38,0),1)</f>
        <v>#N/A</v>
      </c>
      <c r="T11" s="281" t="e">
        <f>INDEX($J$13:$J$38,MATCH($Q11,K$13:K$38,0),1)</f>
        <v>#N/A</v>
      </c>
      <c r="V11" s="138">
        <v>2</v>
      </c>
      <c r="W11" t="str">
        <f>INDEX($D$13:$D$38,MATCH($V11,O$13:O$38,0),1)</f>
        <v>Environmental - Anytime VDO</v>
      </c>
      <c r="X11" s="279">
        <f>INDEX($M$13:$M$38,MATCH($V11,O$13:O$38,0),1)</f>
        <v>13.079870942258086</v>
      </c>
      <c r="Y11" s="281">
        <f>INDEX($N$13:$N$38,MATCH($V11,O$13:O$38,0),1)</f>
        <v>9.2633646899844806E-3</v>
      </c>
    </row>
    <row r="12" spans="1:26" x14ac:dyDescent="0.25">
      <c r="Q12" s="138">
        <v>3</v>
      </c>
      <c r="R12" t="e">
        <f>INDEX($D$13:$D$38,MATCH($Q12,K$13:K$38,0),1)</f>
        <v>#N/A</v>
      </c>
      <c r="S12" s="279" t="e">
        <f>INDEX($I$13:$I$38,MATCH($Q12,K$13:K$38,0),1)</f>
        <v>#N/A</v>
      </c>
      <c r="T12" s="281" t="e">
        <f>INDEX($J$13:$J$38,MATCH($Q12,K$13:K$38,0),1)</f>
        <v>#N/A</v>
      </c>
      <c r="V12" s="138">
        <v>3</v>
      </c>
      <c r="W12" t="str">
        <f>INDEX($D$13:$D$38,MATCH($V12,O$13:O$38,0),1)</f>
        <v>Network</v>
      </c>
      <c r="X12" s="279">
        <f>INDEX($M$13:$M$38,MATCH($V12,O$13:O$38,0),1)</f>
        <v>12.530679555985406</v>
      </c>
      <c r="Y12" s="281">
        <f>INDEX($N$13:$N$38,MATCH($V12,O$13:O$38,0),1)</f>
        <v>8.8744189489981633E-3</v>
      </c>
    </row>
    <row r="13" spans="1:26" x14ac:dyDescent="0.25">
      <c r="C13" s="24" t="s">
        <v>322</v>
      </c>
      <c r="D13" s="24" t="s">
        <v>130</v>
      </c>
      <c r="E13" s="268">
        <v>0</v>
      </c>
      <c r="F13" s="266" cm="1">
        <f t="array" ref="F13">INDEX(CH_CostItems_Anytime!$G$24:$G$71,MATCH(1,(CH_CostItems_Anytime!$C$24:$C$71=TBL_Comparison!$C13)*(CH_CostItems_Anytime!$D$24:$D$71=TBL_Comparison!$D13),0),1)</f>
        <v>0</v>
      </c>
      <c r="G13" s="266" cm="1">
        <f t="array" ref="G13">INDEX(CH_CostItems_Anytime!$N$24:$N$71,MATCH(1,(CH_CostItems_Anytime!$C$24:$C$71=TBL_Comparison!$C13)*(CH_CostItems_Anytime!$D$24:$D$71=TBL_Comparison!$D13),0),1)</f>
        <v>12.530679555985406</v>
      </c>
      <c r="I13" s="270">
        <f>IF(F13="-",0,F13)-IF(E13="-",0,E13)</f>
        <v>0</v>
      </c>
      <c r="J13" s="217">
        <f t="shared" ref="J13:J38" si="1">IFERROR((F13-E13)/E$11,"-")</f>
        <v>0</v>
      </c>
      <c r="K13">
        <f>_xlfn.RANK.EQ(I13,$I$13:$I$38)</f>
        <v>1</v>
      </c>
      <c r="M13" s="270">
        <f>IF(G13="-",0,G13)-IF(F13="-",0,F13)</f>
        <v>12.530679555985406</v>
      </c>
      <c r="N13" s="217">
        <f>IFERROR((G13-F13)/F$11,"-")</f>
        <v>8.8744189489981633E-3</v>
      </c>
      <c r="O13">
        <f>_xlfn.RANK.EQ(M13,$M$13:$M$38)</f>
        <v>3</v>
      </c>
      <c r="Q13" s="138">
        <v>4</v>
      </c>
      <c r="R13" t="e">
        <f>INDEX($D$13:$D$38,MATCH($Q13,K$13:K$38,0),1)</f>
        <v>#N/A</v>
      </c>
      <c r="S13" s="279" t="e">
        <f>INDEX($I$13:$I$38,MATCH($Q13,K$13:K$38,0),1)</f>
        <v>#N/A</v>
      </c>
      <c r="T13" s="281" t="e">
        <f>INDEX($J$13:$J$38,MATCH($Q13,K$13:K$38,0),1)</f>
        <v>#N/A</v>
      </c>
      <c r="V13" s="138">
        <v>4</v>
      </c>
      <c r="W13" t="str">
        <f>INDEX($D$13:$D$38,MATCH($V13,O$13:O$38,0),1)</f>
        <v>Feed-in tariff (FiT)</v>
      </c>
      <c r="X13" s="279">
        <f>INDEX($M$13:$M$38,MATCH($V13,O$13:O$38,0),1)</f>
        <v>2.4885733559337897</v>
      </c>
      <c r="Y13" s="281">
        <f>INDEX($N$13:$N$38,MATCH($V13,O$13:O$38,0),1)</f>
        <v>1.762445719499851E-3</v>
      </c>
    </row>
    <row r="14" spans="1:26" x14ac:dyDescent="0.25">
      <c r="C14" s="24" t="s">
        <v>322</v>
      </c>
      <c r="D14" s="24" t="s">
        <v>621</v>
      </c>
      <c r="E14" s="268">
        <v>0</v>
      </c>
      <c r="F14" s="266" cm="1">
        <f t="array" ref="F14">INDEX(CH_CostItems_Anytime!$G$24:$G$71,MATCH(1,(CH_CostItems_Anytime!$C$24:$C$71=TBL_Comparison!$C14)*(CH_CostItems_Anytime!$D$24:$D$71=TBL_Comparison!$D14),0),1)</f>
        <v>0</v>
      </c>
      <c r="G14" s="266" cm="1">
        <f t="array" ref="G14">INDEX(CH_CostItems_Anytime!$N$24:$N$71,MATCH(1,(CH_CostItems_Anytime!$C$24:$C$71=TBL_Comparison!$C14)*(CH_CostItems_Anytime!$D$24:$D$71=TBL_Comparison!$D14),0),1)</f>
        <v>13.079870942258086</v>
      </c>
      <c r="I14" s="270">
        <f t="shared" ref="I14:I38" si="2">IF(F14="-",0,F14)-IF(E14="-",0,E14)</f>
        <v>0</v>
      </c>
      <c r="J14" s="217">
        <f t="shared" si="1"/>
        <v>0</v>
      </c>
      <c r="K14">
        <f t="shared" ref="K14:K38" si="3">_xlfn.RANK.EQ(I14,$I$13:$I$38)</f>
        <v>1</v>
      </c>
      <c r="M14" s="270">
        <f>IF(G14="-",0,G14)-IF(F14="-",0,F14)</f>
        <v>13.079870942258086</v>
      </c>
      <c r="N14" s="217">
        <f>IFERROR((G14-F14)/F$11,"-")</f>
        <v>9.2633646899844806E-3</v>
      </c>
      <c r="O14">
        <f t="shared" ref="O14:O38" si="4">_xlfn.RANK.EQ(M14,$M$13:$M$38)</f>
        <v>2</v>
      </c>
      <c r="Q14" s="138">
        <v>5</v>
      </c>
      <c r="R14" t="e">
        <f>INDEX($D$13:$D$38,MATCH($Q14,K$13:K$38,0),1)</f>
        <v>#N/A</v>
      </c>
      <c r="S14" s="279" t="e">
        <f>INDEX($I$13:$I$38,MATCH($Q14,K$13:K$38,0),1)</f>
        <v>#N/A</v>
      </c>
      <c r="T14" s="281" t="e">
        <f>INDEX($J$13:$J$38,MATCH($Q14,K$13:K$38,0),1)</f>
        <v>#N/A</v>
      </c>
      <c r="V14" s="138">
        <v>5</v>
      </c>
      <c r="W14" t="str">
        <f>INDEX($D$13:$D$38,MATCH($V14,O$13:O$38,0),1)</f>
        <v>Customer acquisition and retention cost</v>
      </c>
      <c r="X14" s="279">
        <f>INDEX($M$13:$M$38,MATCH($V14,O$13:O$38,0),1)</f>
        <v>1.1585365853658516</v>
      </c>
      <c r="Y14" s="281">
        <f>INDEX($N$13:$N$38,MATCH($V14,O$13:O$38,0),1)</f>
        <v>8.2049333241207621E-4</v>
      </c>
    </row>
    <row r="15" spans="1:26" x14ac:dyDescent="0.25">
      <c r="C15" s="24" t="s">
        <v>160</v>
      </c>
      <c r="D15" s="24" t="s">
        <v>125</v>
      </c>
      <c r="E15" s="268">
        <v>10.849248189087444</v>
      </c>
      <c r="F15" s="266" cm="1">
        <f t="array" ref="F15">INDEX(CH_CostItems_Anytime!$G$24:$G$71,MATCH(1,(CH_CostItems_Anytime!$C$24:$C$71=TBL_Comparison!$C15)*(CH_CostItems_Anytime!$D$24:$D$71=TBL_Comparison!$D15),0),1)</f>
        <v>10.849248189087444</v>
      </c>
      <c r="G15" s="266" cm="1">
        <f t="array" ref="G15">INDEX(CH_CostItems_Anytime!$N$24:$N$71,MATCH(1,(CH_CostItems_Anytime!$C$24:$C$71=TBL_Comparison!$C15)*(CH_CostItems_Anytime!$D$24:$D$71=TBL_Comparison!$D15),0),1)</f>
        <v>13.337821545021233</v>
      </c>
      <c r="I15" s="270">
        <f t="shared" si="2"/>
        <v>0</v>
      </c>
      <c r="J15" s="217">
        <f t="shared" si="1"/>
        <v>0</v>
      </c>
      <c r="K15">
        <f t="shared" si="3"/>
        <v>1</v>
      </c>
      <c r="M15" s="270">
        <f t="shared" ref="M15:M38" si="5">IF(G15="-",0,G15)-IF(F15="-",0,F15)</f>
        <v>2.4885733559337897</v>
      </c>
      <c r="N15" s="217">
        <f t="shared" ref="N15:N38" si="6">IFERROR((G15-F15)/F$11,"-")</f>
        <v>1.762445719499851E-3</v>
      </c>
      <c r="O15">
        <f t="shared" si="4"/>
        <v>4</v>
      </c>
    </row>
    <row r="16" spans="1:26" x14ac:dyDescent="0.25">
      <c r="C16" s="24" t="s">
        <v>282</v>
      </c>
      <c r="D16" s="24" t="s">
        <v>126</v>
      </c>
      <c r="E16" s="268">
        <v>1.6939335514995686</v>
      </c>
      <c r="F16" s="266" cm="1">
        <f t="array" ref="F16">INDEX(CH_CostItems_Anytime!$G$24:$G$71,MATCH(1,(CH_CostItems_Anytime!$C$24:$C$71=TBL_Comparison!$C16)*(CH_CostItems_Anytime!$D$24:$D$71=TBL_Comparison!$D16),0),1)</f>
        <v>1.6939335514995686</v>
      </c>
      <c r="G16" s="266" cm="1">
        <f t="array" ref="G16">INDEX(CH_CostItems_Anytime!$N$24:$N$71,MATCH(1,(CH_CostItems_Anytime!$C$24:$C$71=TBL_Comparison!$C16)*(CH_CostItems_Anytime!$D$24:$D$71=TBL_Comparison!$D16),0),1)</f>
        <v>2.1558125061118716</v>
      </c>
      <c r="I16" s="270">
        <f t="shared" si="2"/>
        <v>0</v>
      </c>
      <c r="J16" s="217">
        <f t="shared" si="1"/>
        <v>0</v>
      </c>
      <c r="K16">
        <f t="shared" si="3"/>
        <v>1</v>
      </c>
      <c r="M16" s="270">
        <f t="shared" si="5"/>
        <v>0.46187895461230299</v>
      </c>
      <c r="N16" s="217">
        <f t="shared" si="6"/>
        <v>3.2710974122684348E-4</v>
      </c>
      <c r="O16">
        <f t="shared" si="4"/>
        <v>8</v>
      </c>
    </row>
    <row r="17" spans="3:25" ht="15.75" x14ac:dyDescent="0.25">
      <c r="C17" s="24" t="s">
        <v>282</v>
      </c>
      <c r="D17" s="24" t="s">
        <v>127</v>
      </c>
      <c r="E17" s="268">
        <v>2.46</v>
      </c>
      <c r="F17" s="266" cm="1">
        <f t="array" ref="F17">INDEX(CH_CostItems_Anytime!$G$24:$G$71,MATCH(1,(CH_CostItems_Anytime!$C$24:$C$71=TBL_Comparison!$C17)*(CH_CostItems_Anytime!$D$24:$D$71=TBL_Comparison!$D17),0),1)</f>
        <v>2.46</v>
      </c>
      <c r="G17" s="266" cm="1">
        <f t="array" ref="G17">INDEX(CH_CostItems_Anytime!$N$24:$N$71,MATCH(1,(CH_CostItems_Anytime!$C$24:$C$71=TBL_Comparison!$C17)*(CH_CostItems_Anytime!$D$24:$D$71=TBL_Comparison!$D17),0),1)</f>
        <v>0</v>
      </c>
      <c r="I17" s="270">
        <f t="shared" si="2"/>
        <v>0</v>
      </c>
      <c r="J17" s="217">
        <f t="shared" si="1"/>
        <v>0</v>
      </c>
      <c r="K17">
        <f t="shared" si="3"/>
        <v>1</v>
      </c>
      <c r="M17" s="270">
        <f t="shared" si="5"/>
        <v>-2.46</v>
      </c>
      <c r="N17" s="217">
        <f t="shared" si="6"/>
        <v>-1.7422096317280453E-3</v>
      </c>
      <c r="O17">
        <f t="shared" si="4"/>
        <v>21</v>
      </c>
      <c r="R17" s="30" t="s">
        <v>741</v>
      </c>
    </row>
    <row r="18" spans="3:25" x14ac:dyDescent="0.25">
      <c r="C18" s="24" t="s">
        <v>282</v>
      </c>
      <c r="D18" s="24" t="s">
        <v>633</v>
      </c>
      <c r="E18" s="268">
        <v>0.62589545454545448</v>
      </c>
      <c r="F18" s="266" cm="1">
        <f t="array" ref="F18">INDEX(CH_CostItems_Anytime!$G$24:$G$71,MATCH(1,(CH_CostItems_Anytime!$C$24:$C$71=TBL_Comparison!$C18)*(CH_CostItems_Anytime!$D$24:$D$71=TBL_Comparison!$D18),0),1)</f>
        <v>0.62589545454545448</v>
      </c>
      <c r="G18" s="266" cm="1">
        <f t="array" ref="G18">INDEX(CH_CostItems_Anytime!$N$24:$N$71,MATCH(1,(CH_CostItems_Anytime!$C$24:$C$71=TBL_Comparison!$C18)*(CH_CostItems_Anytime!$D$24:$D$71=TBL_Comparison!$D18),0),1)</f>
        <v>0.61619999999999997</v>
      </c>
      <c r="I18" s="270">
        <f t="shared" si="2"/>
        <v>0</v>
      </c>
      <c r="J18" s="217">
        <f t="shared" si="1"/>
        <v>0</v>
      </c>
      <c r="K18">
        <f t="shared" si="3"/>
        <v>1</v>
      </c>
      <c r="M18" s="270">
        <f t="shared" si="5"/>
        <v>-9.6954545454545071E-3</v>
      </c>
      <c r="N18" s="217">
        <f t="shared" si="6"/>
        <v>-6.8664692248261379E-6</v>
      </c>
      <c r="O18">
        <f t="shared" si="4"/>
        <v>18</v>
      </c>
      <c r="Q18" s="35"/>
      <c r="R18" s="42" t="str">
        <f>Calc_Rates!$D$5</f>
        <v>VDO 2021 - Variation final</v>
      </c>
      <c r="S18" s="10"/>
      <c r="T18" s="10"/>
      <c r="U18" s="10"/>
      <c r="V18" s="10"/>
      <c r="W18" s="42" t="str">
        <f>Calc_Rates!$D$251</f>
        <v>VDO 2022 - Final</v>
      </c>
      <c r="X18" s="10"/>
      <c r="Y18" s="10"/>
    </row>
    <row r="19" spans="3:25" x14ac:dyDescent="0.25">
      <c r="C19" s="24" t="s">
        <v>282</v>
      </c>
      <c r="D19" s="24" t="s">
        <v>129</v>
      </c>
      <c r="E19" s="268">
        <v>1.3468636363636362</v>
      </c>
      <c r="F19" s="266" cm="1">
        <f t="array" ref="F19">INDEX(CH_CostItems_Anytime!$G$24:$G$71,MATCH(1,(CH_CostItems_Anytime!$C$24:$C$71=TBL_Comparison!$C19)*(CH_CostItems_Anytime!$D$24:$D$71=TBL_Comparison!$D19),0),1)</f>
        <v>1.3468636363636362</v>
      </c>
      <c r="G19" s="266" cm="1">
        <f t="array" ref="G19">INDEX(CH_CostItems_Anytime!$N$24:$N$71,MATCH(1,(CH_CostItems_Anytime!$C$24:$C$71=TBL_Comparison!$C19)*(CH_CostItems_Anytime!$D$24:$D$71=TBL_Comparison!$D19),0),1)</f>
        <v>1.3478399999999999</v>
      </c>
      <c r="I19" s="270">
        <f t="shared" si="2"/>
        <v>0</v>
      </c>
      <c r="J19" s="217">
        <f t="shared" si="1"/>
        <v>0</v>
      </c>
      <c r="K19">
        <f t="shared" si="3"/>
        <v>1</v>
      </c>
      <c r="M19" s="270">
        <f t="shared" si="5"/>
        <v>9.763636363637751E-4</v>
      </c>
      <c r="N19" s="217">
        <f t="shared" si="6"/>
        <v>6.9147566314714951E-7</v>
      </c>
      <c r="O19">
        <f t="shared" si="4"/>
        <v>13</v>
      </c>
      <c r="Q19" s="138">
        <f>MAX($K$13:$K$38)</f>
        <v>1</v>
      </c>
      <c r="R19" t="str">
        <f>INDEX($D$13:$D$38,MATCH($Q19,K$13:K$38,0),1)</f>
        <v>Network</v>
      </c>
      <c r="S19" s="279">
        <f>INDEX($I$13:$I$38,MATCH($Q19,K$13:K$38,0),1)</f>
        <v>0</v>
      </c>
      <c r="T19" s="281">
        <f>INDEX($J$13:$J$38,MATCH($Q19,K$13:K$38,0),1)</f>
        <v>0</v>
      </c>
      <c r="V19" s="138">
        <f>MAX($O$13:$O$38)</f>
        <v>26</v>
      </c>
      <c r="W19" t="str">
        <f>INDEX($D$13:$D$38,MATCH($V19,O$13:O$38,0),1)</f>
        <v>Wholesale cost</v>
      </c>
      <c r="X19" s="279">
        <f>INDEX($M$13:$M$38,MATCH($V19,O$13:O$38,0),1)</f>
        <v>-91.927999999999997</v>
      </c>
      <c r="Y19" s="281">
        <f>INDEX($N$13:$N$38,MATCH($V19,O$13:O$38,0),1)</f>
        <v>-6.5104815864022655E-2</v>
      </c>
    </row>
    <row r="20" spans="3:25" x14ac:dyDescent="0.25">
      <c r="C20" s="24" t="s">
        <v>130</v>
      </c>
      <c r="D20" s="24" t="s">
        <v>509</v>
      </c>
      <c r="E20" s="268">
        <v>100.6601</v>
      </c>
      <c r="F20" s="266" cm="1">
        <f t="array" ref="F20">INDEX(CH_CostItems_Anytime!$G$24:$G$71,MATCH(1,(CH_CostItems_Anytime!$C$24:$C$71=TBL_Comparison!$C20)*(CH_CostItems_Anytime!$D$24:$D$71=TBL_Comparison!$D20),0),1)</f>
        <v>100.6601</v>
      </c>
      <c r="G20" s="266" cm="1">
        <f t="array" ref="G20">INDEX(CH_CostItems_Anytime!$N$24:$N$71,MATCH(1,(CH_CostItems_Anytime!$C$24:$C$71=TBL_Comparison!$C20)*(CH_CostItems_Anytime!$D$24:$D$71=TBL_Comparison!$D20),0),1)</f>
        <v>100.6601</v>
      </c>
      <c r="I20" s="270">
        <f t="shared" si="2"/>
        <v>0</v>
      </c>
      <c r="J20" s="217">
        <f t="shared" si="1"/>
        <v>0</v>
      </c>
      <c r="K20">
        <f t="shared" si="3"/>
        <v>1</v>
      </c>
      <c r="M20" s="270">
        <f t="shared" si="5"/>
        <v>0</v>
      </c>
      <c r="N20" s="217">
        <f t="shared" si="6"/>
        <v>0</v>
      </c>
      <c r="O20">
        <f t="shared" si="4"/>
        <v>14</v>
      </c>
      <c r="Q20" s="138">
        <f>Q19-1</f>
        <v>0</v>
      </c>
      <c r="R20" t="e">
        <f>INDEX($D$13:$D$38,MATCH($Q20,K$13:K$38,0),1)</f>
        <v>#N/A</v>
      </c>
      <c r="S20" s="279" t="e">
        <f>INDEX($I$13:$I$38,MATCH($Q20,K$13:K$38,0),1)</f>
        <v>#N/A</v>
      </c>
      <c r="T20" s="281" t="e">
        <f>INDEX($J$13:$J$38,MATCH($Q20,K$13:K$38,0),1)</f>
        <v>#N/A</v>
      </c>
      <c r="V20" s="138">
        <f>V19-1</f>
        <v>25</v>
      </c>
      <c r="W20" t="str">
        <f>INDEX($D$13:$D$38,MATCH($V20,O$13:O$38,0),1)</f>
        <v>GST (anytime)</v>
      </c>
      <c r="X20" s="279">
        <f>INDEX($M$13:$M$38,MATCH($V20,O$13:O$38,0),1)</f>
        <v>-8.653432651713544</v>
      </c>
      <c r="Y20" s="281">
        <f>INDEX($N$13:$N$38,MATCH($V20,O$13:O$38,0),1)</f>
        <v>-6.1284933794005271E-3</v>
      </c>
    </row>
    <row r="21" spans="3:25" x14ac:dyDescent="0.25">
      <c r="C21" s="24" t="s">
        <v>130</v>
      </c>
      <c r="D21" s="24" t="s">
        <v>284</v>
      </c>
      <c r="E21" s="268">
        <v>55.641999999999996</v>
      </c>
      <c r="F21" s="266" cm="1">
        <f t="array" ref="F21">INDEX(CH_CostItems_Anytime!$G$24:$G$71,MATCH(1,(CH_CostItems_Anytime!$C$24:$C$71=TBL_Comparison!$C21)*(CH_CostItems_Anytime!$D$24:$D$71=TBL_Comparison!$D21),0),1)</f>
        <v>55.641999999999996</v>
      </c>
      <c r="G21" s="266" cm="1">
        <f t="array" ref="G21">INDEX(CH_CostItems_Anytime!$N$24:$N$71,MATCH(1,(CH_CostItems_Anytime!$C$24:$C$71=TBL_Comparison!$C21)*(CH_CostItems_Anytime!$D$24:$D$71=TBL_Comparison!$D21),0),1)</f>
        <v>55.641999999999996</v>
      </c>
      <c r="I21" s="270">
        <f t="shared" si="2"/>
        <v>0</v>
      </c>
      <c r="J21" s="217">
        <f t="shared" si="1"/>
        <v>0</v>
      </c>
      <c r="K21">
        <f t="shared" si="3"/>
        <v>1</v>
      </c>
      <c r="M21" s="270">
        <f t="shared" si="5"/>
        <v>0</v>
      </c>
      <c r="N21" s="217">
        <f t="shared" si="6"/>
        <v>0</v>
      </c>
      <c r="O21">
        <f t="shared" si="4"/>
        <v>14</v>
      </c>
      <c r="Q21" s="138">
        <f>Q20-1</f>
        <v>-1</v>
      </c>
      <c r="R21" t="e">
        <f>INDEX($D$13:$D$38,MATCH($Q21,K$13:K$38,0),1)</f>
        <v>#N/A</v>
      </c>
      <c r="S21" s="279" t="e">
        <f>INDEX($I$13:$I$38,MATCH($Q21,K$13:K$38,0),1)</f>
        <v>#N/A</v>
      </c>
      <c r="T21" s="281" t="e">
        <f>INDEX($J$13:$J$38,MATCH($Q21,K$13:K$38,0),1)</f>
        <v>#N/A</v>
      </c>
      <c r="V21" s="138">
        <f t="shared" ref="V21:V23" si="7">V20-1</f>
        <v>24</v>
      </c>
      <c r="W21" t="str">
        <f>INDEX($D$13:$D$38,MATCH($V21,O$13:O$38,0),1)</f>
        <v>Retail margin (anytime)</v>
      </c>
      <c r="X21" s="279">
        <f>INDEX($M$13:$M$38,MATCH($V21,O$13:O$38,0),1)</f>
        <v>-4.9289639019568057</v>
      </c>
      <c r="Y21" s="281">
        <f>INDEX($N$13:$N$38,MATCH($V21,O$13:O$38,0),1)</f>
        <v>-3.4907676359467463E-3</v>
      </c>
    </row>
    <row r="22" spans="3:25" x14ac:dyDescent="0.25">
      <c r="C22" s="24" t="s">
        <v>115</v>
      </c>
      <c r="D22" s="24" t="s">
        <v>301</v>
      </c>
      <c r="E22" s="268">
        <v>143.29536631887984</v>
      </c>
      <c r="F22" s="266" cm="1">
        <f t="array" ref="F22">INDEX(CH_CostItems_Anytime!$G$24:$G$71,MATCH(1,(CH_CostItems_Anytime!$C$24:$C$71=TBL_Comparison!$C22)*(CH_CostItems_Anytime!$D$24:$D$71=TBL_Comparison!$D22),0),1)</f>
        <v>143.29536631887984</v>
      </c>
      <c r="G22" s="266" cm="1">
        <f t="array" ref="G22">INDEX(CH_CostItems_Anytime!$N$24:$N$71,MATCH(1,(CH_CostItems_Anytime!$C$24:$C$71=TBL_Comparison!$C22)*(CH_CostItems_Anytime!$D$24:$D$71=TBL_Comparison!$D22),0),1)</f>
        <v>141.75366943089429</v>
      </c>
      <c r="I22" s="270">
        <f t="shared" si="2"/>
        <v>0</v>
      </c>
      <c r="J22" s="217">
        <f t="shared" si="1"/>
        <v>0</v>
      </c>
      <c r="K22">
        <f t="shared" si="3"/>
        <v>1</v>
      </c>
      <c r="M22" s="270">
        <f t="shared" si="5"/>
        <v>-1.5416968879855517</v>
      </c>
      <c r="N22" s="217">
        <f t="shared" si="6"/>
        <v>-1.0918533201030819E-3</v>
      </c>
      <c r="O22">
        <f t="shared" si="4"/>
        <v>20</v>
      </c>
      <c r="Q22" s="138">
        <f t="shared" ref="Q22:Q23" si="8">Q21-1</f>
        <v>-2</v>
      </c>
      <c r="R22" t="e">
        <f>INDEX($D$13:$D$38,MATCH($Q22,K$13:K$38,0),1)</f>
        <v>#N/A</v>
      </c>
      <c r="S22" s="279" t="e">
        <f>INDEX($I$13:$I$38,MATCH($Q22,K$13:K$38,0),1)</f>
        <v>#N/A</v>
      </c>
      <c r="T22" s="281" t="e">
        <f>INDEX($J$13:$J$38,MATCH($Q22,K$13:K$38,0),1)</f>
        <v>#N/A</v>
      </c>
      <c r="V22" s="138">
        <f t="shared" si="7"/>
        <v>23</v>
      </c>
      <c r="W22" t="str">
        <f>INDEX($D$13:$D$38,MATCH($V22,O$13:O$38,0),1)</f>
        <v>Wholesale losses</v>
      </c>
      <c r="X22" s="279">
        <f>INDEX($M$13:$M$38,MATCH($V22,O$13:O$38,0),1)</f>
        <v>-4.3684026656357915</v>
      </c>
      <c r="Y22" s="281">
        <f>INDEX($N$13:$N$38,MATCH($V22,O$13:O$38,0),1)</f>
        <v>-3.0937695932264811E-3</v>
      </c>
    </row>
    <row r="23" spans="3:25" x14ac:dyDescent="0.25">
      <c r="C23" s="24" t="s">
        <v>115</v>
      </c>
      <c r="D23" s="24" t="s">
        <v>123</v>
      </c>
      <c r="E23" s="268">
        <v>38.463414634146346</v>
      </c>
      <c r="F23" s="266" cm="1">
        <f t="array" ref="F23">INDEX(CH_CostItems_Anytime!$G$24:$G$71,MATCH(1,(CH_CostItems_Anytime!$C$24:$C$71=TBL_Comparison!$C23)*(CH_CostItems_Anytime!$D$24:$D$71=TBL_Comparison!$D23),0),1)</f>
        <v>38.463414634146346</v>
      </c>
      <c r="G23" s="266" cm="1">
        <f t="array" ref="G23">INDEX(CH_CostItems_Anytime!$N$24:$N$71,MATCH(1,(CH_CostItems_Anytime!$C$24:$C$71=TBL_Comparison!$C23)*(CH_CostItems_Anytime!$D$24:$D$71=TBL_Comparison!$D23),0),1)</f>
        <v>39.621951219512198</v>
      </c>
      <c r="I23" s="270">
        <f t="shared" si="2"/>
        <v>0</v>
      </c>
      <c r="J23" s="217">
        <f t="shared" si="1"/>
        <v>0</v>
      </c>
      <c r="K23">
        <f t="shared" si="3"/>
        <v>1</v>
      </c>
      <c r="M23" s="270">
        <f t="shared" si="5"/>
        <v>1.1585365853658516</v>
      </c>
      <c r="N23" s="217">
        <f t="shared" si="6"/>
        <v>8.2049333241207621E-4</v>
      </c>
      <c r="O23">
        <f t="shared" si="4"/>
        <v>5</v>
      </c>
      <c r="Q23" s="138">
        <f t="shared" si="8"/>
        <v>-3</v>
      </c>
      <c r="R23" t="e">
        <f>INDEX($D$13:$D$38,MATCH($Q23,K$13:K$38,0),1)</f>
        <v>#N/A</v>
      </c>
      <c r="S23" s="279" t="e">
        <f>INDEX($I$13:$I$38,MATCH($Q23,K$13:K$38,0),1)</f>
        <v>#N/A</v>
      </c>
      <c r="T23" s="281" t="e">
        <f>INDEX($J$13:$J$38,MATCH($Q23,K$13:K$38,0),1)</f>
        <v>#N/A</v>
      </c>
      <c r="V23" s="138">
        <f t="shared" si="7"/>
        <v>22</v>
      </c>
      <c r="W23" t="str">
        <f>INDEX($D$13:$D$38,MATCH($V23,O$13:O$38,0),1)</f>
        <v>SRES cost</v>
      </c>
      <c r="X23" s="279">
        <f>INDEX($M$13:$M$38,MATCH($V23,O$13:O$38,0),1)</f>
        <v>-4.0799999999999912</v>
      </c>
      <c r="Y23" s="281">
        <f>INDEX($N$13:$N$38,MATCH($V23,O$13:O$38,0),1)</f>
        <v>-2.8895184135977275E-3</v>
      </c>
    </row>
    <row r="24" spans="3:25" x14ac:dyDescent="0.25">
      <c r="C24" s="24" t="s">
        <v>160</v>
      </c>
      <c r="D24" s="24" t="s">
        <v>316</v>
      </c>
      <c r="E24" s="268">
        <v>22.348230726776563</v>
      </c>
      <c r="F24" s="266" cm="1">
        <f t="array" ref="F24">INDEX(CH_CostItems_Anytime!$G$24:$G$71,MATCH(1,(CH_CostItems_Anytime!$C$24:$C$71=TBL_Comparison!$C24)*(CH_CostItems_Anytime!$D$24:$D$71=TBL_Comparison!$D24),0),1)</f>
        <v>22.348230726776563</v>
      </c>
      <c r="G24" s="266" cm="1">
        <f t="array" ref="G24">INDEX(CH_CostItems_Anytime!$N$24:$N$71,MATCH(1,(CH_CostItems_Anytime!$C$24:$C$71=TBL_Comparison!$C24)*(CH_CostItems_Anytime!$D$24:$D$71=TBL_Comparison!$D24),0),1)</f>
        <v>39.299517472610361</v>
      </c>
      <c r="I24" s="270">
        <f t="shared" si="2"/>
        <v>0</v>
      </c>
      <c r="J24" s="217">
        <f t="shared" si="1"/>
        <v>0</v>
      </c>
      <c r="K24">
        <f t="shared" si="3"/>
        <v>1</v>
      </c>
      <c r="M24" s="270">
        <f t="shared" si="5"/>
        <v>16.951286745833798</v>
      </c>
      <c r="N24" s="217">
        <f t="shared" si="6"/>
        <v>1.2005160584868129E-2</v>
      </c>
      <c r="O24">
        <f t="shared" si="4"/>
        <v>1</v>
      </c>
    </row>
    <row r="25" spans="3:25" x14ac:dyDescent="0.25">
      <c r="C25" s="24" t="s">
        <v>160</v>
      </c>
      <c r="D25" s="24" t="s">
        <v>318</v>
      </c>
      <c r="E25" s="268">
        <v>25.403108929581201</v>
      </c>
      <c r="F25" s="266" cm="1">
        <f t="array" ref="F25">INDEX(CH_CostItems_Anytime!$G$24:$G$71,MATCH(1,(CH_CostItems_Anytime!$C$24:$C$71=TBL_Comparison!$C25)*(CH_CostItems_Anytime!$D$24:$D$71=TBL_Comparison!$D25),0),1)</f>
        <v>25.403108929581201</v>
      </c>
      <c r="G25" s="266" cm="1">
        <f t="array" ref="G25">INDEX(CH_CostItems_Anytime!$N$24:$N$71,MATCH(1,(CH_CostItems_Anytime!$C$24:$C$71=TBL_Comparison!$C25)*(CH_CostItems_Anytime!$D$24:$D$71=TBL_Comparison!$D25),0),1)</f>
        <v>25.540703999999998</v>
      </c>
      <c r="I25" s="270">
        <f t="shared" si="2"/>
        <v>0</v>
      </c>
      <c r="J25" s="217">
        <f t="shared" si="1"/>
        <v>0</v>
      </c>
      <c r="K25">
        <f t="shared" si="3"/>
        <v>1</v>
      </c>
      <c r="M25" s="270">
        <f t="shared" si="5"/>
        <v>0.13759507041879715</v>
      </c>
      <c r="N25" s="217">
        <f t="shared" si="6"/>
        <v>9.7446933724360581E-5</v>
      </c>
      <c r="O25">
        <f t="shared" si="4"/>
        <v>9</v>
      </c>
    </row>
    <row r="26" spans="3:25" x14ac:dyDescent="0.25">
      <c r="C26" s="24" t="s">
        <v>160</v>
      </c>
      <c r="D26" s="24" t="s">
        <v>320</v>
      </c>
      <c r="E26" s="268">
        <v>45.039999999999992</v>
      </c>
      <c r="F26" s="266" cm="1">
        <f t="array" ref="F26">INDEX(CH_CostItems_Anytime!$G$24:$G$71,MATCH(1,(CH_CostItems_Anytime!$C$24:$C$71=TBL_Comparison!$C26)*(CH_CostItems_Anytime!$D$24:$D$71=TBL_Comparison!$D26),0),1)</f>
        <v>45.039999999999992</v>
      </c>
      <c r="G26" s="266" cm="1">
        <f t="array" ref="G26">INDEX(CH_CostItems_Anytime!$N$24:$N$71,MATCH(1,(CH_CostItems_Anytime!$C$24:$C$71=TBL_Comparison!$C26)*(CH_CostItems_Anytime!$D$24:$D$71=TBL_Comparison!$D26),0),1)</f>
        <v>40.96</v>
      </c>
      <c r="I26" s="270">
        <f t="shared" si="2"/>
        <v>0</v>
      </c>
      <c r="J26" s="217">
        <f t="shared" si="1"/>
        <v>0</v>
      </c>
      <c r="K26">
        <f t="shared" si="3"/>
        <v>1</v>
      </c>
      <c r="M26" s="270">
        <f t="shared" si="5"/>
        <v>-4.0799999999999912</v>
      </c>
      <c r="N26" s="217">
        <f t="shared" si="6"/>
        <v>-2.8895184135977275E-3</v>
      </c>
      <c r="O26">
        <f t="shared" si="4"/>
        <v>22</v>
      </c>
    </row>
    <row r="27" spans="3:25" x14ac:dyDescent="0.25">
      <c r="C27" s="24" t="s">
        <v>130</v>
      </c>
      <c r="D27" s="24" t="s">
        <v>622</v>
      </c>
      <c r="E27" s="268">
        <v>354.48240000000004</v>
      </c>
      <c r="F27" s="266" cm="1">
        <f t="array" ref="F27">INDEX(CH_CostItems_Anytime!$G$24:$G$71,MATCH(1,(CH_CostItems_Anytime!$C$24:$C$71=TBL_Comparison!$C27)*(CH_CostItems_Anytime!$D$24:$D$71=TBL_Comparison!$D27),0),1)</f>
        <v>354.48240000000004</v>
      </c>
      <c r="G27" s="266" cm="1">
        <f t="array" ref="G27">INDEX(CH_CostItems_Anytime!$N$24:$N$71,MATCH(1,(CH_CostItems_Anytime!$C$24:$C$71=TBL_Comparison!$C27)*(CH_CostItems_Anytime!$D$24:$D$71=TBL_Comparison!$D27),0),1)</f>
        <v>354.48240000000004</v>
      </c>
      <c r="I27" s="270">
        <f t="shared" si="2"/>
        <v>0</v>
      </c>
      <c r="J27" s="217">
        <f t="shared" si="1"/>
        <v>0</v>
      </c>
      <c r="K27">
        <f t="shared" si="3"/>
        <v>1</v>
      </c>
      <c r="M27" s="270">
        <f t="shared" si="5"/>
        <v>0</v>
      </c>
      <c r="N27" s="217">
        <f t="shared" si="6"/>
        <v>0</v>
      </c>
      <c r="O27">
        <f t="shared" si="4"/>
        <v>14</v>
      </c>
    </row>
    <row r="28" spans="3:25" x14ac:dyDescent="0.25">
      <c r="C28" s="24" t="s">
        <v>293</v>
      </c>
      <c r="D28" s="24" t="s">
        <v>759</v>
      </c>
      <c r="E28" s="268">
        <v>20.894830003302662</v>
      </c>
      <c r="F28" s="266" cm="1">
        <f t="array" ref="F28">INDEX(CH_CostItems_Anytime!$G$24:$G$71,MATCH(1,(CH_CostItems_Anytime!$C$24:$C$71=TBL_Comparison!$C28)*(CH_CostItems_Anytime!$D$24:$D$71=TBL_Comparison!$D28),0),1)</f>
        <v>20.894830003302662</v>
      </c>
      <c r="G28" s="266" cm="1">
        <f t="array" ref="G28">INDEX(CH_CostItems_Anytime!$N$24:$N$71,MATCH(1,(CH_CostItems_Anytime!$C$24:$C$71=TBL_Comparison!$C28)*(CH_CostItems_Anytime!$D$24:$D$71=TBL_Comparison!$D28),0),1)</f>
        <v>16.52642733766687</v>
      </c>
      <c r="I28" s="270">
        <f t="shared" si="2"/>
        <v>0</v>
      </c>
      <c r="J28" s="217">
        <f t="shared" si="1"/>
        <v>0</v>
      </c>
      <c r="K28">
        <f t="shared" si="3"/>
        <v>1</v>
      </c>
      <c r="M28" s="270">
        <f t="shared" si="5"/>
        <v>-4.3684026656357915</v>
      </c>
      <c r="N28" s="217">
        <f t="shared" si="6"/>
        <v>-3.0937695932264811E-3</v>
      </c>
      <c r="O28">
        <f t="shared" si="4"/>
        <v>23</v>
      </c>
    </row>
    <row r="29" spans="3:25" x14ac:dyDescent="0.25">
      <c r="C29" s="24" t="s">
        <v>293</v>
      </c>
      <c r="D29" s="24" t="s">
        <v>760</v>
      </c>
      <c r="E29" s="268">
        <v>5.1367535939638787</v>
      </c>
      <c r="F29" s="266" cm="1">
        <f t="array" ref="F29">INDEX(CH_CostItems_Anytime!$G$24:$G$71,MATCH(1,(CH_CostItems_Anytime!$C$24:$C$71=TBL_Comparison!$C29)*(CH_CostItems_Anytime!$D$24:$D$71=TBL_Comparison!$D29),0),1)</f>
        <v>5.1367535939638787</v>
      </c>
      <c r="G29" s="266" cm="1">
        <f t="array" ref="G29">INDEX(CH_CostItems_Anytime!$N$24:$N$71,MATCH(1,(CH_CostItems_Anytime!$C$24:$C$71=TBL_Comparison!$C29)*(CH_CostItems_Anytime!$D$24:$D$71=TBL_Comparison!$D29),0),1)</f>
        <v>6.1149163925029297</v>
      </c>
      <c r="I29" s="270">
        <f t="shared" ref="I29:I30" si="9">IF(F29="-",0,F29)-IF(E29="-",0,E29)</f>
        <v>0</v>
      </c>
      <c r="J29" s="217">
        <f t="shared" ref="J29:J30" si="10">IFERROR((F29-E29)/E$11,"-")</f>
        <v>0</v>
      </c>
      <c r="K29">
        <f t="shared" si="3"/>
        <v>1</v>
      </c>
      <c r="M29" s="270">
        <f t="shared" ref="M29:M30" si="11">IF(G29="-",0,G29)-IF(F29="-",0,F29)</f>
        <v>0.97816279853905108</v>
      </c>
      <c r="N29" s="217">
        <f t="shared" ref="N29:N30" si="12">IFERROR((G29-F29)/F$11,"-")</f>
        <v>6.9274985732227414E-4</v>
      </c>
      <c r="O29">
        <f>_xlfn.RANK.EQ(M29,$M$13:$M$38)</f>
        <v>6</v>
      </c>
    </row>
    <row r="30" spans="3:25" x14ac:dyDescent="0.25">
      <c r="C30" s="24" t="s">
        <v>293</v>
      </c>
      <c r="D30" s="24" t="s">
        <v>761</v>
      </c>
      <c r="E30" s="268">
        <v>0.16255055076519404</v>
      </c>
      <c r="F30" s="266" cm="1">
        <f t="array" ref="F30">INDEX(CH_CostItems_Anytime!$G$24:$G$71,MATCH(1,(CH_CostItems_Anytime!$C$24:$C$71=TBL_Comparison!$C30)*(CH_CostItems_Anytime!$D$24:$D$71=TBL_Comparison!$D30),0),1)</f>
        <v>0.16255055076519404</v>
      </c>
      <c r="G30" s="266" cm="1">
        <f t="array" ref="G30">INDEX(CH_CostItems_Anytime!$N$24:$N$71,MATCH(1,(CH_CostItems_Anytime!$C$24:$C$71=TBL_Comparison!$C30)*(CH_CostItems_Anytime!$D$24:$D$71=TBL_Comparison!$D30),0),1)</f>
        <v>0.20239977232017345</v>
      </c>
      <c r="I30" s="270">
        <f t="shared" si="9"/>
        <v>0</v>
      </c>
      <c r="J30" s="217">
        <f t="shared" si="10"/>
        <v>0</v>
      </c>
      <c r="K30">
        <f t="shared" si="3"/>
        <v>1</v>
      </c>
      <c r="M30" s="270">
        <f t="shared" si="11"/>
        <v>3.9849221554979414E-2</v>
      </c>
      <c r="N30" s="217">
        <f t="shared" si="12"/>
        <v>2.822182829672763E-5</v>
      </c>
      <c r="O30">
        <f t="shared" si="4"/>
        <v>12</v>
      </c>
    </row>
    <row r="31" spans="3:25" x14ac:dyDescent="0.25">
      <c r="C31" s="24" t="s">
        <v>282</v>
      </c>
      <c r="D31" s="24" t="s">
        <v>169</v>
      </c>
      <c r="E31" s="268">
        <v>1.4951608391608391</v>
      </c>
      <c r="F31" s="266" cm="1">
        <f t="array" ref="F31">INDEX(CH_CostItems_Anytime!$G$24:$G$71,MATCH(1,(CH_CostItems_Anytime!$C$24:$C$71=TBL_Comparison!$C31)*(CH_CostItems_Anytime!$D$24:$D$71=TBL_Comparison!$D31),0),1)</f>
        <v>1.4951608391608391</v>
      </c>
      <c r="G31" s="266" cm="1">
        <f t="array" ref="G31">INDEX(CH_CostItems_Anytime!$N$24:$N$71,MATCH(1,(CH_CostItems_Anytime!$C$24:$C$71=TBL_Comparison!$C31)*(CH_CostItems_Anytime!$D$24:$D$71=TBL_Comparison!$D31),0),1)</f>
        <v>1.6000799999999997</v>
      </c>
      <c r="I31" s="270">
        <f t="shared" si="2"/>
        <v>0</v>
      </c>
      <c r="J31" s="217">
        <f t="shared" si="1"/>
        <v>0</v>
      </c>
      <c r="K31">
        <f t="shared" si="3"/>
        <v>1</v>
      </c>
      <c r="M31" s="270">
        <f t="shared" si="5"/>
        <v>0.10491916083916064</v>
      </c>
      <c r="N31" s="217">
        <f>IFERROR((G31-F31)/F$11,"-")</f>
        <v>7.4305354701955132E-5</v>
      </c>
      <c r="O31">
        <f t="shared" si="4"/>
        <v>11</v>
      </c>
    </row>
    <row r="32" spans="3:25" x14ac:dyDescent="0.25">
      <c r="C32" s="24" t="s">
        <v>282</v>
      </c>
      <c r="D32" s="24" t="s">
        <v>171</v>
      </c>
      <c r="E32" s="268">
        <v>0</v>
      </c>
      <c r="F32" s="266" cm="1">
        <f t="array" ref="F32">INDEX(CH_CostItems_Anytime!$G$24:$G$71,MATCH(1,(CH_CostItems_Anytime!$C$24:$C$71=TBL_Comparison!$C32)*(CH_CostItems_Anytime!$D$24:$D$71=TBL_Comparison!$D32),0),1)</f>
        <v>0</v>
      </c>
      <c r="G32" s="266" cm="1">
        <f t="array" ref="G32">INDEX(CH_CostItems_Anytime!$N$24:$N$71,MATCH(1,(CH_CostItems_Anytime!$C$24:$C$71=TBL_Comparison!$C32)*(CH_CostItems_Anytime!$D$24:$D$71=TBL_Comparison!$D32),0),1)</f>
        <v>0</v>
      </c>
      <c r="I32" s="270">
        <f t="shared" si="2"/>
        <v>0</v>
      </c>
      <c r="J32" s="217">
        <f t="shared" si="1"/>
        <v>0</v>
      </c>
      <c r="K32">
        <f t="shared" si="3"/>
        <v>1</v>
      </c>
      <c r="M32" s="270">
        <f t="shared" si="5"/>
        <v>0</v>
      </c>
      <c r="N32" s="217">
        <f t="shared" si="6"/>
        <v>0</v>
      </c>
      <c r="O32">
        <f t="shared" si="4"/>
        <v>14</v>
      </c>
    </row>
    <row r="33" spans="1:26" x14ac:dyDescent="0.25">
      <c r="C33" s="24" t="s">
        <v>282</v>
      </c>
      <c r="D33" s="24" t="s">
        <v>660</v>
      </c>
      <c r="E33" s="268" t="s">
        <v>11</v>
      </c>
      <c r="F33" s="269" t="str" cm="1">
        <f t="array" ref="F33">INDEX(CH_CostItems_Anytime!$G$24:$G$71,MATCH(1,(CH_CostItems_Anytime!$C$24:$C$71=TBL_Comparison!$C33)*(CH_CostItems_Anytime!$D$24:$D$71=TBL_Comparison!$D33),0),1)</f>
        <v>-</v>
      </c>
      <c r="G33" s="266" cm="1">
        <f t="array" ref="G33">INDEX(CH_CostItems_Anytime!$N$24:$N$71,MATCH(1,(CH_CostItems_Anytime!$C$24:$C$71=TBL_Comparison!$C33)*(CH_CostItems_Anytime!$D$24:$D$71=TBL_Comparison!$D33),0),1)</f>
        <v>0.49299999999999999</v>
      </c>
      <c r="I33" s="270">
        <f t="shared" si="2"/>
        <v>0</v>
      </c>
      <c r="J33" s="217" t="str">
        <f t="shared" si="1"/>
        <v>-</v>
      </c>
      <c r="K33">
        <f t="shared" si="3"/>
        <v>1</v>
      </c>
      <c r="M33" s="270">
        <f t="shared" si="5"/>
        <v>0.49299999999999999</v>
      </c>
      <c r="N33" s="217" t="str">
        <f t="shared" si="6"/>
        <v>-</v>
      </c>
      <c r="O33">
        <f t="shared" si="4"/>
        <v>7</v>
      </c>
    </row>
    <row r="34" spans="1:26" x14ac:dyDescent="0.25">
      <c r="C34" s="24" t="s">
        <v>282</v>
      </c>
      <c r="D34" s="24" t="s">
        <v>659</v>
      </c>
      <c r="E34" s="268" t="s">
        <v>11</v>
      </c>
      <c r="F34" s="269" t="str" cm="1">
        <f t="array" ref="F34">INDEX(CH_CostItems_Anytime!$G$24:$G$71,MATCH(1,(CH_CostItems_Anytime!$C$24:$C$71=TBL_Comparison!$C34)*(CH_CostItems_Anytime!$D$24:$D$71=TBL_Comparison!$D34),0),1)</f>
        <v>-</v>
      </c>
      <c r="G34" s="266" cm="1">
        <f t="array" ref="G34">INDEX(CH_CostItems_Anytime!$N$24:$N$71,MATCH(1,(CH_CostItems_Anytime!$C$24:$C$71=TBL_Comparison!$C34)*(CH_CostItems_Anytime!$D$24:$D$71=TBL_Comparison!$D34),0),1)</f>
        <v>0.10491999999999999</v>
      </c>
      <c r="I34" s="270">
        <f t="shared" si="2"/>
        <v>0</v>
      </c>
      <c r="J34" s="217" t="str">
        <f t="shared" si="1"/>
        <v>-</v>
      </c>
      <c r="K34">
        <f t="shared" si="3"/>
        <v>1</v>
      </c>
      <c r="M34" s="270">
        <f t="shared" si="5"/>
        <v>0.10491999999999999</v>
      </c>
      <c r="N34" s="217" t="str">
        <f t="shared" si="6"/>
        <v>-</v>
      </c>
      <c r="O34">
        <f t="shared" si="4"/>
        <v>10</v>
      </c>
    </row>
    <row r="35" spans="1:26" x14ac:dyDescent="0.25">
      <c r="C35" s="24" t="s">
        <v>282</v>
      </c>
      <c r="D35" s="24" t="s">
        <v>172</v>
      </c>
      <c r="E35" s="268">
        <v>1.4411846739089889</v>
      </c>
      <c r="F35" s="266" cm="1">
        <f t="array" ref="F35">INDEX(CH_CostItems_Anytime!$G$24:$G$71,MATCH(1,(CH_CostItems_Anytime!$C$24:$C$71=TBL_Comparison!$C35)*(CH_CostItems_Anytime!$D$24:$D$71=TBL_Comparison!$D35),0),1)</f>
        <v>1.4411846739089889</v>
      </c>
      <c r="G35" s="266" cm="1">
        <f t="array" ref="G35">INDEX(CH_CostItems_Anytime!$N$24:$N$71,MATCH(1,(CH_CostItems_Anytime!$C$24:$C$71=TBL_Comparison!$C35)*(CH_CostItems_Anytime!$D$24:$D$71=TBL_Comparison!$D35),0),1)</f>
        <v>1.3039188101630295</v>
      </c>
      <c r="I35" s="270">
        <f t="shared" si="2"/>
        <v>0</v>
      </c>
      <c r="J35" s="217">
        <f t="shared" si="1"/>
        <v>0</v>
      </c>
      <c r="K35">
        <f t="shared" si="3"/>
        <v>1</v>
      </c>
      <c r="M35" s="270">
        <f t="shared" si="5"/>
        <v>-0.13726586374595939</v>
      </c>
      <c r="N35" s="217">
        <f t="shared" si="6"/>
        <v>-9.7213784522634132E-5</v>
      </c>
      <c r="O35">
        <f t="shared" si="4"/>
        <v>19</v>
      </c>
    </row>
    <row r="36" spans="1:26" x14ac:dyDescent="0.25">
      <c r="C36" s="24" t="s">
        <v>137</v>
      </c>
      <c r="D36" s="24" t="s">
        <v>292</v>
      </c>
      <c r="E36" s="268">
        <v>378.54399999999998</v>
      </c>
      <c r="F36" s="266" cm="1">
        <f t="array" ref="F36">INDEX(CH_CostItems_Anytime!$G$24:$G$71,MATCH(1,(CH_CostItems_Anytime!$C$24:$C$71=TBL_Comparison!$C36)*(CH_CostItems_Anytime!$D$24:$D$71=TBL_Comparison!$D36),0),1)</f>
        <v>378.54399999999998</v>
      </c>
      <c r="G36" s="266" cm="1">
        <f t="array" ref="G36">INDEX(CH_CostItems_Anytime!$N$24:$N$71,MATCH(1,(CH_CostItems_Anytime!$C$24:$C$71=TBL_Comparison!$C36)*(CH_CostItems_Anytime!$D$24:$D$71=TBL_Comparison!$D36),0),1)</f>
        <v>286.61599999999999</v>
      </c>
      <c r="I36" s="270">
        <f t="shared" si="2"/>
        <v>0</v>
      </c>
      <c r="J36" s="217">
        <f t="shared" si="1"/>
        <v>0</v>
      </c>
      <c r="K36">
        <f t="shared" si="3"/>
        <v>1</v>
      </c>
      <c r="M36" s="270">
        <f t="shared" si="5"/>
        <v>-91.927999999999997</v>
      </c>
      <c r="N36" s="217">
        <f t="shared" si="6"/>
        <v>-6.5104815864022655E-2</v>
      </c>
      <c r="O36">
        <f t="shared" si="4"/>
        <v>26</v>
      </c>
    </row>
    <row r="37" spans="1:26" x14ac:dyDescent="0.25">
      <c r="C37" s="24"/>
      <c r="D37" s="24" t="s">
        <v>623</v>
      </c>
      <c r="E37" s="268">
        <v>128.30681375845413</v>
      </c>
      <c r="F37" s="266" cm="1">
        <f t="array" ref="F37">INDEX(CH_CostItems_Anytime!$G$24:$G$71,MATCH(1,(CH_CostItems_Anytime!$C$24:$C$71=TBL_Comparison!$C37)*(CH_CostItems_Anytime!$D$24:$D$71=TBL_Comparison!$D37),0),1)</f>
        <v>128.30681375845413</v>
      </c>
      <c r="G37" s="266" cm="1">
        <f t="array" ref="G37">INDEX(CH_CostItems_Anytime!$N$24:$N$71,MATCH(1,(CH_CostItems_Anytime!$C$24:$C$71=TBL_Comparison!$C37)*(CH_CostItems_Anytime!$D$24:$D$71=TBL_Comparison!$D37),0),1)</f>
        <v>119.65338110674058</v>
      </c>
      <c r="I37" s="270">
        <f t="shared" si="2"/>
        <v>0</v>
      </c>
      <c r="J37" s="217">
        <f t="shared" si="1"/>
        <v>0</v>
      </c>
      <c r="K37">
        <f t="shared" si="3"/>
        <v>1</v>
      </c>
      <c r="M37" s="270">
        <f t="shared" si="5"/>
        <v>-8.653432651713544</v>
      </c>
      <c r="N37" s="217">
        <f t="shared" si="6"/>
        <v>-6.1284933794005271E-3</v>
      </c>
      <c r="O37">
        <f t="shared" si="4"/>
        <v>25</v>
      </c>
    </row>
    <row r="38" spans="1:26" x14ac:dyDescent="0.25">
      <c r="C38" s="24"/>
      <c r="D38" s="24" t="s">
        <v>624</v>
      </c>
      <c r="E38" s="268">
        <v>73.083096482559696</v>
      </c>
      <c r="F38" s="266" cm="1">
        <f t="array" ref="F38">INDEX(CH_CostItems_Anytime!$G$24:$G$71,MATCH(1,(CH_CostItems_Anytime!$C$24:$C$71=TBL_Comparison!$C38)*(CH_CostItems_Anytime!$D$24:$D$71=TBL_Comparison!$D38),0),1)</f>
        <v>73.083096482559696</v>
      </c>
      <c r="G38" s="266" cm="1">
        <f t="array" ref="G38">INDEX(CH_CostItems_Anytime!$N$24:$N$71,MATCH(1,(CH_CostItems_Anytime!$C$24:$C$71=TBL_Comparison!$C38)*(CH_CostItems_Anytime!$D$24:$D$71=TBL_Comparison!$D38),0),1)</f>
        <v>68.154132580602891</v>
      </c>
      <c r="I38" s="270">
        <f t="shared" si="2"/>
        <v>0</v>
      </c>
      <c r="J38" s="217">
        <f t="shared" si="1"/>
        <v>0</v>
      </c>
      <c r="K38">
        <f t="shared" si="3"/>
        <v>1</v>
      </c>
      <c r="M38" s="270">
        <f t="shared" si="5"/>
        <v>-4.9289639019568057</v>
      </c>
      <c r="N38" s="217">
        <f t="shared" si="6"/>
        <v>-3.4907676359467463E-3</v>
      </c>
      <c r="O38">
        <f t="shared" si="4"/>
        <v>24</v>
      </c>
    </row>
    <row r="39" spans="1:26" x14ac:dyDescent="0.25">
      <c r="F39" s="267"/>
      <c r="G39" s="267"/>
    </row>
    <row r="42" spans="1:26" x14ac:dyDescent="0.25">
      <c r="F42" s="267"/>
      <c r="G42" s="267"/>
    </row>
    <row r="46" spans="1:26" ht="16.5" thickBot="1" x14ac:dyDescent="0.3">
      <c r="A46" s="1" t="s">
        <v>30</v>
      </c>
      <c r="B46" s="9">
        <f ca="1">MAX(B$3:B45)+0.1</f>
        <v>20.200000000000003</v>
      </c>
      <c r="C46" s="29" t="s">
        <v>738</v>
      </c>
      <c r="D46" s="29"/>
      <c r="E46" s="29"/>
      <c r="F46" s="29"/>
      <c r="G46" s="29"/>
      <c r="H46" s="29"/>
      <c r="I46" s="29"/>
      <c r="J46" s="29"/>
      <c r="K46" s="29"/>
      <c r="L46" s="29"/>
      <c r="M46" s="29"/>
      <c r="N46" s="29"/>
      <c r="O46" s="29"/>
      <c r="P46" s="29"/>
      <c r="Q46" s="256"/>
      <c r="R46" s="29"/>
      <c r="S46" s="29"/>
      <c r="T46" s="29"/>
      <c r="U46" s="29"/>
      <c r="V46" s="29"/>
      <c r="W46" s="29"/>
      <c r="X46" s="29"/>
      <c r="Y46" s="29"/>
      <c r="Z46" s="29"/>
    </row>
    <row r="48" spans="1:26" ht="15.75" x14ac:dyDescent="0.25">
      <c r="I48" s="30" t="s">
        <v>707</v>
      </c>
      <c r="J48" s="30" t="s">
        <v>743</v>
      </c>
      <c r="K48" s="30" t="s">
        <v>739</v>
      </c>
      <c r="M48" s="30" t="s">
        <v>707</v>
      </c>
      <c r="N48" s="30" t="s">
        <v>755</v>
      </c>
      <c r="O48" s="30" t="s">
        <v>739</v>
      </c>
      <c r="R48" s="30" t="s">
        <v>742</v>
      </c>
    </row>
    <row r="49" spans="3:25" ht="31.5" x14ac:dyDescent="0.25">
      <c r="C49" s="265" t="s">
        <v>53</v>
      </c>
      <c r="D49" s="265" t="s">
        <v>54</v>
      </c>
      <c r="E49" s="265" t="s">
        <v>421</v>
      </c>
      <c r="F49" s="145" t="str">
        <f>Calc_Rates!$D$5</f>
        <v>VDO 2021 - Variation final</v>
      </c>
      <c r="G49" s="145" t="str">
        <f>Calc_Rates!$D$251</f>
        <v>VDO 2022 - Final</v>
      </c>
      <c r="I49" s="145" t="str">
        <f>Calc_Rates!$D$5</f>
        <v>VDO 2021 - Variation final</v>
      </c>
      <c r="J49" s="145" t="str">
        <f>Calc_Rates!$D$5</f>
        <v>VDO 2021 - Variation final</v>
      </c>
      <c r="K49" s="145" t="str">
        <f>Calc_Rates!$D$5</f>
        <v>VDO 2021 - Variation final</v>
      </c>
      <c r="L49" s="10"/>
      <c r="M49" s="145" t="str">
        <f>Calc_Rates!$D$251</f>
        <v>VDO 2022 - Final</v>
      </c>
      <c r="N49" s="145" t="str">
        <f>Calc_Rates!$D$251</f>
        <v>VDO 2022 - Final</v>
      </c>
      <c r="O49" s="145" t="str">
        <f>Calc_Rates!$D$251</f>
        <v>VDO 2022 - Final</v>
      </c>
      <c r="Q49" s="35"/>
      <c r="R49" s="42" t="str">
        <f>Calc_Rates!$D$5</f>
        <v>VDO 2021 - Variation final</v>
      </c>
      <c r="S49" s="10"/>
      <c r="T49" s="10"/>
      <c r="U49" s="10"/>
      <c r="V49" s="10"/>
      <c r="W49" s="42" t="str">
        <f>Calc_Rates!$D$251</f>
        <v>VDO 2022 - Final</v>
      </c>
      <c r="X49" s="10"/>
      <c r="Y49" s="10"/>
    </row>
    <row r="50" spans="3:25" x14ac:dyDescent="0.25">
      <c r="Q50" s="138">
        <v>1</v>
      </c>
      <c r="R50" t="e">
        <f>INDEX($D$53:$D$78,MATCH($Q50,#REF!,0),1)</f>
        <v>#REF!</v>
      </c>
      <c r="S50" s="279" t="e">
        <f>INDEX($I$53:$I$78,MATCH($Q50,#REF!,0),1)</f>
        <v>#REF!</v>
      </c>
      <c r="T50" s="281" t="e">
        <f>INDEX($J$53:$J$78,MATCH($Q50,#REF!,0),1)</f>
        <v>#REF!</v>
      </c>
      <c r="V50" s="138">
        <v>1</v>
      </c>
      <c r="W50" t="str">
        <f>INDEX($D$53:$D$78,MATCH($V50,O$53:O$78,0),1)</f>
        <v>VEU cost</v>
      </c>
      <c r="X50" s="279">
        <f>INDEX($M$53:$M$78,MATCH($V50,O$53:O$78,0),1)</f>
        <v>84.756433729168975</v>
      </c>
      <c r="Y50" s="281">
        <f>INDEX($N$53:$N$78,MATCH($V50,O$53:O$78,0),1)</f>
        <v>1.4906161401542205E-2</v>
      </c>
    </row>
    <row r="51" spans="3:25" x14ac:dyDescent="0.25">
      <c r="C51" s="277" t="s">
        <v>384</v>
      </c>
      <c r="D51" s="277"/>
      <c r="E51" s="278">
        <f>ROUNDUP(SUM(E53:E78),0)</f>
        <v>5686</v>
      </c>
      <c r="F51" s="278">
        <f>ROUNDUP(SUM(F53:F78),0)</f>
        <v>5686</v>
      </c>
      <c r="G51" s="278">
        <f>ROUNDUP(SUM(G53:G78),0)</f>
        <v>5350</v>
      </c>
      <c r="H51" s="214"/>
      <c r="I51" s="275">
        <f t="shared" ref="I51" si="13">IF(F51="-",0,F51)-IF(E51="-",0,E51)</f>
        <v>0</v>
      </c>
      <c r="J51" s="276">
        <f>IFERROR((F51-E51)/E51,"-")</f>
        <v>0</v>
      </c>
      <c r="L51" s="214"/>
      <c r="M51" s="275">
        <f>IF(G51="-",0,G51)-IF(F51="-",0,F51)</f>
        <v>-336</v>
      </c>
      <c r="N51" s="280">
        <f>IFERROR((G51-F51)/F51,"-")</f>
        <v>-5.9092507914175169E-2</v>
      </c>
      <c r="Q51" s="138">
        <v>2</v>
      </c>
      <c r="R51" t="e">
        <f>INDEX($D$53:$D$78,MATCH($Q51,#REF!,0),1)</f>
        <v>#REF!</v>
      </c>
      <c r="S51" s="279" t="e">
        <f>INDEX($I$53:$I$78,MATCH($Q51,#REF!,0),1)</f>
        <v>#REF!</v>
      </c>
      <c r="T51" s="281" t="e">
        <f>INDEX($J$53:$J$78,MATCH($Q51,#REF!,0),1)</f>
        <v>#REF!</v>
      </c>
      <c r="V51" s="138">
        <v>2</v>
      </c>
      <c r="W51" t="str">
        <f>INDEX($D$53:$D$78,MATCH($V51,O$53:O$78,0),1)</f>
        <v>Environmental - Anytime VDO</v>
      </c>
      <c r="X51" s="279">
        <f>INDEX($M$53:$M$78,MATCH($V51,O$53:O$78,0),1)</f>
        <v>65.399354711290428</v>
      </c>
      <c r="Y51" s="281">
        <f>INDEX($N$53:$N$78,MATCH($V51,O$53:O$78,0),1)</f>
        <v>1.1501821088865711E-2</v>
      </c>
    </row>
    <row r="52" spans="3:25" x14ac:dyDescent="0.25">
      <c r="Q52" s="138">
        <v>3</v>
      </c>
      <c r="R52" t="e">
        <f>INDEX($D$53:$D$78,MATCH($Q52,#REF!,0),1)</f>
        <v>#REF!</v>
      </c>
      <c r="S52" s="279" t="e">
        <f>INDEX($I$53:$I$78,MATCH($Q52,#REF!,0),1)</f>
        <v>#REF!</v>
      </c>
      <c r="T52" s="281" t="e">
        <f>INDEX($J$53:$J$78,MATCH($Q52,#REF!,0),1)</f>
        <v>#REF!</v>
      </c>
      <c r="V52" s="138">
        <v>3</v>
      </c>
      <c r="W52" t="str">
        <f>INDEX($D$53:$D$78,MATCH($V52,O$53:O$78,0),1)</f>
        <v>Network</v>
      </c>
      <c r="X52" s="279">
        <f>INDEX($M$53:$M$78,MATCH($V52,O$53:O$78,0),1)</f>
        <v>14.492942008274076</v>
      </c>
      <c r="Y52" s="281">
        <f>INDEX($N$53:$N$78,MATCH($V52,O$53:O$78,0),1)</f>
        <v>2.5488818164393378E-3</v>
      </c>
    </row>
    <row r="53" spans="3:25" x14ac:dyDescent="0.25">
      <c r="C53" s="24" t="s">
        <v>322</v>
      </c>
      <c r="D53" s="24" t="s">
        <v>130</v>
      </c>
      <c r="E53" s="268">
        <v>0</v>
      </c>
      <c r="F53" s="266" cm="1">
        <f t="array" ref="F53">INDEX(CH_CostItems_Anytime!$G$96:$G$143,MATCH(1,(CH_CostItems_Anytime!$C$96:$C$143=TBL_Comparison!$C53)*(CH_CostItems_Anytime!$D$96:$D$143=TBL_Comparison!$D53),0),1)</f>
        <v>0</v>
      </c>
      <c r="G53" s="266" cm="1">
        <f t="array" ref="G53">INDEX(CH_CostItems_Anytime!$N$96:$N$143,MATCH(1,(CH_CostItems_Anytime!$C$96:$C$143=TBL_Comparison!$C53)*(CH_CostItems_Anytime!$D$96:$D$143=TBL_Comparison!$D53),0),1)</f>
        <v>14.492942008274076</v>
      </c>
      <c r="I53" s="270">
        <f>IF(F53="-",0,F53)-IF(E53="-",0,E53)</f>
        <v>0</v>
      </c>
      <c r="J53" s="217">
        <f>IFERROR((F53-E53)/E$51,"-")</f>
        <v>0</v>
      </c>
      <c r="K53">
        <f>_xlfn.RANK.EQ(I53,$I$53:$I$78)</f>
        <v>1</v>
      </c>
      <c r="M53" s="270">
        <f>IF(G53="-",0,G53)-IF(F53="-",0,F53)</f>
        <v>14.492942008274076</v>
      </c>
      <c r="N53" s="217">
        <f>IFERROR((G53-F53)/F$51,"-")</f>
        <v>2.5488818164393378E-3</v>
      </c>
      <c r="O53">
        <f t="shared" ref="O53:O68" si="14">_xlfn.RANK.EQ(M53,$M$53:$M$78)</f>
        <v>3</v>
      </c>
      <c r="Q53" s="138">
        <v>4</v>
      </c>
      <c r="R53" t="e">
        <f>INDEX($D$53:$D$78,MATCH($Q53,#REF!,0),1)</f>
        <v>#REF!</v>
      </c>
      <c r="S53" s="279" t="e">
        <f>INDEX($I$53:$I$78,MATCH($Q53,#REF!,0),1)</f>
        <v>#REF!</v>
      </c>
      <c r="T53" s="281" t="e">
        <f>INDEX($J$53:$J$78,MATCH($Q53,#REF!,0),1)</f>
        <v>#REF!</v>
      </c>
      <c r="V53" s="138">
        <v>4</v>
      </c>
      <c r="W53" t="str">
        <f>INDEX($D$53:$D$78,MATCH($V53,O$53:O$78,0),1)</f>
        <v>Environmental losses</v>
      </c>
      <c r="X53" s="279">
        <f>INDEX($M$53:$M$78,MATCH($V53,O$53:O$78,0),1)</f>
        <v>4.8908139926952536</v>
      </c>
      <c r="Y53" s="281">
        <f>INDEX($N$53:$N$78,MATCH($V53,O$53:O$78,0),1)</f>
        <v>8.6015019217292531E-4</v>
      </c>
    </row>
    <row r="54" spans="3:25" x14ac:dyDescent="0.25">
      <c r="C54" s="24" t="s">
        <v>322</v>
      </c>
      <c r="D54" s="24" t="s">
        <v>621</v>
      </c>
      <c r="E54" s="268">
        <v>0</v>
      </c>
      <c r="F54" s="266" cm="1">
        <f t="array" ref="F54">INDEX(CH_CostItems_Anytime!$G$96:$G$143,MATCH(1,(CH_CostItems_Anytime!$C$96:$C$143=TBL_Comparison!$C54)*(CH_CostItems_Anytime!$D$96:$D$143=TBL_Comparison!$D54),0),1)</f>
        <v>0</v>
      </c>
      <c r="G54" s="266" cm="1">
        <f t="array" ref="G54">INDEX(CH_CostItems_Anytime!$N$96:$N$143,MATCH(1,(CH_CostItems_Anytime!$C$96:$C$143=TBL_Comparison!$C54)*(CH_CostItems_Anytime!$D$96:$D$143=TBL_Comparison!$D54),0),1)</f>
        <v>65.399354711290428</v>
      </c>
      <c r="I54" s="270">
        <f t="shared" ref="I54:I78" si="15">IF(F54="-",0,F54)-IF(E54="-",0,E54)</f>
        <v>0</v>
      </c>
      <c r="J54" s="217">
        <f t="shared" ref="J54:J78" si="16">IFERROR((F54-E54)/E$51,"-")</f>
        <v>0</v>
      </c>
      <c r="K54">
        <f t="shared" ref="K54:K78" si="17">_xlfn.RANK.EQ(I54,$I$53:$I$78)</f>
        <v>1</v>
      </c>
      <c r="M54" s="270">
        <f t="shared" ref="M54:M78" si="18">IF(G54="-",0,G54)-IF(F54="-",0,F54)</f>
        <v>65.399354711290428</v>
      </c>
      <c r="N54" s="217">
        <f t="shared" ref="N54:N78" si="19">IFERROR((G54-F54)/F$51,"-")</f>
        <v>1.1501821088865711E-2</v>
      </c>
      <c r="O54">
        <f t="shared" si="14"/>
        <v>2</v>
      </c>
      <c r="Q54" s="138">
        <v>5</v>
      </c>
      <c r="R54" t="e">
        <f>INDEX($D$53:$D$78,MATCH($Q54,#REF!,0),1)</f>
        <v>#REF!</v>
      </c>
      <c r="S54" s="279" t="e">
        <f>INDEX($I$53:$I$78,MATCH($Q54,#REF!,0),1)</f>
        <v>#REF!</v>
      </c>
      <c r="T54" s="281" t="e">
        <f>INDEX($J$53:$J$78,MATCH($Q54,#REF!,0),1)</f>
        <v>#REF!</v>
      </c>
      <c r="V54" s="138">
        <v>5</v>
      </c>
      <c r="W54" t="str">
        <f>INDEX($D$53:$D$78,MATCH($V54,O$53:O$78,0),1)</f>
        <v>Feed-in tariff (FiT)</v>
      </c>
      <c r="X54" s="279">
        <f>INDEX($M$53:$M$78,MATCH($V54,O$53:O$78,0),1)</f>
        <v>2.4885733559337897</v>
      </c>
      <c r="Y54" s="281">
        <f>INDEX($N$53:$N$78,MATCH($V54,O$53:O$78,0),1)</f>
        <v>4.3766678788846109E-4</v>
      </c>
    </row>
    <row r="55" spans="3:25" x14ac:dyDescent="0.25">
      <c r="C55" s="24" t="s">
        <v>160</v>
      </c>
      <c r="D55" s="24" t="s">
        <v>125</v>
      </c>
      <c r="E55" s="268">
        <v>10.849248189087444</v>
      </c>
      <c r="F55" s="266" cm="1">
        <f t="array" ref="F55">INDEX(CH_CostItems_Anytime!$G$96:$G$143,MATCH(1,(CH_CostItems_Anytime!$C$96:$C$143=TBL_Comparison!$C55)*(CH_CostItems_Anytime!$D$96:$D$143=TBL_Comparison!$D55),0),1)</f>
        <v>10.849248189087444</v>
      </c>
      <c r="G55" s="266" cm="1">
        <f t="array" ref="G55">INDEX(CH_CostItems_Anytime!$N$96:$N$143,MATCH(1,(CH_CostItems_Anytime!$C$96:$C$143=TBL_Comparison!$C55)*(CH_CostItems_Anytime!$D$96:$D$143=TBL_Comparison!$D55),0),1)</f>
        <v>13.337821545021233</v>
      </c>
      <c r="I55" s="270">
        <f t="shared" si="15"/>
        <v>0</v>
      </c>
      <c r="J55" s="217">
        <f t="shared" si="16"/>
        <v>0</v>
      </c>
      <c r="K55">
        <f t="shared" si="17"/>
        <v>1</v>
      </c>
      <c r="M55" s="270">
        <f t="shared" si="18"/>
        <v>2.4885733559337897</v>
      </c>
      <c r="N55" s="217">
        <f>IFERROR((G55-F55)/F$51,"-")</f>
        <v>4.3766678788846109E-4</v>
      </c>
      <c r="O55">
        <f t="shared" si="14"/>
        <v>5</v>
      </c>
      <c r="Q55"/>
    </row>
    <row r="56" spans="3:25" x14ac:dyDescent="0.25">
      <c r="C56" s="24" t="s">
        <v>282</v>
      </c>
      <c r="D56" s="24" t="s">
        <v>126</v>
      </c>
      <c r="E56" s="268">
        <v>1.6939335514995686</v>
      </c>
      <c r="F56" s="266" cm="1">
        <f t="array" ref="F56">INDEX(CH_CostItems_Anytime!$G$96:$G$143,MATCH(1,(CH_CostItems_Anytime!$C$96:$C$143=TBL_Comparison!$C56)*(CH_CostItems_Anytime!$D$96:$D$143=TBL_Comparison!$D56),0),1)</f>
        <v>1.6939335514995686</v>
      </c>
      <c r="G56" s="266" cm="1">
        <f t="array" ref="G56">INDEX(CH_CostItems_Anytime!$N$96:$N$143,MATCH(1,(CH_CostItems_Anytime!$C$96:$C$143=TBL_Comparison!$C56)*(CH_CostItems_Anytime!$D$96:$D$143=TBL_Comparison!$D56),0),1)</f>
        <v>2.1558125061118716</v>
      </c>
      <c r="I56" s="270">
        <f t="shared" si="15"/>
        <v>0</v>
      </c>
      <c r="J56" s="217">
        <f t="shared" si="16"/>
        <v>0</v>
      </c>
      <c r="K56">
        <f t="shared" si="17"/>
        <v>1</v>
      </c>
      <c r="M56" s="270">
        <f t="shared" si="18"/>
        <v>0.46187895461230299</v>
      </c>
      <c r="N56" s="217">
        <f t="shared" si="19"/>
        <v>8.1230910061959731E-5</v>
      </c>
      <c r="O56">
        <f t="shared" si="14"/>
        <v>11</v>
      </c>
      <c r="Q56"/>
    </row>
    <row r="57" spans="3:25" ht="15.75" x14ac:dyDescent="0.25">
      <c r="C57" s="24" t="s">
        <v>282</v>
      </c>
      <c r="D57" s="24" t="s">
        <v>127</v>
      </c>
      <c r="E57" s="268">
        <v>2.46</v>
      </c>
      <c r="F57" s="266" cm="1">
        <f t="array" ref="F57">INDEX(CH_CostItems_Anytime!$G$96:$G$143,MATCH(1,(CH_CostItems_Anytime!$C$96:$C$143=TBL_Comparison!$C57)*(CH_CostItems_Anytime!$D$96:$D$143=TBL_Comparison!$D57),0),1)</f>
        <v>2.46</v>
      </c>
      <c r="G57" s="266" cm="1">
        <f t="array" ref="G57">INDEX(CH_CostItems_Anytime!$N$96:$N$143,MATCH(1,(CH_CostItems_Anytime!$C$96:$C$143=TBL_Comparison!$C57)*(CH_CostItems_Anytime!$D$96:$D$143=TBL_Comparison!$D57),0),1)</f>
        <v>0</v>
      </c>
      <c r="I57" s="270">
        <f t="shared" si="15"/>
        <v>0</v>
      </c>
      <c r="J57" s="217">
        <f t="shared" si="16"/>
        <v>0</v>
      </c>
      <c r="K57">
        <f t="shared" si="17"/>
        <v>1</v>
      </c>
      <c r="M57" s="270">
        <f t="shared" si="18"/>
        <v>-2.46</v>
      </c>
      <c r="N57" s="217">
        <f t="shared" si="19"/>
        <v>-4.3264157580021105E-4</v>
      </c>
      <c r="O57">
        <f t="shared" si="14"/>
        <v>21</v>
      </c>
      <c r="R57" s="30" t="s">
        <v>741</v>
      </c>
    </row>
    <row r="58" spans="3:25" x14ac:dyDescent="0.25">
      <c r="C58" s="24" t="s">
        <v>282</v>
      </c>
      <c r="D58" s="24" t="s">
        <v>633</v>
      </c>
      <c r="E58" s="268">
        <v>0.62589545454545448</v>
      </c>
      <c r="F58" s="266" cm="1">
        <f t="array" ref="F58">INDEX(CH_CostItems_Anytime!$G$96:$G$143,MATCH(1,(CH_CostItems_Anytime!$C$96:$C$143=TBL_Comparison!$C58)*(CH_CostItems_Anytime!$D$96:$D$143=TBL_Comparison!$D58),0),1)</f>
        <v>0.62589545454545448</v>
      </c>
      <c r="G58" s="266" cm="1">
        <f t="array" ref="G58">INDEX(CH_CostItems_Anytime!$N$96:$N$143,MATCH(1,(CH_CostItems_Anytime!$C$96:$C$143=TBL_Comparison!$C58)*(CH_CostItems_Anytime!$D$96:$D$143=TBL_Comparison!$D58),0),1)</f>
        <v>0.61619999999999997</v>
      </c>
      <c r="I58" s="270">
        <f t="shared" si="15"/>
        <v>0</v>
      </c>
      <c r="J58" s="217">
        <f t="shared" si="16"/>
        <v>0</v>
      </c>
      <c r="K58">
        <f t="shared" si="17"/>
        <v>1</v>
      </c>
      <c r="M58" s="270">
        <f t="shared" si="18"/>
        <v>-9.6954545454545071E-3</v>
      </c>
      <c r="N58" s="217">
        <f t="shared" si="19"/>
        <v>-1.7051450132702263E-6</v>
      </c>
      <c r="O58">
        <f t="shared" si="14"/>
        <v>18</v>
      </c>
      <c r="Q58" s="35"/>
      <c r="R58" s="42" t="str">
        <f>Calc_Rates!$D$5</f>
        <v>VDO 2021 - Variation final</v>
      </c>
      <c r="S58" s="10"/>
      <c r="T58" s="10"/>
      <c r="U58" s="10"/>
      <c r="V58" s="10"/>
      <c r="W58" s="42" t="str">
        <f>Calc_Rates!$D$251</f>
        <v>VDO 2022 - Final</v>
      </c>
      <c r="X58" s="10"/>
      <c r="Y58" s="10"/>
    </row>
    <row r="59" spans="3:25" x14ac:dyDescent="0.25">
      <c r="C59" s="24" t="s">
        <v>282</v>
      </c>
      <c r="D59" s="24" t="s">
        <v>129</v>
      </c>
      <c r="E59" s="268">
        <v>1.3468636363636362</v>
      </c>
      <c r="F59" s="266" cm="1">
        <f t="array" ref="F59">INDEX(CH_CostItems_Anytime!$G$96:$G$143,MATCH(1,(CH_CostItems_Anytime!$C$96:$C$143=TBL_Comparison!$C59)*(CH_CostItems_Anytime!$D$96:$D$143=TBL_Comparison!$D59),0),1)</f>
        <v>1.3468636363636362</v>
      </c>
      <c r="G59" s="266" cm="1">
        <f t="array" ref="G59">INDEX(CH_CostItems_Anytime!$N$96:$N$143,MATCH(1,(CH_CostItems_Anytime!$C$96:$C$143=TBL_Comparison!$C59)*(CH_CostItems_Anytime!$D$96:$D$143=TBL_Comparison!$D59),0),1)</f>
        <v>1.3478399999999999</v>
      </c>
      <c r="I59" s="270">
        <f t="shared" si="15"/>
        <v>0</v>
      </c>
      <c r="J59" s="217">
        <f t="shared" si="16"/>
        <v>0</v>
      </c>
      <c r="K59">
        <f t="shared" si="17"/>
        <v>1</v>
      </c>
      <c r="M59" s="270">
        <f t="shared" si="18"/>
        <v>9.763636363637751E-4</v>
      </c>
      <c r="N59" s="217">
        <f t="shared" si="19"/>
        <v>1.7171361877660485E-7</v>
      </c>
      <c r="O59">
        <f t="shared" si="14"/>
        <v>13</v>
      </c>
      <c r="Q59" s="138" t="e">
        <f>MAX(#REF!)</f>
        <v>#REF!</v>
      </c>
      <c r="R59" t="e">
        <f>INDEX($D$53:$D$78,MATCH($Q59,#REF!,0),1)</f>
        <v>#REF!</v>
      </c>
      <c r="S59" s="279" t="e">
        <f>INDEX($I$53:$I$78,MATCH($Q59,#REF!,0),1)</f>
        <v>#REF!</v>
      </c>
      <c r="T59" s="281" t="e">
        <f>INDEX($J$53:$J$78,MATCH($Q59,#REF!,0),1)</f>
        <v>#REF!</v>
      </c>
      <c r="V59" s="138">
        <f>MAX($O$53:$O$78)</f>
        <v>26</v>
      </c>
      <c r="W59" t="str">
        <f>INDEX($D$53:$D$78,MATCH($V59,O$53:O$78,0),1)</f>
        <v>Wholesale cost</v>
      </c>
      <c r="X59" s="279">
        <f>INDEX($M$53:$M$78,MATCH($V59,O$53:O$78,0),1)</f>
        <v>-409.87999999999988</v>
      </c>
      <c r="Y59" s="281">
        <f>INDEX($N$53:$N$78,MATCH($V59,O$53:O$78,0),1)</f>
        <v>-7.2085824832922946E-2</v>
      </c>
    </row>
    <row r="60" spans="3:25" x14ac:dyDescent="0.25">
      <c r="C60" s="24" t="s">
        <v>130</v>
      </c>
      <c r="D60" s="24" t="s">
        <v>509</v>
      </c>
      <c r="E60" s="268">
        <v>141.11709999999999</v>
      </c>
      <c r="F60" s="266" cm="1">
        <f t="array" ref="F60">INDEX(CH_CostItems_Anytime!$G$96:$G$143,MATCH(1,(CH_CostItems_Anytime!$C$96:$C$143=TBL_Comparison!$C60)*(CH_CostItems_Anytime!$D$96:$D$143=TBL_Comparison!$D60),0),1)</f>
        <v>141.11709999999999</v>
      </c>
      <c r="G60" s="266" cm="1">
        <f t="array" ref="G60">INDEX(CH_CostItems_Anytime!$N$96:$N$143,MATCH(1,(CH_CostItems_Anytime!$C$96:$C$143=TBL_Comparison!$C60)*(CH_CostItems_Anytime!$D$96:$D$143=TBL_Comparison!$D60),0),1)</f>
        <v>141.11709999999999</v>
      </c>
      <c r="I60" s="270">
        <f t="shared" si="15"/>
        <v>0</v>
      </c>
      <c r="J60" s="217">
        <f t="shared" si="16"/>
        <v>0</v>
      </c>
      <c r="K60">
        <f t="shared" si="17"/>
        <v>1</v>
      </c>
      <c r="M60" s="270">
        <f t="shared" si="18"/>
        <v>0</v>
      </c>
      <c r="N60" s="217">
        <f t="shared" si="19"/>
        <v>0</v>
      </c>
      <c r="O60">
        <f t="shared" si="14"/>
        <v>14</v>
      </c>
      <c r="Q60" s="138" t="e">
        <f>Q59-1</f>
        <v>#REF!</v>
      </c>
      <c r="R60" t="e">
        <f>INDEX($D$53:$D$78,MATCH($Q60,#REF!,0),1)</f>
        <v>#REF!</v>
      </c>
      <c r="S60" s="279" t="e">
        <f>INDEX($I$53:$I$78,MATCH($Q60,#REF!,0),1)</f>
        <v>#REF!</v>
      </c>
      <c r="T60" s="281" t="e">
        <f>INDEX($J$53:$J$78,MATCH($Q60,#REF!,0),1)</f>
        <v>#REF!</v>
      </c>
      <c r="V60" s="138">
        <f>V59-1</f>
        <v>25</v>
      </c>
      <c r="W60" t="str">
        <f>INDEX($D$53:$D$78,MATCH($V60,O$53:O$78,0),1)</f>
        <v>GST (anytime)</v>
      </c>
      <c r="X60" s="279">
        <f>INDEX($M$53:$M$78,MATCH($V60,O$53:O$78,0),1)</f>
        <v>-37.781311535454847</v>
      </c>
      <c r="Y60" s="281">
        <f>INDEX($N$53:$N$78,MATCH($V60,O$53:O$78,0),1)</f>
        <v>-6.6446203896332826E-3</v>
      </c>
    </row>
    <row r="61" spans="3:25" x14ac:dyDescent="0.25">
      <c r="C61" s="24" t="s">
        <v>130</v>
      </c>
      <c r="D61" s="24" t="s">
        <v>284</v>
      </c>
      <c r="E61" s="268">
        <v>55.641999999999996</v>
      </c>
      <c r="F61" s="266" cm="1">
        <f t="array" ref="F61">INDEX(CH_CostItems_Anytime!$G$96:$G$143,MATCH(1,(CH_CostItems_Anytime!$C$96:$C$143=TBL_Comparison!$C61)*(CH_CostItems_Anytime!$D$96:$D$143=TBL_Comparison!$D61),0),1)</f>
        <v>55.641999999999996</v>
      </c>
      <c r="G61" s="266" cm="1">
        <f t="array" ref="G61">INDEX(CH_CostItems_Anytime!$N$96:$N$143,MATCH(1,(CH_CostItems_Anytime!$C$96:$C$143=TBL_Comparison!$C61)*(CH_CostItems_Anytime!$D$96:$D$143=TBL_Comparison!$D61),0),1)</f>
        <v>55.641999999999996</v>
      </c>
      <c r="I61" s="270">
        <f t="shared" si="15"/>
        <v>0</v>
      </c>
      <c r="J61" s="217">
        <f t="shared" si="16"/>
        <v>0</v>
      </c>
      <c r="K61">
        <f t="shared" si="17"/>
        <v>1</v>
      </c>
      <c r="M61" s="270">
        <f t="shared" si="18"/>
        <v>0</v>
      </c>
      <c r="N61" s="217">
        <f t="shared" si="19"/>
        <v>0</v>
      </c>
      <c r="O61">
        <f t="shared" si="14"/>
        <v>14</v>
      </c>
      <c r="Q61" s="138" t="e">
        <f>Q60-1</f>
        <v>#REF!</v>
      </c>
      <c r="R61" t="e">
        <f>INDEX($D$53:$D$78,MATCH($Q61,#REF!,0),1)</f>
        <v>#REF!</v>
      </c>
      <c r="S61" s="279" t="e">
        <f>INDEX($I$53:$I$78,MATCH($Q61,#REF!,0),1)</f>
        <v>#REF!</v>
      </c>
      <c r="T61" s="281" t="e">
        <f>INDEX($J$53:$J$78,MATCH($Q61,#REF!,0),1)</f>
        <v>#REF!</v>
      </c>
      <c r="V61" s="138">
        <f>V60-1</f>
        <v>24</v>
      </c>
      <c r="W61" t="str">
        <f>INDEX($D$53:$D$78,MATCH($V61,O$53:O$78,0),1)</f>
        <v>Retail margin (anytime)</v>
      </c>
      <c r="X61" s="279">
        <f>INDEX($M$53:$M$78,MATCH($V61,O$53:O$78,0),1)</f>
        <v>-21.520098234076443</v>
      </c>
      <c r="Y61" s="281">
        <f>INDEX($N$53:$N$78,MATCH($V61,O$53:O$78,0),1)</f>
        <v>-3.784751711937468E-3</v>
      </c>
    </row>
    <row r="62" spans="3:25" x14ac:dyDescent="0.25">
      <c r="C62" s="24" t="s">
        <v>115</v>
      </c>
      <c r="D62" s="24" t="s">
        <v>301</v>
      </c>
      <c r="E62" s="268">
        <v>143.29536631887984</v>
      </c>
      <c r="F62" s="266" cm="1">
        <f t="array" ref="F62">INDEX(CH_CostItems_Anytime!$G$96:$G$143,MATCH(1,(CH_CostItems_Anytime!$C$96:$C$143=TBL_Comparison!$C62)*(CH_CostItems_Anytime!$D$96:$D$143=TBL_Comparison!$D62),0),1)</f>
        <v>143.29536631887984</v>
      </c>
      <c r="G62" s="266" cm="1">
        <f t="array" ref="G62">INDEX(CH_CostItems_Anytime!$N$96:$N$143,MATCH(1,(CH_CostItems_Anytime!$C$96:$C$143=TBL_Comparison!$C62)*(CH_CostItems_Anytime!$D$96:$D$143=TBL_Comparison!$D62),0),1)</f>
        <v>141.75366943089429</v>
      </c>
      <c r="I62" s="270">
        <f t="shared" si="15"/>
        <v>0</v>
      </c>
      <c r="J62" s="217">
        <f t="shared" si="16"/>
        <v>0</v>
      </c>
      <c r="K62">
        <f t="shared" si="17"/>
        <v>1</v>
      </c>
      <c r="M62" s="270">
        <f t="shared" si="18"/>
        <v>-1.5416968879855517</v>
      </c>
      <c r="N62" s="217">
        <f t="shared" si="19"/>
        <v>-2.7113909391233764E-4</v>
      </c>
      <c r="O62">
        <f t="shared" si="14"/>
        <v>20</v>
      </c>
      <c r="Q62" s="138" t="e">
        <f t="shared" ref="Q62:Q63" si="20">Q61-1</f>
        <v>#REF!</v>
      </c>
      <c r="R62" t="e">
        <f>INDEX($D$53:$D$78,MATCH($Q62,#REF!,0),1)</f>
        <v>#REF!</v>
      </c>
      <c r="S62" s="279" t="e">
        <f>INDEX($I$53:$I$78,MATCH($Q62,#REF!,0),1)</f>
        <v>#REF!</v>
      </c>
      <c r="T62" s="281" t="e">
        <f>INDEX($J$53:$J$78,MATCH($Q62,#REF!,0),1)</f>
        <v>#REF!</v>
      </c>
      <c r="V62" s="138">
        <f t="shared" ref="V62:V63" si="21">V61-1</f>
        <v>23</v>
      </c>
      <c r="W62" t="str">
        <f>INDEX($D$53:$D$78,MATCH($V62,O$53:O$78,0),1)</f>
        <v>SRES cost</v>
      </c>
      <c r="X62" s="279">
        <f>INDEX($M$53:$M$78,MATCH($V62,O$53:O$78,0),1)</f>
        <v>-20.399999999999949</v>
      </c>
      <c r="Y62" s="281">
        <f>INDEX($N$53:$N$78,MATCH($V62,O$53:O$78,0),1)</f>
        <v>-3.5877594090749118E-3</v>
      </c>
    </row>
    <row r="63" spans="3:25" x14ac:dyDescent="0.25">
      <c r="C63" s="24" t="s">
        <v>115</v>
      </c>
      <c r="D63" s="24" t="s">
        <v>123</v>
      </c>
      <c r="E63" s="268">
        <v>38.463414634146346</v>
      </c>
      <c r="F63" s="266" cm="1">
        <f t="array" ref="F63">INDEX(CH_CostItems_Anytime!$G$96:$G$143,MATCH(1,(CH_CostItems_Anytime!$C$96:$C$143=TBL_Comparison!$C63)*(CH_CostItems_Anytime!$D$96:$D$143=TBL_Comparison!$D63),0),1)</f>
        <v>38.463414634146346</v>
      </c>
      <c r="G63" s="266" cm="1">
        <f t="array" ref="G63">INDEX(CH_CostItems_Anytime!$N$96:$N$143,MATCH(1,(CH_CostItems_Anytime!$C$96:$C$143=TBL_Comparison!$C63)*(CH_CostItems_Anytime!$D$96:$D$143=TBL_Comparison!$D63),0),1)</f>
        <v>39.621951219512198</v>
      </c>
      <c r="I63" s="270">
        <f t="shared" si="15"/>
        <v>0</v>
      </c>
      <c r="J63" s="217">
        <f t="shared" si="16"/>
        <v>0</v>
      </c>
      <c r="K63">
        <f t="shared" si="17"/>
        <v>1</v>
      </c>
      <c r="M63" s="270">
        <f t="shared" si="18"/>
        <v>1.1585365853658516</v>
      </c>
      <c r="N63" s="217">
        <f t="shared" si="19"/>
        <v>2.0375247720116983E-4</v>
      </c>
      <c r="O63">
        <f t="shared" si="14"/>
        <v>7</v>
      </c>
      <c r="Q63" s="138" t="e">
        <f t="shared" si="20"/>
        <v>#REF!</v>
      </c>
      <c r="R63" t="e">
        <f>INDEX($D$53:$D$78,MATCH($Q63,#REF!,0),1)</f>
        <v>#REF!</v>
      </c>
      <c r="S63" s="279" t="e">
        <f>INDEX($I$53:$I$78,MATCH($Q63,#REF!,0),1)</f>
        <v>#REF!</v>
      </c>
      <c r="T63" s="281" t="e">
        <f>INDEX($J$53:$J$78,MATCH($Q63,#REF!,0),1)</f>
        <v>#REF!</v>
      </c>
      <c r="V63" s="138">
        <f t="shared" si="21"/>
        <v>22</v>
      </c>
      <c r="W63" t="str">
        <f>INDEX($D$53:$D$78,MATCH($V63,O$53:O$78,0),1)</f>
        <v>Wholesale losses</v>
      </c>
      <c r="X63" s="279">
        <f>INDEX($M$53:$M$78,MATCH($V63,O$53:O$78,0),1)</f>
        <v>-19.473925704687389</v>
      </c>
      <c r="Y63" s="281">
        <f>INDEX($N$53:$N$78,MATCH($V63,O$53:O$78,0),1)</f>
        <v>-3.4248902048342224E-3</v>
      </c>
    </row>
    <row r="64" spans="3:25" x14ac:dyDescent="0.25">
      <c r="C64" s="24" t="s">
        <v>160</v>
      </c>
      <c r="D64" s="24" t="s">
        <v>316</v>
      </c>
      <c r="E64" s="268">
        <v>111.74115363388282</v>
      </c>
      <c r="F64" s="266" cm="1">
        <f t="array" ref="F64">INDEX(CH_CostItems_Anytime!$G$96:$G$143,MATCH(1,(CH_CostItems_Anytime!$C$96:$C$143=TBL_Comparison!$C64)*(CH_CostItems_Anytime!$D$96:$D$143=TBL_Comparison!$D64),0),1)</f>
        <v>111.74115363388282</v>
      </c>
      <c r="G64" s="266" cm="1">
        <f t="array" ref="G64">INDEX(CH_CostItems_Anytime!$N$96:$N$143,MATCH(1,(CH_CostItems_Anytime!$C$96:$C$143=TBL_Comparison!$C64)*(CH_CostItems_Anytime!$D$96:$D$143=TBL_Comparison!$D64),0),1)</f>
        <v>196.49758736305179</v>
      </c>
      <c r="I64" s="270">
        <f t="shared" si="15"/>
        <v>0</v>
      </c>
      <c r="J64" s="217">
        <f t="shared" si="16"/>
        <v>0</v>
      </c>
      <c r="K64">
        <f t="shared" si="17"/>
        <v>1</v>
      </c>
      <c r="M64" s="270">
        <f t="shared" si="18"/>
        <v>84.756433729168975</v>
      </c>
      <c r="N64" s="217">
        <f t="shared" si="19"/>
        <v>1.4906161401542205E-2</v>
      </c>
      <c r="O64">
        <f t="shared" si="14"/>
        <v>1</v>
      </c>
    </row>
    <row r="65" spans="3:17" x14ac:dyDescent="0.25">
      <c r="C65" s="24" t="s">
        <v>160</v>
      </c>
      <c r="D65" s="24" t="s">
        <v>318</v>
      </c>
      <c r="E65" s="268">
        <v>127.015544647906</v>
      </c>
      <c r="F65" s="266" cm="1">
        <f t="array" ref="F65">INDEX(CH_CostItems_Anytime!$G$96:$G$143,MATCH(1,(CH_CostItems_Anytime!$C$96:$C$143=TBL_Comparison!$C65)*(CH_CostItems_Anytime!$D$96:$D$143=TBL_Comparison!$D65),0),1)</f>
        <v>127.015544647906</v>
      </c>
      <c r="G65" s="266" cm="1">
        <f t="array" ref="G65">INDEX(CH_CostItems_Anytime!$N$96:$N$143,MATCH(1,(CH_CostItems_Anytime!$C$96:$C$143=TBL_Comparison!$C65)*(CH_CostItems_Anytime!$D$96:$D$143=TBL_Comparison!$D65),0),1)</f>
        <v>127.70351999999998</v>
      </c>
      <c r="I65" s="270">
        <f t="shared" si="15"/>
        <v>0</v>
      </c>
      <c r="J65" s="217">
        <f t="shared" si="16"/>
        <v>0</v>
      </c>
      <c r="K65">
        <f t="shared" si="17"/>
        <v>1</v>
      </c>
      <c r="M65" s="270">
        <f t="shared" si="18"/>
        <v>0.68797535209398575</v>
      </c>
      <c r="N65" s="217">
        <f t="shared" si="19"/>
        <v>1.2099460993562887E-4</v>
      </c>
      <c r="O65">
        <f t="shared" si="14"/>
        <v>8</v>
      </c>
    </row>
    <row r="66" spans="3:17" x14ac:dyDescent="0.25">
      <c r="C66" s="24" t="s">
        <v>160</v>
      </c>
      <c r="D66" s="24" t="s">
        <v>320</v>
      </c>
      <c r="E66" s="268">
        <v>225.19999999999996</v>
      </c>
      <c r="F66" s="266" cm="1">
        <f t="array" ref="F66">INDEX(CH_CostItems_Anytime!$G$96:$G$143,MATCH(1,(CH_CostItems_Anytime!$C$96:$C$143=TBL_Comparison!$C66)*(CH_CostItems_Anytime!$D$96:$D$143=TBL_Comparison!$D66),0),1)</f>
        <v>225.19999999999996</v>
      </c>
      <c r="G66" s="266" cm="1">
        <f t="array" ref="G66">INDEX(CH_CostItems_Anytime!$N$96:$N$143,MATCH(1,(CH_CostItems_Anytime!$C$96:$C$143=TBL_Comparison!$C66)*(CH_CostItems_Anytime!$D$96:$D$143=TBL_Comparison!$D66),0),1)</f>
        <v>204.8</v>
      </c>
      <c r="I66" s="270">
        <f t="shared" si="15"/>
        <v>0</v>
      </c>
      <c r="J66" s="217">
        <f t="shared" si="16"/>
        <v>0</v>
      </c>
      <c r="K66">
        <f t="shared" si="17"/>
        <v>1</v>
      </c>
      <c r="M66" s="270">
        <f t="shared" si="18"/>
        <v>-20.399999999999949</v>
      </c>
      <c r="N66" s="217">
        <f t="shared" si="19"/>
        <v>-3.5877594090749118E-3</v>
      </c>
      <c r="O66">
        <f t="shared" si="14"/>
        <v>23</v>
      </c>
    </row>
    <row r="67" spans="3:17" x14ac:dyDescent="0.25">
      <c r="C67" s="24" t="s">
        <v>130</v>
      </c>
      <c r="D67" s="24" t="s">
        <v>622</v>
      </c>
      <c r="E67" s="268">
        <v>2198.926704</v>
      </c>
      <c r="F67" s="266" cm="1">
        <f t="array" ref="F67">INDEX(CH_CostItems_Anytime!$G$96:$G$143,MATCH(1,(CH_CostItems_Anytime!$C$96:$C$143=TBL_Comparison!$C67)*(CH_CostItems_Anytime!$D$96:$D$143=TBL_Comparison!$D67),0),1)</f>
        <v>2198.926704</v>
      </c>
      <c r="G67" s="266" cm="1">
        <f t="array" ref="G67">INDEX(CH_CostItems_Anytime!$N$96:$N$143,MATCH(1,(CH_CostItems_Anytime!$C$96:$C$143=TBL_Comparison!$C67)*(CH_CostItems_Anytime!$D$96:$D$143=TBL_Comparison!$D67),0),1)</f>
        <v>2198.926704</v>
      </c>
      <c r="I67" s="270">
        <f t="shared" si="15"/>
        <v>0</v>
      </c>
      <c r="J67" s="217">
        <f t="shared" si="16"/>
        <v>0</v>
      </c>
      <c r="K67">
        <f t="shared" si="17"/>
        <v>1</v>
      </c>
      <c r="M67" s="270">
        <f t="shared" si="18"/>
        <v>0</v>
      </c>
      <c r="N67" s="217">
        <f t="shared" si="19"/>
        <v>0</v>
      </c>
      <c r="O67">
        <f t="shared" si="14"/>
        <v>14</v>
      </c>
    </row>
    <row r="68" spans="3:17" x14ac:dyDescent="0.25">
      <c r="C68" s="24" t="s">
        <v>293</v>
      </c>
      <c r="D68" s="24" t="s">
        <v>759</v>
      </c>
      <c r="E68" s="268">
        <v>92.669841528319964</v>
      </c>
      <c r="F68" s="266" cm="1">
        <f t="array" ref="F68">INDEX(CH_CostItems_Anytime!$G$96:$G$143,MATCH(1,(CH_CostItems_Anytime!$C$96:$C$143=TBL_Comparison!$C68)*(CH_CostItems_Anytime!$D$96:$D$143=TBL_Comparison!$D68),0),1)</f>
        <v>92.669841528319964</v>
      </c>
      <c r="G68" s="266" cm="1">
        <f t="array" ref="G68">INDEX(CH_CostItems_Anytime!$N$96:$N$143,MATCH(1,(CH_CostItems_Anytime!$C$96:$C$143=TBL_Comparison!$C68)*(CH_CostItems_Anytime!$D$96:$D$143=TBL_Comparison!$D68),0),1)</f>
        <v>73.195915823632575</v>
      </c>
      <c r="I68" s="270">
        <f t="shared" si="15"/>
        <v>0</v>
      </c>
      <c r="J68" s="217">
        <f t="shared" si="16"/>
        <v>0</v>
      </c>
      <c r="K68">
        <f t="shared" si="17"/>
        <v>1</v>
      </c>
      <c r="M68" s="270">
        <f t="shared" si="18"/>
        <v>-19.473925704687389</v>
      </c>
      <c r="N68" s="217">
        <f t="shared" si="19"/>
        <v>-3.4248902048342224E-3</v>
      </c>
      <c r="O68">
        <f t="shared" si="14"/>
        <v>22</v>
      </c>
    </row>
    <row r="69" spans="3:17" x14ac:dyDescent="0.25">
      <c r="C69" s="24" t="s">
        <v>293</v>
      </c>
      <c r="D69" s="24" t="s">
        <v>760</v>
      </c>
      <c r="E69" s="268">
        <v>25.683767969819392</v>
      </c>
      <c r="F69" s="266" cm="1">
        <f t="array" ref="F69">INDEX(CH_CostItems_Anytime!$G$96:$G$143,MATCH(1,(CH_CostItems_Anytime!$C$96:$C$143=TBL_Comparison!$C69)*(CH_CostItems_Anytime!$D$96:$D$143=TBL_Comparison!$D69),0),1)</f>
        <v>25.683767969819392</v>
      </c>
      <c r="G69" s="266" cm="1">
        <f t="array" ref="G69">INDEX(CH_CostItems_Anytime!$N$96:$N$143,MATCH(1,(CH_CostItems_Anytime!$C$96:$C$143=TBL_Comparison!$C69)*(CH_CostItems_Anytime!$D$96:$D$143=TBL_Comparison!$D69),0),1)</f>
        <v>30.574581962514646</v>
      </c>
      <c r="I69" s="270">
        <f t="shared" ref="I69:I70" si="22">IF(F69="-",0,F69)-IF(E69="-",0,E69)</f>
        <v>0</v>
      </c>
      <c r="J69" s="217">
        <f t="shared" ref="J69:J70" si="23">IFERROR((F69-E69)/E$51,"-")</f>
        <v>0</v>
      </c>
      <c r="K69">
        <f t="shared" si="17"/>
        <v>1</v>
      </c>
      <c r="M69" s="270">
        <f t="shared" ref="M69:M70" si="24">IF(G69="-",0,G69)-IF(F69="-",0,F69)</f>
        <v>4.8908139926952536</v>
      </c>
      <c r="N69" s="217">
        <f t="shared" ref="N69:N70" si="25">IFERROR((G69-F69)/F$51,"-")</f>
        <v>8.6015019217292531E-4</v>
      </c>
      <c r="O69">
        <f t="shared" ref="O69:O70" si="26">_xlfn.RANK.EQ(M69,$M$53:$M$78)</f>
        <v>4</v>
      </c>
    </row>
    <row r="70" spans="3:17" x14ac:dyDescent="0.25">
      <c r="C70" s="24" t="s">
        <v>293</v>
      </c>
      <c r="D70" s="24" t="s">
        <v>761</v>
      </c>
      <c r="E70" s="268">
        <v>0.81275275382597023</v>
      </c>
      <c r="F70" s="266" cm="1">
        <f t="array" ref="F70">INDEX(CH_CostItems_Anytime!$G$96:$G$143,MATCH(1,(CH_CostItems_Anytime!$C$96:$C$143=TBL_Comparison!$C70)*(CH_CostItems_Anytime!$D$96:$D$143=TBL_Comparison!$D70),0),1)</f>
        <v>0.81275275382597023</v>
      </c>
      <c r="G70" s="266" cm="1">
        <f t="array" ref="G70">INDEX(CH_CostItems_Anytime!$N$96:$N$143,MATCH(1,(CH_CostItems_Anytime!$C$96:$C$143=TBL_Comparison!$C70)*(CH_CostItems_Anytime!$D$96:$D$143=TBL_Comparison!$D70),0),1)</f>
        <v>1.0119988616008673</v>
      </c>
      <c r="I70" s="270">
        <f t="shared" si="22"/>
        <v>0</v>
      </c>
      <c r="J70" s="217">
        <f t="shared" si="23"/>
        <v>0</v>
      </c>
      <c r="K70">
        <f t="shared" si="17"/>
        <v>1</v>
      </c>
      <c r="M70" s="270">
        <f t="shared" si="24"/>
        <v>0.19924610777489704</v>
      </c>
      <c r="N70" s="217">
        <f t="shared" si="25"/>
        <v>3.5041524406418753E-5</v>
      </c>
      <c r="O70">
        <f t="shared" si="26"/>
        <v>12</v>
      </c>
    </row>
    <row r="71" spans="3:17" x14ac:dyDescent="0.25">
      <c r="C71" s="24" t="s">
        <v>282</v>
      </c>
      <c r="D71" s="24" t="s">
        <v>169</v>
      </c>
      <c r="E71" s="268">
        <v>7.4758041958041961</v>
      </c>
      <c r="F71" s="266" cm="1">
        <f t="array" ref="F71">INDEX(CH_CostItems_Anytime!$G$96:$G$143,MATCH(1,(CH_CostItems_Anytime!$C$96:$C$143=TBL_Comparison!$C71)*(CH_CostItems_Anytime!$D$96:$D$143=TBL_Comparison!$D71),0),1)</f>
        <v>7.4758041958041961</v>
      </c>
      <c r="G71" s="266" cm="1">
        <f t="array" ref="G71">INDEX(CH_CostItems_Anytime!$N$96:$N$143,MATCH(1,(CH_CostItems_Anytime!$C$96:$C$143=TBL_Comparison!$C71)*(CH_CostItems_Anytime!$D$96:$D$143=TBL_Comparison!$D71),0),1)</f>
        <v>8.0004000000000008</v>
      </c>
      <c r="I71" s="270">
        <f t="shared" si="15"/>
        <v>0</v>
      </c>
      <c r="J71" s="217">
        <f t="shared" si="16"/>
        <v>0</v>
      </c>
      <c r="K71">
        <f t="shared" si="17"/>
        <v>1</v>
      </c>
      <c r="M71" s="270">
        <f t="shared" si="18"/>
        <v>0.52459580419580476</v>
      </c>
      <c r="N71" s="217">
        <f t="shared" si="19"/>
        <v>9.2260957473760949E-5</v>
      </c>
      <c r="O71">
        <f t="shared" ref="O71:O78" si="27">_xlfn.RANK.EQ(M71,$M$53:$M$78)</f>
        <v>10</v>
      </c>
    </row>
    <row r="72" spans="3:17" x14ac:dyDescent="0.25">
      <c r="C72" s="24" t="s">
        <v>282</v>
      </c>
      <c r="D72" s="24" t="s">
        <v>171</v>
      </c>
      <c r="E72" s="268">
        <v>0</v>
      </c>
      <c r="F72" s="266" cm="1">
        <f t="array" ref="F72">INDEX(CH_CostItems_Anytime!$G$96:$G$143,MATCH(1,(CH_CostItems_Anytime!$C$96:$C$143=TBL_Comparison!$C72)*(CH_CostItems_Anytime!$D$96:$D$143=TBL_Comparison!$D72),0),1)</f>
        <v>0</v>
      </c>
      <c r="G72" s="266" cm="1">
        <f t="array" ref="G72">INDEX(CH_CostItems_Anytime!$N$96:$N$143,MATCH(1,(CH_CostItems_Anytime!$C$96:$C$143=TBL_Comparison!$C72)*(CH_CostItems_Anytime!$D$96:$D$143=TBL_Comparison!$D72),0),1)</f>
        <v>0</v>
      </c>
      <c r="I72" s="270">
        <f t="shared" si="15"/>
        <v>0</v>
      </c>
      <c r="J72" s="217">
        <f t="shared" si="16"/>
        <v>0</v>
      </c>
      <c r="K72">
        <f t="shared" si="17"/>
        <v>1</v>
      </c>
      <c r="M72" s="270">
        <f t="shared" si="18"/>
        <v>0</v>
      </c>
      <c r="N72" s="217">
        <f t="shared" si="19"/>
        <v>0</v>
      </c>
      <c r="O72">
        <f t="shared" si="27"/>
        <v>14</v>
      </c>
      <c r="Q72"/>
    </row>
    <row r="73" spans="3:17" x14ac:dyDescent="0.25">
      <c r="C73" s="24" t="s">
        <v>282</v>
      </c>
      <c r="D73" s="24" t="s">
        <v>660</v>
      </c>
      <c r="E73" s="268" t="s">
        <v>11</v>
      </c>
      <c r="F73" s="266" t="str" cm="1">
        <f t="array" ref="F73">INDEX(CH_CostItems_Anytime!$G$96:$G$143,MATCH(1,(CH_CostItems_Anytime!$C$96:$C$143=TBL_Comparison!$C73)*(CH_CostItems_Anytime!$D$96:$D$143=TBL_Comparison!$D73),0),1)</f>
        <v>-</v>
      </c>
      <c r="G73" s="266" cm="1">
        <f t="array" ref="G73">INDEX(CH_CostItems_Anytime!$N$96:$N$143,MATCH(1,(CH_CostItems_Anytime!$C$96:$C$143=TBL_Comparison!$C73)*(CH_CostItems_Anytime!$D$96:$D$143=TBL_Comparison!$D73),0),1)</f>
        <v>2.4649999999999999</v>
      </c>
      <c r="I73" s="270">
        <f t="shared" si="15"/>
        <v>0</v>
      </c>
      <c r="J73" s="217" t="str">
        <f t="shared" si="16"/>
        <v>-</v>
      </c>
      <c r="K73">
        <f t="shared" si="17"/>
        <v>1</v>
      </c>
      <c r="M73" s="270">
        <f t="shared" si="18"/>
        <v>2.4649999999999999</v>
      </c>
      <c r="N73" s="217" t="str">
        <f t="shared" si="19"/>
        <v>-</v>
      </c>
      <c r="O73">
        <f t="shared" si="27"/>
        <v>6</v>
      </c>
      <c r="Q73"/>
    </row>
    <row r="74" spans="3:17" x14ac:dyDescent="0.25">
      <c r="C74" s="24" t="s">
        <v>282</v>
      </c>
      <c r="D74" s="24" t="s">
        <v>659</v>
      </c>
      <c r="E74" s="268" t="s">
        <v>11</v>
      </c>
      <c r="F74" s="266" t="str" cm="1">
        <f t="array" ref="F74">INDEX(CH_CostItems_Anytime!$G$96:$G$143,MATCH(1,(CH_CostItems_Anytime!$C$96:$C$143=TBL_Comparison!$C74)*(CH_CostItems_Anytime!$D$96:$D$143=TBL_Comparison!$D74),0),1)</f>
        <v>-</v>
      </c>
      <c r="G74" s="266" cm="1">
        <f t="array" ref="G74">INDEX(CH_CostItems_Anytime!$N$96:$N$143,MATCH(1,(CH_CostItems_Anytime!$C$96:$C$143=TBL_Comparison!$C74)*(CH_CostItems_Anytime!$D$96:$D$143=TBL_Comparison!$D74),0),1)</f>
        <v>0.52460000000000007</v>
      </c>
      <c r="I74" s="270">
        <f t="shared" si="15"/>
        <v>0</v>
      </c>
      <c r="J74" s="217" t="str">
        <f t="shared" si="16"/>
        <v>-</v>
      </c>
      <c r="K74">
        <f t="shared" si="17"/>
        <v>1</v>
      </c>
      <c r="M74" s="270">
        <f t="shared" si="18"/>
        <v>0.52460000000000007</v>
      </c>
      <c r="N74" s="217" t="str">
        <f t="shared" si="19"/>
        <v>-</v>
      </c>
      <c r="O74">
        <f t="shared" si="27"/>
        <v>9</v>
      </c>
      <c r="Q74"/>
    </row>
    <row r="75" spans="3:17" x14ac:dyDescent="0.25">
      <c r="C75" s="24" t="s">
        <v>282</v>
      </c>
      <c r="D75" s="24" t="s">
        <v>172</v>
      </c>
      <c r="E75" s="268">
        <v>7.2059233695449452</v>
      </c>
      <c r="F75" s="266" cm="1">
        <f t="array" ref="F75">INDEX(CH_CostItems_Anytime!$G$96:$G$143,MATCH(1,(CH_CostItems_Anytime!$C$96:$C$143=TBL_Comparison!$C75)*(CH_CostItems_Anytime!$D$96:$D$143=TBL_Comparison!$D75),0),1)</f>
        <v>7.2059233695449452</v>
      </c>
      <c r="G75" s="266" cm="1">
        <f t="array" ref="G75">INDEX(CH_CostItems_Anytime!$N$96:$N$143,MATCH(1,(CH_CostItems_Anytime!$C$96:$C$143=TBL_Comparison!$C75)*(CH_CostItems_Anytime!$D$96:$D$143=TBL_Comparison!$D75),0),1)</f>
        <v>6.5195940508151464</v>
      </c>
      <c r="I75" s="270">
        <f t="shared" si="15"/>
        <v>0</v>
      </c>
      <c r="J75" s="217">
        <f t="shared" si="16"/>
        <v>0</v>
      </c>
      <c r="K75">
        <f t="shared" si="17"/>
        <v>1</v>
      </c>
      <c r="M75" s="270">
        <f t="shared" si="18"/>
        <v>-0.68632931872979874</v>
      </c>
      <c r="N75" s="217">
        <f t="shared" si="19"/>
        <v>-1.2070512112729488E-4</v>
      </c>
      <c r="O75">
        <f t="shared" si="27"/>
        <v>19</v>
      </c>
      <c r="Q75"/>
    </row>
    <row r="76" spans="3:17" x14ac:dyDescent="0.25">
      <c r="C76" s="24" t="s">
        <v>137</v>
      </c>
      <c r="D76" s="24" t="s">
        <v>292</v>
      </c>
      <c r="E76" s="268">
        <v>1681.7199999999998</v>
      </c>
      <c r="F76" s="266" cm="1">
        <f t="array" ref="F76">INDEX(CH_CostItems_Anytime!$G$96:$G$143,MATCH(1,(CH_CostItems_Anytime!$C$96:$C$143=TBL_Comparison!$C76)*(CH_CostItems_Anytime!$D$96:$D$143=TBL_Comparison!$D76),0),1)</f>
        <v>1681.7199999999998</v>
      </c>
      <c r="G76" s="266" cm="1">
        <f t="array" ref="G76">INDEX(CH_CostItems_Anytime!$N$96:$N$143,MATCH(1,(CH_CostItems_Anytime!$C$96:$C$143=TBL_Comparison!$C76)*(CH_CostItems_Anytime!$D$96:$D$143=TBL_Comparison!$D76),0),1)</f>
        <v>1271.8399999999999</v>
      </c>
      <c r="I76" s="270">
        <f t="shared" si="15"/>
        <v>0</v>
      </c>
      <c r="J76" s="217">
        <f t="shared" si="16"/>
        <v>0</v>
      </c>
      <c r="K76">
        <f t="shared" si="17"/>
        <v>1</v>
      </c>
      <c r="M76" s="270">
        <f t="shared" si="18"/>
        <v>-409.87999999999988</v>
      </c>
      <c r="N76" s="217">
        <f t="shared" si="19"/>
        <v>-7.2085824832922946E-2</v>
      </c>
      <c r="O76">
        <f t="shared" si="27"/>
        <v>26</v>
      </c>
      <c r="Q76"/>
    </row>
    <row r="77" spans="3:17" x14ac:dyDescent="0.25">
      <c r="C77" s="24"/>
      <c r="D77" s="24" t="s">
        <v>623</v>
      </c>
      <c r="E77" s="268">
        <v>516.8331610842198</v>
      </c>
      <c r="F77" s="266" cm="1">
        <f t="array" ref="F77">INDEX(CH_CostItems_Anytime!$G$96:$G$143,MATCH(1,(CH_CostItems_Anytime!$C$96:$C$143=TBL_Comparison!$C77)*(CH_CostItems_Anytime!$D$96:$D$143=TBL_Comparison!$D77),0),1)</f>
        <v>516.8331610842198</v>
      </c>
      <c r="G77" s="266" cm="1">
        <f t="array" ref="G77">INDEX(CH_CostItems_Anytime!$N$96:$N$143,MATCH(1,(CH_CostItems_Anytime!$C$96:$C$143=TBL_Comparison!$C77)*(CH_CostItems_Anytime!$D$96:$D$143=TBL_Comparison!$D77),0),1)</f>
        <v>479.05184954876495</v>
      </c>
      <c r="I77" s="270">
        <f t="shared" si="15"/>
        <v>0</v>
      </c>
      <c r="J77" s="217">
        <f t="shared" si="16"/>
        <v>0</v>
      </c>
      <c r="K77">
        <f t="shared" si="17"/>
        <v>1</v>
      </c>
      <c r="M77" s="270">
        <f t="shared" si="18"/>
        <v>-37.781311535454847</v>
      </c>
      <c r="N77" s="217">
        <f t="shared" si="19"/>
        <v>-6.6446203896332826E-3</v>
      </c>
      <c r="O77">
        <f t="shared" si="27"/>
        <v>25</v>
      </c>
    </row>
    <row r="78" spans="3:17" x14ac:dyDescent="0.25">
      <c r="C78" s="24"/>
      <c r="D78" s="24" t="s">
        <v>624</v>
      </c>
      <c r="E78" s="268">
        <v>294.38629695857099</v>
      </c>
      <c r="F78" s="266" cm="1">
        <f t="array" ref="F78">INDEX(CH_CostItems_Anytime!$G$96:$G$143,MATCH(1,(CH_CostItems_Anytime!$C$96:$C$143=TBL_Comparison!$C78)*(CH_CostItems_Anytime!$D$96:$D$143=TBL_Comparison!$D78),0),1)</f>
        <v>294.38629695857099</v>
      </c>
      <c r="G78" s="266" cm="1">
        <f t="array" ref="G78">INDEX(CH_CostItems_Anytime!$N$96:$N$143,MATCH(1,(CH_CostItems_Anytime!$C$96:$C$143=TBL_Comparison!$C78)*(CH_CostItems_Anytime!$D$96:$D$143=TBL_Comparison!$D78),0),1)</f>
        <v>272.86619872449455</v>
      </c>
      <c r="I78" s="270">
        <f t="shared" si="15"/>
        <v>0</v>
      </c>
      <c r="J78" s="217">
        <f t="shared" si="16"/>
        <v>0</v>
      </c>
      <c r="K78">
        <f t="shared" si="17"/>
        <v>1</v>
      </c>
      <c r="M78" s="270">
        <f t="shared" si="18"/>
        <v>-21.520098234076443</v>
      </c>
      <c r="N78" s="217">
        <f t="shared" si="19"/>
        <v>-3.784751711937468E-3</v>
      </c>
      <c r="O78">
        <f t="shared" si="27"/>
        <v>24</v>
      </c>
    </row>
    <row r="79" spans="3:17" x14ac:dyDescent="0.25">
      <c r="F79" s="267"/>
      <c r="G79" s="267"/>
    </row>
  </sheetData>
  <mergeCells count="1">
    <mergeCell ref="A2:A3"/>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E88F3-5E40-4324-B83F-9806A19FD282}">
  <sheetPr>
    <tabColor rgb="FFFFB13F"/>
  </sheetPr>
  <dimension ref="A1:AB125"/>
  <sheetViews>
    <sheetView showGridLines="0" topLeftCell="B1" zoomScale="70" zoomScaleNormal="70" workbookViewId="0">
      <pane ySplit="3" topLeftCell="A70" activePane="bottomLeft" state="frozen"/>
      <selection activeCell="AQ60" sqref="AQ60"/>
      <selection pane="bottomLeft" activeCell="AQ60" sqref="AQ60"/>
    </sheetView>
  </sheetViews>
  <sheetFormatPr defaultColWidth="9.140625" defaultRowHeight="15" outlineLevelCol="1" x14ac:dyDescent="0.25"/>
  <cols>
    <col min="1" max="1" width="100.7109375" hidden="1" customWidth="1" outlineLevel="1"/>
    <col min="2" max="2" width="10.7109375" style="6" customWidth="1" collapsed="1"/>
    <col min="3" max="3" width="50.7109375" customWidth="1"/>
    <col min="4" max="4" width="25.7109375" customWidth="1"/>
    <col min="5" max="28" width="15.5703125" customWidth="1"/>
  </cols>
  <sheetData>
    <row r="1" spans="1:28" ht="15" customHeight="1" x14ac:dyDescent="0.25">
      <c r="A1" s="1" t="s">
        <v>27</v>
      </c>
      <c r="B1" s="22"/>
      <c r="C1" s="23"/>
      <c r="D1" s="23"/>
      <c r="E1" s="23"/>
      <c r="F1" s="23"/>
      <c r="G1" s="23"/>
      <c r="H1" s="23"/>
      <c r="I1" s="23"/>
      <c r="J1" s="23"/>
      <c r="K1" s="23"/>
      <c r="L1" s="23"/>
      <c r="M1" s="23"/>
      <c r="N1" s="23"/>
      <c r="O1" s="23"/>
      <c r="P1" s="23"/>
      <c r="Q1" s="23"/>
      <c r="R1" s="23"/>
      <c r="S1" s="23"/>
      <c r="T1" s="23"/>
      <c r="U1" s="23"/>
      <c r="V1" s="23"/>
      <c r="W1" s="23"/>
      <c r="X1" s="23"/>
      <c r="Y1" s="23"/>
      <c r="Z1" s="23"/>
      <c r="AA1" s="23"/>
      <c r="AB1" s="23"/>
    </row>
    <row r="2" spans="1:28" s="4" customFormat="1" ht="50.1" customHeight="1" x14ac:dyDescent="0.25">
      <c r="A2" s="293" t="s">
        <v>28</v>
      </c>
      <c r="B2" s="26"/>
      <c r="C2" s="26" t="str">
        <f>Disclaimer!$B$1</f>
        <v>VDO calculation model</v>
      </c>
      <c r="D2" s="26"/>
      <c r="E2" s="26"/>
      <c r="F2" s="26"/>
      <c r="G2" s="26"/>
      <c r="H2" s="26"/>
      <c r="I2" s="26"/>
      <c r="J2" s="26"/>
      <c r="K2" s="26"/>
      <c r="L2" s="26"/>
      <c r="M2" s="26"/>
      <c r="N2" s="26"/>
      <c r="O2" s="26"/>
      <c r="P2" s="26"/>
      <c r="Q2" s="26"/>
      <c r="R2" s="26"/>
      <c r="S2" s="26"/>
      <c r="T2" s="26"/>
      <c r="U2" s="26"/>
      <c r="V2" s="26"/>
      <c r="W2" s="26"/>
      <c r="X2" s="26"/>
      <c r="Y2" s="26"/>
      <c r="Z2" s="26"/>
      <c r="AA2" s="26"/>
      <c r="AB2" s="26"/>
    </row>
    <row r="3" spans="1:28" s="4" customFormat="1" ht="30" customHeight="1" x14ac:dyDescent="0.25">
      <c r="A3" s="294"/>
      <c r="B3" s="28">
        <f ca="1">_xlfn.SHEET()</f>
        <v>21</v>
      </c>
      <c r="C3" s="27" t="s">
        <v>617</v>
      </c>
      <c r="D3" s="27"/>
      <c r="E3" s="27"/>
      <c r="F3" s="27"/>
      <c r="G3" s="27"/>
      <c r="H3" s="27"/>
      <c r="I3" s="27"/>
      <c r="J3" s="27"/>
      <c r="K3" s="27"/>
      <c r="L3" s="27"/>
      <c r="M3" s="27"/>
      <c r="N3" s="27"/>
      <c r="O3" s="27"/>
      <c r="P3" s="27"/>
      <c r="Q3" s="27"/>
      <c r="R3" s="27"/>
      <c r="S3" s="27"/>
      <c r="T3" s="27"/>
      <c r="U3" s="27"/>
      <c r="V3" s="27"/>
      <c r="W3" s="27"/>
      <c r="X3" s="27"/>
      <c r="Y3" s="27"/>
      <c r="Z3" s="27"/>
      <c r="AA3" s="27"/>
      <c r="AB3" s="27"/>
    </row>
    <row r="4" spans="1:28" x14ac:dyDescent="0.25">
      <c r="B4"/>
    </row>
    <row r="5" spans="1:28" ht="16.5" thickBot="1" x14ac:dyDescent="0.3">
      <c r="A5" s="1" t="s">
        <v>30</v>
      </c>
      <c r="B5" s="9">
        <f ca="1">MAX(B$3:B4)+0.1</f>
        <v>21.1</v>
      </c>
      <c r="C5" s="29" t="s">
        <v>613</v>
      </c>
      <c r="D5" s="29"/>
      <c r="E5" s="29"/>
      <c r="F5" s="29"/>
      <c r="G5" s="29"/>
      <c r="H5" s="29"/>
      <c r="I5" s="29"/>
      <c r="J5" s="29"/>
      <c r="K5" s="29"/>
      <c r="L5" s="29"/>
      <c r="M5" s="29"/>
      <c r="N5" s="29"/>
      <c r="O5" s="29"/>
      <c r="P5" s="29"/>
      <c r="Q5" s="29"/>
      <c r="R5" s="29"/>
      <c r="S5" s="29"/>
      <c r="T5" s="29"/>
      <c r="U5" s="29"/>
      <c r="V5" s="29"/>
      <c r="W5" s="29"/>
      <c r="X5" s="29"/>
      <c r="Y5" s="29"/>
      <c r="Z5" s="29"/>
      <c r="AA5" s="29"/>
      <c r="AB5" s="29"/>
    </row>
    <row r="6" spans="1:28" x14ac:dyDescent="0.25">
      <c r="B6"/>
    </row>
    <row r="7" spans="1:28" x14ac:dyDescent="0.25">
      <c r="B7"/>
    </row>
    <row r="8" spans="1:28" x14ac:dyDescent="0.25">
      <c r="B8"/>
    </row>
    <row r="9" spans="1:28" x14ac:dyDescent="0.25">
      <c r="B9"/>
    </row>
    <row r="10" spans="1:28" x14ac:dyDescent="0.25">
      <c r="B10"/>
    </row>
    <row r="11" spans="1:28" x14ac:dyDescent="0.25">
      <c r="B11"/>
    </row>
    <row r="12" spans="1:28" x14ac:dyDescent="0.25">
      <c r="B12"/>
    </row>
    <row r="13" spans="1:28" x14ac:dyDescent="0.25">
      <c r="B13"/>
    </row>
    <row r="14" spans="1:28" x14ac:dyDescent="0.25">
      <c r="B14"/>
    </row>
    <row r="15" spans="1:28" x14ac:dyDescent="0.25">
      <c r="B15"/>
    </row>
    <row r="16" spans="1:28" x14ac:dyDescent="0.25">
      <c r="B16"/>
    </row>
    <row r="17" spans="2:2" x14ac:dyDescent="0.25">
      <c r="B17"/>
    </row>
    <row r="18" spans="2:2" x14ac:dyDescent="0.25">
      <c r="B18"/>
    </row>
    <row r="19" spans="2:2" x14ac:dyDescent="0.25">
      <c r="B19"/>
    </row>
    <row r="20" spans="2:2" x14ac:dyDescent="0.25">
      <c r="B20"/>
    </row>
    <row r="21" spans="2:2" x14ac:dyDescent="0.25">
      <c r="B21"/>
    </row>
    <row r="22" spans="2:2" x14ac:dyDescent="0.25">
      <c r="B22"/>
    </row>
    <row r="23" spans="2:2" x14ac:dyDescent="0.25">
      <c r="B23"/>
    </row>
    <row r="24" spans="2:2" x14ac:dyDescent="0.25">
      <c r="B24"/>
    </row>
    <row r="25" spans="2:2" x14ac:dyDescent="0.25">
      <c r="B25"/>
    </row>
    <row r="26" spans="2:2" x14ac:dyDescent="0.25">
      <c r="B26"/>
    </row>
    <row r="27" spans="2:2" x14ac:dyDescent="0.25">
      <c r="B27"/>
    </row>
    <row r="28" spans="2:2" x14ac:dyDescent="0.25">
      <c r="B28"/>
    </row>
    <row r="29" spans="2:2" x14ac:dyDescent="0.25">
      <c r="B29"/>
    </row>
    <row r="30" spans="2:2" x14ac:dyDescent="0.25">
      <c r="B30"/>
    </row>
    <row r="31" spans="2:2" x14ac:dyDescent="0.25">
      <c r="B31"/>
    </row>
    <row r="32" spans="2:2" x14ac:dyDescent="0.25">
      <c r="B32"/>
    </row>
    <row r="33" spans="1:28" x14ac:dyDescent="0.25">
      <c r="B33"/>
    </row>
    <row r="34" spans="1:28" x14ac:dyDescent="0.25">
      <c r="B34"/>
    </row>
    <row r="35" spans="1:28" x14ac:dyDescent="0.25">
      <c r="B35"/>
    </row>
    <row r="36" spans="1:28" x14ac:dyDescent="0.25">
      <c r="B36"/>
    </row>
    <row r="37" spans="1:28" x14ac:dyDescent="0.25">
      <c r="B37"/>
    </row>
    <row r="38" spans="1:28" x14ac:dyDescent="0.25">
      <c r="B38"/>
    </row>
    <row r="39" spans="1:28" x14ac:dyDescent="0.25">
      <c r="B39"/>
    </row>
    <row r="40" spans="1:28" x14ac:dyDescent="0.25">
      <c r="B40"/>
    </row>
    <row r="41" spans="1:28" x14ac:dyDescent="0.25">
      <c r="B41"/>
    </row>
    <row r="42" spans="1:28" x14ac:dyDescent="0.25">
      <c r="B42"/>
    </row>
    <row r="43" spans="1:28" x14ac:dyDescent="0.25">
      <c r="B43"/>
    </row>
    <row r="44" spans="1:28" x14ac:dyDescent="0.25">
      <c r="B44"/>
    </row>
    <row r="45" spans="1:28" x14ac:dyDescent="0.25">
      <c r="B45"/>
    </row>
    <row r="46" spans="1:28" x14ac:dyDescent="0.25">
      <c r="B46"/>
    </row>
    <row r="47" spans="1:28" x14ac:dyDescent="0.25">
      <c r="B47"/>
    </row>
    <row r="48" spans="1:28" ht="16.5" thickBot="1" x14ac:dyDescent="0.3">
      <c r="A48" s="1" t="s">
        <v>30</v>
      </c>
      <c r="B48" s="9">
        <f ca="1">MAX(B$3:B47)+0.1</f>
        <v>21.200000000000003</v>
      </c>
      <c r="C48" s="29" t="s">
        <v>612</v>
      </c>
      <c r="D48" s="29"/>
      <c r="E48" s="29"/>
      <c r="F48" s="29"/>
      <c r="G48" s="29"/>
      <c r="H48" s="29"/>
      <c r="I48" s="29"/>
      <c r="J48" s="29"/>
      <c r="K48" s="29"/>
      <c r="L48" s="29"/>
      <c r="M48" s="29"/>
      <c r="N48" s="29"/>
      <c r="O48" s="29"/>
      <c r="P48" s="29"/>
      <c r="Q48" s="29"/>
      <c r="R48" s="29"/>
      <c r="S48" s="29"/>
      <c r="T48" s="29"/>
      <c r="U48" s="29"/>
      <c r="V48" s="29"/>
      <c r="W48" s="29"/>
      <c r="X48" s="29"/>
      <c r="Y48" s="29"/>
      <c r="Z48" s="29"/>
      <c r="AA48" s="29"/>
      <c r="AB48" s="29"/>
    </row>
    <row r="50" spans="3:17" ht="15.75" x14ac:dyDescent="0.25">
      <c r="C50" s="208" t="s">
        <v>99</v>
      </c>
      <c r="D50" s="105" t="s">
        <v>100</v>
      </c>
      <c r="E50" s="30"/>
    </row>
    <row r="51" spans="3:17" ht="15.75" x14ac:dyDescent="0.25">
      <c r="E51" s="30"/>
    </row>
    <row r="52" spans="3:17" ht="15.75" x14ac:dyDescent="0.25">
      <c r="C52" s="55" t="s">
        <v>387</v>
      </c>
      <c r="D52" s="209" t="s">
        <v>109</v>
      </c>
      <c r="E52" s="51" t="s">
        <v>384</v>
      </c>
      <c r="F52" s="51" t="s">
        <v>137</v>
      </c>
      <c r="G52" s="51" t="s">
        <v>130</v>
      </c>
      <c r="H52" s="51" t="s">
        <v>552</v>
      </c>
      <c r="I52" s="51" t="s">
        <v>115</v>
      </c>
      <c r="J52" s="51" t="s">
        <v>611</v>
      </c>
      <c r="K52" s="51" t="s">
        <v>553</v>
      </c>
      <c r="L52" s="51" t="s">
        <v>607</v>
      </c>
      <c r="M52" s="51" t="s">
        <v>282</v>
      </c>
      <c r="N52" s="51" t="s">
        <v>211</v>
      </c>
      <c r="O52" s="51" t="s">
        <v>286</v>
      </c>
      <c r="Q52" s="129" t="s">
        <v>615</v>
      </c>
    </row>
    <row r="53" spans="3:17" x14ac:dyDescent="0.25">
      <c r="Q53" s="138"/>
    </row>
    <row r="54" spans="3:17" x14ac:dyDescent="0.25">
      <c r="C54" t="s">
        <v>277</v>
      </c>
      <c r="D54" t="s">
        <v>605</v>
      </c>
      <c r="E54" s="213" cm="1">
        <f t="array" ref="E54">IFERROR(INDEX(VDOHistorical[[Ausnet]:[Average]],
MATCH(1,(VDOHistorical[[Cost element]:[Cost element]]=CH_CostElements_Anytime!E$52)*(VDOHistorical[[Customer type]:[Customer type]]=$D$50)*(VDOHistorical[[VDO decision]:[VDO decision]]=CH_CostElements_Anytime!$D54),0),
MATCH(CH_CostElements_Anytime!$C54,VDOHistorical[[#Headers],[Ausnet]:[Average]],0)),"-")</f>
        <v>1527.8509585118993</v>
      </c>
      <c r="F54" s="106" cm="1">
        <f t="array" ref="F54">IFERROR(INDEX(VDOHistorical[[Ausnet]:[Average]],
MATCH(1,(VDOHistorical[[Cost element]:[Cost element]]=CH_CostElements_Anytime!F$52)*(VDOHistorical[[Customer type]:[Customer type]]=$D$50)*(VDOHistorical[[VDO decision]:[VDO decision]]=CH_CostElements_Anytime!$D54),0),
MATCH(CH_CostElements_Anytime!$C54,VDOHistorical[[#Headers],[Ausnet]:[Average]],0)),"-")</f>
        <v>442.60601471400008</v>
      </c>
      <c r="G54" s="212" cm="1">
        <f t="array" ref="G54">IFERROR(INDEX(VDOHistorical[[Ausnet]:[Average]],
MATCH(1,(VDOHistorical[[Cost element]:[Cost element]]=CH_CostElements_Anytime!G$52)*(VDOHistorical[[Customer type]:[Customer type]]=$D$50)*(VDOHistorical[[VDO decision]:[VDO decision]]=CH_CostElements_Anytime!$D54),0),
MATCH(CH_CostElements_Anytime!$C54,VDOHistorical[[#Headers],[Ausnet]:[Average]],0)),"-")</f>
        <v>581.69329600000003</v>
      </c>
      <c r="H54" s="212" cm="1">
        <f t="array" ref="H54">IFERROR(INDEX(VDOHistorical[[Ausnet]:[Average]],
MATCH(1,(VDOHistorical[[Cost element]:[Cost element]]=CH_CostElements_Anytime!H$52)*(VDOHistorical[[Customer type]:[Customer type]]=$D$50)*(VDOHistorical[[VDO decision]:[VDO decision]]=CH_CostElements_Anytime!$D54),0),
MATCH(CH_CostElements_Anytime!$C54,VDOHistorical[[#Headers],[Ausnet]:[Average]],0)),"-")</f>
        <v>0</v>
      </c>
      <c r="I54" s="106" cm="1">
        <f t="array" ref="I54">IFERROR(INDEX(VDOHistorical[[Ausnet]:[Average]],
MATCH(1,(VDOHistorical[[Cost element]:[Cost element]]=CH_CostElements_Anytime!I$52)*(VDOHistorical[[Customer type]:[Customer type]]=$D$50)*(VDOHistorical[[VDO decision]:[VDO decision]]=CH_CostElements_Anytime!$D54),0),
MATCH(CH_CostElements_Anytime!$C54,VDOHistorical[[#Headers],[Ausnet]:[Average]],0)),"-")</f>
        <v>172</v>
      </c>
      <c r="J54" s="106" cm="1">
        <f t="array" ref="J54">IFERROR(INDEX(VDOHistorical[[Ausnet]:[Average]],
MATCH(1,(VDOHistorical[[Cost element]:[Cost element]]=CH_CostElements_Anytime!J$52)*(VDOHistorical[[Customer type]:[Customer type]]=$D$50)*(VDOHistorical[[VDO decision]:[VDO decision]]=CH_CostElements_Anytime!$D54),0),
MATCH(CH_CostElements_Anytime!$C54,VDOHistorical[[#Headers],[Ausnet]:[Average]],0)),"-")</f>
        <v>98.570398528509571</v>
      </c>
      <c r="K54" s="212" cm="1">
        <f t="array" ref="K54">IFERROR(INDEX(VDOHistorical[[Ausnet]:[Average]],
MATCH(1,(VDOHistorical[[Cost element]:[Cost element]]=CH_CostElements_Anytime!K$52)*(VDOHistorical[[Customer type]:[Customer type]]=$D$50)*(VDOHistorical[[VDO decision]:[VDO decision]]=CH_CostElements_Anytime!$D54),0),
MATCH(CH_CostElements_Anytime!$C54,VDOHistorical[[#Headers],[Ausnet]:[Average]],0)),"-")</f>
        <v>0</v>
      </c>
      <c r="L54" s="106" cm="1">
        <f t="array" ref="L54">IFERROR(INDEX(VDOHistorical[[Ausnet]:[Average]],
MATCH(1,(VDOHistorical[[Cost element]:[Cost element]]=CH_CostElements_Anytime!L$52)*(VDOHistorical[[Customer type]:[Customer type]]=$D$50)*(VDOHistorical[[VDO decision]:[VDO decision]]=CH_CostElements_Anytime!$D54),0),
MATCH(CH_CostElements_Anytime!$C54,VDOHistorical[[#Headers],[Ausnet]:[Average]],0)),"-")</f>
        <v>6.6485375744689605</v>
      </c>
      <c r="M54" s="106" cm="1">
        <f t="array" ref="M54">IFERROR(INDEX(VDOHistorical[[Ausnet]:[Average]],
MATCH(1,(VDOHistorical[[Cost element]:[Cost element]]=CH_CostElements_Anytime!M$52)*(VDOHistorical[[Customer type]:[Customer type]]=$D$50)*(VDOHistorical[[VDO decision]:[VDO decision]]=CH_CostElements_Anytime!$D54),0),
MATCH(CH_CostElements_Anytime!$C54,VDOHistorical[[#Headers],[Ausnet]:[Average]],0)),"-")</f>
        <v>8.3227724483924597</v>
      </c>
      <c r="N54" s="106" cm="1">
        <f t="array" ref="N54">IFERROR(INDEX(VDOHistorical[[Ausnet]:[Average]],
MATCH(1,(VDOHistorical[[Cost element]:[Cost element]]=CH_CostElements_Anytime!N$52)*(VDOHistorical[[Customer type]:[Customer type]]=$D$50)*(VDOHistorical[[VDO decision]:[VDO decision]]=CH_CostElements_Anytime!$D54),0),
MATCH(CH_CostElements_Anytime!$C54,VDOHistorical[[#Headers],[Ausnet]:[Average]],0)),"-")</f>
        <v>79.114397563628415</v>
      </c>
      <c r="O54" s="106" cm="1">
        <f t="array" ref="O54">IFERROR(INDEX(VDOHistorical[[Ausnet]:[Average]],
MATCH(1,(VDOHistorical[[Cost element]:[Cost element]]=CH_CostElements_Anytime!O$52)*(VDOHistorical[[Customer type]:[Customer type]]=$D$50)*(VDOHistorical[[VDO decision]:[VDO decision]]=CH_CostElements_Anytime!$D54),0),
MATCH(CH_CostElements_Anytime!$C54,VDOHistorical[[#Headers],[Ausnet]:[Average]],0)),"-")</f>
        <v>138.89554168289996</v>
      </c>
      <c r="Q54" s="218">
        <f>IF(ROUND(E54,8)=ROUND(SUM(F54:O54),8),0,1)</f>
        <v>0</v>
      </c>
    </row>
    <row r="55" spans="3:17" x14ac:dyDescent="0.25">
      <c r="C55" t="s">
        <v>278</v>
      </c>
      <c r="D55" t="s">
        <v>605</v>
      </c>
      <c r="E55" s="213" cm="1">
        <f t="array" ref="E55">IFERROR(INDEX(VDOHistorical[[Ausnet]:[Average]],
MATCH(1,(VDOHistorical[[Cost element]:[Cost element]]=CH_CostElements_Anytime!E$52)*(VDOHistorical[[Customer type]:[Customer type]]=$D$50)*(VDOHistorical[[VDO decision]:[VDO decision]]=CH_CostElements_Anytime!$D55),0),
MATCH(CH_CostElements_Anytime!$C55,VDOHistorical[[#Headers],[Ausnet]:[Average]],0)),"-")</f>
        <v>1333.6293965975781</v>
      </c>
      <c r="F55" s="106" cm="1">
        <f t="array" ref="F55">IFERROR(INDEX(VDOHistorical[[Ausnet]:[Average]],
MATCH(1,(VDOHistorical[[Cost element]:[Cost element]]=CH_CostElements_Anytime!F$52)*(VDOHistorical[[Customer type]:[Customer type]]=$D$50)*(VDOHistorical[[VDO decision]:[VDO decision]]=CH_CostElements_Anytime!$D55),0),
MATCH(CH_CostElements_Anytime!$C55,VDOHistorical[[#Headers],[Ausnet]:[Average]],0)),"-")</f>
        <v>431.59282379135993</v>
      </c>
      <c r="G55" s="212" cm="1">
        <f t="array" ref="G55">IFERROR(INDEX(VDOHistorical[[Ausnet]:[Average]],
MATCH(1,(VDOHistorical[[Cost element]:[Cost element]]=CH_CostElements_Anytime!G$52)*(VDOHistorical[[Customer type]:[Customer type]]=$D$50)*(VDOHistorical[[VDO decision]:[VDO decision]]=CH_CostElements_Anytime!$D55),0),
MATCH(CH_CostElements_Anytime!$C55,VDOHistorical[[#Headers],[Ausnet]:[Average]],0)),"-")</f>
        <v>426.6</v>
      </c>
      <c r="H55" s="212" cm="1">
        <f t="array" ref="H55">IFERROR(INDEX(VDOHistorical[[Ausnet]:[Average]],
MATCH(1,(VDOHistorical[[Cost element]:[Cost element]]=CH_CostElements_Anytime!H$52)*(VDOHistorical[[Customer type]:[Customer type]]=$D$50)*(VDOHistorical[[VDO decision]:[VDO decision]]=CH_CostElements_Anytime!$D55),0),
MATCH(CH_CostElements_Anytime!$C55,VDOHistorical[[#Headers],[Ausnet]:[Average]],0)),"-")</f>
        <v>0</v>
      </c>
      <c r="I55" s="106" cm="1">
        <f t="array" ref="I55">IFERROR(INDEX(VDOHistorical[[Ausnet]:[Average]],
MATCH(1,(VDOHistorical[[Cost element]:[Cost element]]=CH_CostElements_Anytime!I$52)*(VDOHistorical[[Customer type]:[Customer type]]=$D$50)*(VDOHistorical[[VDO decision]:[VDO decision]]=CH_CostElements_Anytime!$D55),0),
MATCH(CH_CostElements_Anytime!$C55,VDOHistorical[[#Headers],[Ausnet]:[Average]],0)),"-")</f>
        <v>172</v>
      </c>
      <c r="J55" s="106" cm="1">
        <f t="array" ref="J55">IFERROR(INDEX(VDOHistorical[[Ausnet]:[Average]],
MATCH(1,(VDOHistorical[[Cost element]:[Cost element]]=CH_CostElements_Anytime!J$52)*(VDOHistorical[[Customer type]:[Customer type]]=$D$50)*(VDOHistorical[[VDO decision]:[VDO decision]]=CH_CostElements_Anytime!$D55),0),
MATCH(CH_CostElements_Anytime!$C55,VDOHistorical[[#Headers],[Ausnet]:[Average]],0)),"-")</f>
        <v>98.184757703722909</v>
      </c>
      <c r="K55" s="212" cm="1">
        <f t="array" ref="K55">IFERROR(INDEX(VDOHistorical[[Ausnet]:[Average]],
MATCH(1,(VDOHistorical[[Cost element]:[Cost element]]=CH_CostElements_Anytime!K$52)*(VDOHistorical[[Customer type]:[Customer type]]=$D$50)*(VDOHistorical[[VDO decision]:[VDO decision]]=CH_CostElements_Anytime!$D55),0),
MATCH(CH_CostElements_Anytime!$C55,VDOHistorical[[#Headers],[Ausnet]:[Average]],0)),"-")</f>
        <v>0</v>
      </c>
      <c r="L55" s="106" cm="1">
        <f t="array" ref="L55">IFERROR(INDEX(VDOHistorical[[Ausnet]:[Average]],
MATCH(1,(VDOHistorical[[Cost element]:[Cost element]]=CH_CostElements_Anytime!L$52)*(VDOHistorical[[Customer type]:[Customer type]]=$D$50)*(VDOHistorical[[VDO decision]:[VDO decision]]=CH_CostElements_Anytime!$D55),0),
MATCH(CH_CostElements_Anytime!$C55,VDOHistorical[[#Headers],[Ausnet]:[Average]],0)),"-")</f>
        <v>6.6485375744689605</v>
      </c>
      <c r="M55" s="106" cm="1">
        <f t="array" ref="M55">IFERROR(INDEX(VDOHistorical[[Ausnet]:[Average]],
MATCH(1,(VDOHistorical[[Cost element]:[Cost element]]=CH_CostElements_Anytime!M$52)*(VDOHistorical[[Customer type]:[Customer type]]=$D$50)*(VDOHistorical[[VDO decision]:[VDO decision]]=CH_CostElements_Anytime!$D55),0),
MATCH(CH_CostElements_Anytime!$C55,VDOHistorical[[#Headers],[Ausnet]:[Average]],0)),"-")</f>
        <v>8.3069255770466981</v>
      </c>
      <c r="N55" s="106" cm="1">
        <f t="array" ref="N55">IFERROR(INDEX(VDOHistorical[[Ausnet]:[Average]],
MATCH(1,(VDOHistorical[[Cost element]:[Cost element]]=CH_CostElements_Anytime!N$52)*(VDOHistorical[[Customer type]:[Customer type]]=$D$50)*(VDOHistorical[[VDO decision]:[VDO decision]]=CH_CostElements_Anytime!$D55),0),
MATCH(CH_CostElements_Anytime!$C55,VDOHistorical[[#Headers],[Ausnet]:[Average]],0)),"-")</f>
        <v>69.057315896654544</v>
      </c>
      <c r="O55" s="106" cm="1">
        <f t="array" ref="O55">IFERROR(INDEX(VDOHistorical[[Ausnet]:[Average]],
MATCH(1,(VDOHistorical[[Cost element]:[Cost element]]=CH_CostElements_Anytime!O$52)*(VDOHistorical[[Customer type]:[Customer type]]=$D$50)*(VDOHistorical[[VDO decision]:[VDO decision]]=CH_CostElements_Anytime!$D55),0),
MATCH(CH_CostElements_Anytime!$C55,VDOHistorical[[#Headers],[Ausnet]:[Average]],0)),"-")</f>
        <v>121.2390360543253</v>
      </c>
      <c r="Q55" s="218">
        <f t="shared" ref="Q55:Q59" si="0">IF(ROUND(E55,8)=ROUND(SUM(F55:O55),8),0,1)</f>
        <v>0</v>
      </c>
    </row>
    <row r="56" spans="3:17" x14ac:dyDescent="0.25">
      <c r="C56" t="s">
        <v>279</v>
      </c>
      <c r="D56" t="s">
        <v>605</v>
      </c>
      <c r="E56" s="213" cm="1">
        <f t="array" ref="E56">IFERROR(INDEX(VDOHistorical[[Ausnet]:[Average]],
MATCH(1,(VDOHistorical[[Cost element]:[Cost element]]=CH_CostElements_Anytime!E$52)*(VDOHistorical[[Customer type]:[Customer type]]=$D$50)*(VDOHistorical[[VDO decision]:[VDO decision]]=CH_CostElements_Anytime!$D56),0),
MATCH(CH_CostElements_Anytime!$C56,VDOHistorical[[#Headers],[Ausnet]:[Average]],0)),"-")</f>
        <v>1385.2863289060126</v>
      </c>
      <c r="F56" s="106" cm="1">
        <f t="array" ref="F56">IFERROR(INDEX(VDOHistorical[[Ausnet]:[Average]],
MATCH(1,(VDOHistorical[[Cost element]:[Cost element]]=CH_CostElements_Anytime!F$52)*(VDOHistorical[[Customer type]:[Customer type]]=$D$50)*(VDOHistorical[[VDO decision]:[VDO decision]]=CH_CostElements_Anytime!$D56),0),
MATCH(CH_CostElements_Anytime!$C56,VDOHistorical[[#Headers],[Ausnet]:[Average]],0)),"-")</f>
        <v>452.93898497377774</v>
      </c>
      <c r="G56" s="212" cm="1">
        <f t="array" ref="G56">IFERROR(INDEX(VDOHistorical[[Ausnet]:[Average]],
MATCH(1,(VDOHistorical[[Cost element]:[Cost element]]=CH_CostElements_Anytime!G$52)*(VDOHistorical[[Customer type]:[Customer type]]=$D$50)*(VDOHistorical[[VDO decision]:[VDO decision]]=CH_CostElements_Anytime!$D56),0),
MATCH(CH_CostElements_Anytime!$C56,VDOHistorical[[#Headers],[Ausnet]:[Average]],0)),"-")</f>
        <v>449.94799999999998</v>
      </c>
      <c r="H56" s="212" cm="1">
        <f t="array" ref="H56">IFERROR(INDEX(VDOHistorical[[Ausnet]:[Average]],
MATCH(1,(VDOHistorical[[Cost element]:[Cost element]]=CH_CostElements_Anytime!H$52)*(VDOHistorical[[Customer type]:[Customer type]]=$D$50)*(VDOHistorical[[VDO decision]:[VDO decision]]=CH_CostElements_Anytime!$D56),0),
MATCH(CH_CostElements_Anytime!$C56,VDOHistorical[[#Headers],[Ausnet]:[Average]],0)),"-")</f>
        <v>0</v>
      </c>
      <c r="I56" s="106" cm="1">
        <f t="array" ref="I56">IFERROR(INDEX(VDOHistorical[[Ausnet]:[Average]],
MATCH(1,(VDOHistorical[[Cost element]:[Cost element]]=CH_CostElements_Anytime!I$52)*(VDOHistorical[[Customer type]:[Customer type]]=$D$50)*(VDOHistorical[[VDO decision]:[VDO decision]]=CH_CostElements_Anytime!$D56),0),
MATCH(CH_CostElements_Anytime!$C56,VDOHistorical[[#Headers],[Ausnet]:[Average]],0)),"-")</f>
        <v>172</v>
      </c>
      <c r="J56" s="106" cm="1">
        <f t="array" ref="J56">IFERROR(INDEX(VDOHistorical[[Ausnet]:[Average]],
MATCH(1,(VDOHistorical[[Cost element]:[Cost element]]=CH_CostElements_Anytime!J$52)*(VDOHistorical[[Customer type]:[Customer type]]=$D$50)*(VDOHistorical[[VDO decision]:[VDO decision]]=CH_CostElements_Anytime!$D56),0),
MATCH(CH_CostElements_Anytime!$C56,VDOHistorical[[#Headers],[Ausnet]:[Average]],0)),"-")</f>
        <v>97.79268247929005</v>
      </c>
      <c r="K56" s="212" cm="1">
        <f t="array" ref="K56">IFERROR(INDEX(VDOHistorical[[Ausnet]:[Average]],
MATCH(1,(VDOHistorical[[Cost element]:[Cost element]]=CH_CostElements_Anytime!K$52)*(VDOHistorical[[Customer type]:[Customer type]]=$D$50)*(VDOHistorical[[VDO decision]:[VDO decision]]=CH_CostElements_Anytime!$D56),0),
MATCH(CH_CostElements_Anytime!$C56,VDOHistorical[[#Headers],[Ausnet]:[Average]],0)),"-")</f>
        <v>0</v>
      </c>
      <c r="L56" s="106" cm="1">
        <f t="array" ref="L56">IFERROR(INDEX(VDOHistorical[[Ausnet]:[Average]],
MATCH(1,(VDOHistorical[[Cost element]:[Cost element]]=CH_CostElements_Anytime!L$52)*(VDOHistorical[[Customer type]:[Customer type]]=$D$50)*(VDOHistorical[[VDO decision]:[VDO decision]]=CH_CostElements_Anytime!$D56),0),
MATCH(CH_CostElements_Anytime!$C56,VDOHistorical[[#Headers],[Ausnet]:[Average]],0)),"-")</f>
        <v>6.6485375744689605</v>
      </c>
      <c r="M56" s="106" cm="1">
        <f t="array" ref="M56">IFERROR(INDEX(VDOHistorical[[Ausnet]:[Average]],
MATCH(1,(VDOHistorical[[Cost element]:[Cost element]]=CH_CostElements_Anytime!M$52)*(VDOHistorical[[Customer type]:[Customer type]]=$D$50)*(VDOHistorical[[VDO decision]:[VDO decision]]=CH_CostElements_Anytime!$D56),0),
MATCH(CH_CostElements_Anytime!$C56,VDOHistorical[[#Headers],[Ausnet]:[Average]],0)),"-")</f>
        <v>8.2908143013722828</v>
      </c>
      <c r="N56" s="106" cm="1">
        <f t="array" ref="N56">IFERROR(INDEX(VDOHistorical[[Ausnet]:[Average]],
MATCH(1,(VDOHistorical[[Cost element]:[Cost element]]=CH_CostElements_Anytime!N$52)*(VDOHistorical[[Customer type]:[Customer type]]=$D$50)*(VDOHistorical[[VDO decision]:[VDO decision]]=CH_CostElements_Anytime!$D56),0),
MATCH(CH_CostElements_Anytime!$C56,VDOHistorical[[#Headers],[Ausnet]:[Average]],0)),"-")</f>
        <v>71.732188767466099</v>
      </c>
      <c r="O56" s="106" cm="1">
        <f t="array" ref="O56">IFERROR(INDEX(VDOHistorical[[Ausnet]:[Average]],
MATCH(1,(VDOHistorical[[Cost element]:[Cost element]]=CH_CostElements_Anytime!O$52)*(VDOHistorical[[Customer type]:[Customer type]]=$D$50)*(VDOHistorical[[VDO decision]:[VDO decision]]=CH_CostElements_Anytime!$D56),0),
MATCH(CH_CostElements_Anytime!$C56,VDOHistorical[[#Headers],[Ausnet]:[Average]],0)),"-")</f>
        <v>125.93512080963751</v>
      </c>
      <c r="Q56" s="218">
        <f t="shared" si="0"/>
        <v>0</v>
      </c>
    </row>
    <row r="57" spans="3:17" x14ac:dyDescent="0.25">
      <c r="C57" t="s">
        <v>280</v>
      </c>
      <c r="D57" t="s">
        <v>605</v>
      </c>
      <c r="E57" s="213" cm="1">
        <f t="array" ref="E57">IFERROR(INDEX(VDOHistorical[[Ausnet]:[Average]],
MATCH(1,(VDOHistorical[[Cost element]:[Cost element]]=CH_CostElements_Anytime!E$52)*(VDOHistorical[[Customer type]:[Customer type]]=$D$50)*(VDOHistorical[[VDO decision]:[VDO decision]]=CH_CostElements_Anytime!$D57),0),
MATCH(CH_CostElements_Anytime!$C57,VDOHistorical[[#Headers],[Ausnet]:[Average]],0)),"-")</f>
        <v>1411.2558006237807</v>
      </c>
      <c r="F57" s="106" cm="1">
        <f t="array" ref="F57">IFERROR(INDEX(VDOHistorical[[Ausnet]:[Average]],
MATCH(1,(VDOHistorical[[Cost element]:[Cost element]]=CH_CostElements_Anytime!F$52)*(VDOHistorical[[Customer type]:[Customer type]]=$D$50)*(VDOHistorical[[VDO decision]:[VDO decision]]=CH_CostElements_Anytime!$D57),0),
MATCH(CH_CostElements_Anytime!$C57,VDOHistorical[[#Headers],[Ausnet]:[Average]],0)),"-")</f>
        <v>433.07596988040001</v>
      </c>
      <c r="G57" s="212" cm="1">
        <f t="array" ref="G57">IFERROR(INDEX(VDOHistorical[[Ausnet]:[Average]],
MATCH(1,(VDOHistorical[[Cost element]:[Cost element]]=CH_CostElements_Anytime!G$52)*(VDOHistorical[[Customer type]:[Customer type]]=$D$50)*(VDOHistorical[[VDO decision]:[VDO decision]]=CH_CostElements_Anytime!$D57),0),
MATCH(CH_CostElements_Anytime!$C57,VDOHistorical[[#Headers],[Ausnet]:[Average]],0)),"-")</f>
        <v>491.8</v>
      </c>
      <c r="H57" s="212" cm="1">
        <f t="array" ref="H57">IFERROR(INDEX(VDOHistorical[[Ausnet]:[Average]],
MATCH(1,(VDOHistorical[[Cost element]:[Cost element]]=CH_CostElements_Anytime!H$52)*(VDOHistorical[[Customer type]:[Customer type]]=$D$50)*(VDOHistorical[[VDO decision]:[VDO decision]]=CH_CostElements_Anytime!$D57),0),
MATCH(CH_CostElements_Anytime!$C57,VDOHistorical[[#Headers],[Ausnet]:[Average]],0)),"-")</f>
        <v>0</v>
      </c>
      <c r="I57" s="106" cm="1">
        <f t="array" ref="I57">IFERROR(INDEX(VDOHistorical[[Ausnet]:[Average]],
MATCH(1,(VDOHistorical[[Cost element]:[Cost element]]=CH_CostElements_Anytime!I$52)*(VDOHistorical[[Customer type]:[Customer type]]=$D$50)*(VDOHistorical[[VDO decision]:[VDO decision]]=CH_CostElements_Anytime!$D57),0),
MATCH(CH_CostElements_Anytime!$C57,VDOHistorical[[#Headers],[Ausnet]:[Average]],0)),"-")</f>
        <v>172</v>
      </c>
      <c r="J57" s="106" cm="1">
        <f t="array" ref="J57">IFERROR(INDEX(VDOHistorical[[Ausnet]:[Average]],
MATCH(1,(VDOHistorical[[Cost element]:[Cost element]]=CH_CostElements_Anytime!J$52)*(VDOHistorical[[Customer type]:[Customer type]]=$D$50)*(VDOHistorical[[VDO decision]:[VDO decision]]=CH_CostElements_Anytime!$D57),0),
MATCH(CH_CostElements_Anytime!$C57,VDOHistorical[[#Headers],[Ausnet]:[Average]],0)),"-")</f>
        <v>98.05672038494086</v>
      </c>
      <c r="K57" s="212" cm="1">
        <f t="array" ref="K57">IFERROR(INDEX(VDOHistorical[[Ausnet]:[Average]],
MATCH(1,(VDOHistorical[[Cost element]:[Cost element]]=CH_CostElements_Anytime!K$52)*(VDOHistorical[[Customer type]:[Customer type]]=$D$50)*(VDOHistorical[[VDO decision]:[VDO decision]]=CH_CostElements_Anytime!$D57),0),
MATCH(CH_CostElements_Anytime!$C57,VDOHistorical[[#Headers],[Ausnet]:[Average]],0)),"-")</f>
        <v>0</v>
      </c>
      <c r="L57" s="106" cm="1">
        <f t="array" ref="L57">IFERROR(INDEX(VDOHistorical[[Ausnet]:[Average]],
MATCH(1,(VDOHistorical[[Cost element]:[Cost element]]=CH_CostElements_Anytime!L$52)*(VDOHistorical[[Customer type]:[Customer type]]=$D$50)*(VDOHistorical[[VDO decision]:[VDO decision]]=CH_CostElements_Anytime!$D57),0),
MATCH(CH_CostElements_Anytime!$C57,VDOHistorical[[#Headers],[Ausnet]:[Average]],0)),"-")</f>
        <v>6.6485375744689605</v>
      </c>
      <c r="M57" s="106" cm="1">
        <f t="array" ref="M57">IFERROR(INDEX(VDOHistorical[[Ausnet]:[Average]],
MATCH(1,(VDOHistorical[[Cost element]:[Cost element]]=CH_CostElements_Anytime!M$52)*(VDOHistorical[[Customer type]:[Customer type]]=$D$50)*(VDOHistorical[[VDO decision]:[VDO decision]]=CH_CostElements_Anytime!$D57),0),
MATCH(CH_CostElements_Anytime!$C57,VDOHistorical[[#Headers],[Ausnet]:[Average]],0)),"-")</f>
        <v>8.3016642281754596</v>
      </c>
      <c r="N57" s="106" cm="1">
        <f t="array" ref="N57">IFERROR(INDEX(VDOHistorical[[Ausnet]:[Average]],
MATCH(1,(VDOHistorical[[Cost element]:[Cost element]]=CH_CostElements_Anytime!N$52)*(VDOHistorical[[Customer type]:[Customer type]]=$D$50)*(VDOHistorical[[VDO decision]:[VDO decision]]=CH_CostElements_Anytime!$D57),0),
MATCH(CH_CostElements_Anytime!$C57,VDOHistorical[[#Headers],[Ausnet]:[Average]],0)),"-")</f>
        <v>73.076926680906311</v>
      </c>
      <c r="O57" s="106" cm="1">
        <f t="array" ref="O57">IFERROR(INDEX(VDOHistorical[[Ausnet]:[Average]],
MATCH(1,(VDOHistorical[[Cost element]:[Cost element]]=CH_CostElements_Anytime!O$52)*(VDOHistorical[[Customer type]:[Customer type]]=$D$50)*(VDOHistorical[[VDO decision]:[VDO decision]]=CH_CostElements_Anytime!$D57),0),
MATCH(CH_CostElements_Anytime!$C57,VDOHistorical[[#Headers],[Ausnet]:[Average]],0)),"-")</f>
        <v>128.29598187488918</v>
      </c>
      <c r="Q57" s="218">
        <f t="shared" si="0"/>
        <v>0</v>
      </c>
    </row>
    <row r="58" spans="3:17" x14ac:dyDescent="0.25">
      <c r="C58" t="s">
        <v>281</v>
      </c>
      <c r="D58" t="s">
        <v>605</v>
      </c>
      <c r="E58" s="213" cm="1">
        <f t="array" ref="E58">IFERROR(INDEX(VDOHistorical[[Ausnet]:[Average]],
MATCH(1,(VDOHistorical[[Cost element]:[Cost element]]=CH_CostElements_Anytime!E$52)*(VDOHistorical[[Customer type]:[Customer type]]=$D$50)*(VDOHistorical[[VDO decision]:[VDO decision]]=CH_CostElements_Anytime!$D58),0),
MATCH(CH_CostElements_Anytime!$C58,VDOHistorical[[#Headers],[Ausnet]:[Average]],0)),"-")</f>
        <v>1380.4973533747207</v>
      </c>
      <c r="F58" s="106" cm="1">
        <f t="array" ref="F58">IFERROR(INDEX(VDOHistorical[[Ausnet]:[Average]],
MATCH(1,(VDOHistorical[[Cost element]:[Cost element]]=CH_CostElements_Anytime!F$52)*(VDOHistorical[[Customer type]:[Customer type]]=$D$50)*(VDOHistorical[[VDO decision]:[VDO decision]]=CH_CostElements_Anytime!$D58),0),
MATCH(CH_CostElements_Anytime!$C58,VDOHistorical[[#Headers],[Ausnet]:[Average]],0)),"-")</f>
        <v>459.59114697999991</v>
      </c>
      <c r="G58" s="212" cm="1">
        <f t="array" ref="G58">IFERROR(INDEX(VDOHistorical[[Ausnet]:[Average]],
MATCH(1,(VDOHistorical[[Cost element]:[Cost element]]=CH_CostElements_Anytime!G$52)*(VDOHistorical[[Customer type]:[Customer type]]=$D$50)*(VDOHistorical[[VDO decision]:[VDO decision]]=CH_CostElements_Anytime!$D58),0),
MATCH(CH_CostElements_Anytime!$C58,VDOHistorical[[#Headers],[Ausnet]:[Average]],0)),"-")</f>
        <v>438.00741333713455</v>
      </c>
      <c r="H58" s="212" cm="1">
        <f t="array" ref="H58">IFERROR(INDEX(VDOHistorical[[Ausnet]:[Average]],
MATCH(1,(VDOHistorical[[Cost element]:[Cost element]]=CH_CostElements_Anytime!H$52)*(VDOHistorical[[Customer type]:[Customer type]]=$D$50)*(VDOHistorical[[VDO decision]:[VDO decision]]=CH_CostElements_Anytime!$D58),0),
MATCH(CH_CostElements_Anytime!$C58,VDOHistorical[[#Headers],[Ausnet]:[Average]],0)),"-")</f>
        <v>0</v>
      </c>
      <c r="I58" s="106" cm="1">
        <f t="array" ref="I58">IFERROR(INDEX(VDOHistorical[[Ausnet]:[Average]],
MATCH(1,(VDOHistorical[[Cost element]:[Cost element]]=CH_CostElements_Anytime!I$52)*(VDOHistorical[[Customer type]:[Customer type]]=$D$50)*(VDOHistorical[[VDO decision]:[VDO decision]]=CH_CostElements_Anytime!$D58),0),
MATCH(CH_CostElements_Anytime!$C58,VDOHistorical[[#Headers],[Ausnet]:[Average]],0)),"-")</f>
        <v>172</v>
      </c>
      <c r="J58" s="106" cm="1">
        <f t="array" ref="J58">IFERROR(INDEX(VDOHistorical[[Ausnet]:[Average]],
MATCH(1,(VDOHistorical[[Cost element]:[Cost element]]=CH_CostElements_Anytime!J$52)*(VDOHistorical[[Customer type]:[Customer type]]=$D$50)*(VDOHistorical[[VDO decision]:[VDO decision]]=CH_CostElements_Anytime!$D58),0),
MATCH(CH_CostElements_Anytime!$C58,VDOHistorical[[#Headers],[Ausnet]:[Average]],0)),"-")</f>
        <v>98.928788098814238</v>
      </c>
      <c r="K58" s="212" cm="1">
        <f t="array" ref="K58">IFERROR(INDEX(VDOHistorical[[Ausnet]:[Average]],
MATCH(1,(VDOHistorical[[Cost element]:[Cost element]]=CH_CostElements_Anytime!K$52)*(VDOHistorical[[Customer type]:[Customer type]]=$D$50)*(VDOHistorical[[VDO decision]:[VDO decision]]=CH_CostElements_Anytime!$D58),0),
MATCH(CH_CostElements_Anytime!$C58,VDOHistorical[[#Headers],[Ausnet]:[Average]],0)),"-")</f>
        <v>0</v>
      </c>
      <c r="L58" s="106" cm="1">
        <f t="array" ref="L58">IFERROR(INDEX(VDOHistorical[[Ausnet]:[Average]],
MATCH(1,(VDOHistorical[[Cost element]:[Cost element]]=CH_CostElements_Anytime!L$52)*(VDOHistorical[[Customer type]:[Customer type]]=$D$50)*(VDOHistorical[[VDO decision]:[VDO decision]]=CH_CostElements_Anytime!$D58),0),
MATCH(CH_CostElements_Anytime!$C58,VDOHistorical[[#Headers],[Ausnet]:[Average]],0)),"-")</f>
        <v>6.6485375744689605</v>
      </c>
      <c r="M58" s="106" cm="1">
        <f t="array" ref="M58">IFERROR(INDEX(VDOHistorical[[Ausnet]:[Average]],
MATCH(1,(VDOHistorical[[Cost element]:[Cost element]]=CH_CostElements_Anytime!M$52)*(VDOHistorical[[Customer type]:[Customer type]]=$D$50)*(VDOHistorical[[VDO decision]:[VDO decision]]=CH_CostElements_Anytime!$D58),0),
MATCH(CH_CostElements_Anytime!$C58,VDOHistorical[[#Headers],[Ausnet]:[Average]],0)),"-")</f>
        <v>8.3374995028100578</v>
      </c>
      <c r="N58" s="106" cm="1">
        <f t="array" ref="N58">IFERROR(INDEX(VDOHistorical[[Ausnet]:[Average]],
MATCH(1,(VDOHistorical[[Cost element]:[Cost element]]=CH_CostElements_Anytime!N$52)*(VDOHistorical[[Customer type]:[Customer type]]=$D$50)*(VDOHistorical[[VDO decision]:[VDO decision]]=CH_CostElements_Anytime!$D58),0),
MATCH(CH_CostElements_Anytime!$C58,VDOHistorical[[#Headers],[Ausnet]:[Average]],0)),"-")</f>
        <v>71.484208483790965</v>
      </c>
      <c r="O58" s="106" cm="1">
        <f t="array" ref="O58">IFERROR(INDEX(VDOHistorical[[Ausnet]:[Average]],
MATCH(1,(VDOHistorical[[Cost element]:[Cost element]]=CH_CostElements_Anytime!O$52)*(VDOHistorical[[Customer type]:[Customer type]]=$D$50)*(VDOHistorical[[VDO decision]:[VDO decision]]=CH_CostElements_Anytime!$D58),0),
MATCH(CH_CostElements_Anytime!$C58,VDOHistorical[[#Headers],[Ausnet]:[Average]],0)),"-")</f>
        <v>125.49975939770189</v>
      </c>
      <c r="Q58" s="218">
        <f t="shared" si="0"/>
        <v>0</v>
      </c>
    </row>
    <row r="59" spans="3:17" x14ac:dyDescent="0.25">
      <c r="C59" t="s">
        <v>383</v>
      </c>
      <c r="D59" t="s">
        <v>605</v>
      </c>
      <c r="E59" s="213" cm="1">
        <f t="array" ref="E59">IFERROR(INDEX(VDOHistorical[[Ausnet]:[Average]],
MATCH(1,(VDOHistorical[[Cost element]:[Cost element]]=CH_CostElements_Anytime!E$52)*(VDOHistorical[[Customer type]:[Customer type]]=$D$50)*(VDOHistorical[[VDO decision]:[VDO decision]]=CH_CostElements_Anytime!$D59),0),
MATCH(CH_CostElements_Anytime!$C59,VDOHistorical[[#Headers],[Ausnet]:[Average]],0)),"-")</f>
        <v>1407.7039676027982</v>
      </c>
      <c r="F59" s="106" cm="1">
        <f t="array" ref="F59">IFERROR(INDEX(VDOHistorical[[Ausnet]:[Average]],
MATCH(1,(VDOHistorical[[Cost element]:[Cost element]]=CH_CostElements_Anytime!F$52)*(VDOHistorical[[Customer type]:[Customer type]]=$D$50)*(VDOHistorical[[VDO decision]:[VDO decision]]=CH_CostElements_Anytime!$D59),0),
MATCH(CH_CostElements_Anytime!$C59,VDOHistorical[[#Headers],[Ausnet]:[Average]],0)),"-")</f>
        <v>443.96098806790752</v>
      </c>
      <c r="G59" s="212" cm="1">
        <f t="array" ref="G59">IFERROR(INDEX(VDOHistorical[[Ausnet]:[Average]],
MATCH(1,(VDOHistorical[[Cost element]:[Cost element]]=CH_CostElements_Anytime!G$52)*(VDOHistorical[[Customer type]:[Customer type]]=$D$50)*(VDOHistorical[[VDO decision]:[VDO decision]]=CH_CostElements_Anytime!$D59),0),
MATCH(CH_CostElements_Anytime!$C59,VDOHistorical[[#Headers],[Ausnet]:[Average]],0)),"-")</f>
        <v>477.60974186742698</v>
      </c>
      <c r="H59" s="212" cm="1">
        <f t="array" ref="H59">IFERROR(INDEX(VDOHistorical[[Ausnet]:[Average]],
MATCH(1,(VDOHistorical[[Cost element]:[Cost element]]=CH_CostElements_Anytime!H$52)*(VDOHistorical[[Customer type]:[Customer type]]=$D$50)*(VDOHistorical[[VDO decision]:[VDO decision]]=CH_CostElements_Anytime!$D59),0),
MATCH(CH_CostElements_Anytime!$C59,VDOHistorical[[#Headers],[Ausnet]:[Average]],0)),"-")</f>
        <v>0</v>
      </c>
      <c r="I59" s="106" cm="1">
        <f t="array" ref="I59">IFERROR(INDEX(VDOHistorical[[Ausnet]:[Average]],
MATCH(1,(VDOHistorical[[Cost element]:[Cost element]]=CH_CostElements_Anytime!I$52)*(VDOHistorical[[Customer type]:[Customer type]]=$D$50)*(VDOHistorical[[VDO decision]:[VDO decision]]=CH_CostElements_Anytime!$D59),0),
MATCH(CH_CostElements_Anytime!$C59,VDOHistorical[[#Headers],[Ausnet]:[Average]],0)),"-")</f>
        <v>172</v>
      </c>
      <c r="J59" s="106" cm="1">
        <f t="array" ref="J59">IFERROR(INDEX(VDOHistorical[[Ausnet]:[Average]],
MATCH(1,(VDOHistorical[[Cost element]:[Cost element]]=CH_CostElements_Anytime!J$52)*(VDOHistorical[[Customer type]:[Customer type]]=$D$50)*(VDOHistorical[[VDO decision]:[VDO decision]]=CH_CostElements_Anytime!$D59),0),
MATCH(CH_CostElements_Anytime!$C59,VDOHistorical[[#Headers],[Ausnet]:[Average]],0)),"-")</f>
        <v>98.306669439055526</v>
      </c>
      <c r="K59" s="212" cm="1">
        <f t="array" ref="K59">IFERROR(INDEX(VDOHistorical[[Ausnet]:[Average]],
MATCH(1,(VDOHistorical[[Cost element]:[Cost element]]=CH_CostElements_Anytime!K$52)*(VDOHistorical[[Customer type]:[Customer type]]=$D$50)*(VDOHistorical[[VDO decision]:[VDO decision]]=CH_CostElements_Anytime!$D59),0),
MATCH(CH_CostElements_Anytime!$C59,VDOHistorical[[#Headers],[Ausnet]:[Average]],0)),"-")</f>
        <v>0</v>
      </c>
      <c r="L59" s="106" cm="1">
        <f t="array" ref="L59">IFERROR(INDEX(VDOHistorical[[Ausnet]:[Average]],
MATCH(1,(VDOHistorical[[Cost element]:[Cost element]]=CH_CostElements_Anytime!L$52)*(VDOHistorical[[Customer type]:[Customer type]]=$D$50)*(VDOHistorical[[VDO decision]:[VDO decision]]=CH_CostElements_Anytime!$D59),0),
MATCH(CH_CostElements_Anytime!$C59,VDOHistorical[[#Headers],[Ausnet]:[Average]],0)),"-")</f>
        <v>6.6485375744689605</v>
      </c>
      <c r="M59" s="106" cm="1">
        <f t="array" ref="M59">IFERROR(INDEX(VDOHistorical[[Ausnet]:[Average]],
MATCH(1,(VDOHistorical[[Cost element]:[Cost element]]=CH_CostElements_Anytime!M$52)*(VDOHistorical[[Customer type]:[Customer type]]=$D$50)*(VDOHistorical[[VDO decision]:[VDO decision]]=CH_CostElements_Anytime!$D59),0),
MATCH(CH_CostElements_Anytime!$C59,VDOHistorical[[#Headers],[Ausnet]:[Average]],0)),"-")</f>
        <v>8.3119352115593923</v>
      </c>
      <c r="N59" s="106" cm="1">
        <f t="array" ref="N59">IFERROR(INDEX(VDOHistorical[[Ausnet]:[Average]],
MATCH(1,(VDOHistorical[[Cost element]:[Cost element]]=CH_CostElements_Anytime!N$52)*(VDOHistorical[[Customer type]:[Customer type]]=$D$50)*(VDOHistorical[[VDO decision]:[VDO decision]]=CH_CostElements_Anytime!$D59),0),
MATCH(CH_CostElements_Anytime!$C59,VDOHistorical[[#Headers],[Ausnet]:[Average]],0)),"-")</f>
        <v>72.893007478489253</v>
      </c>
      <c r="O59" s="106" cm="1">
        <f t="array" ref="O59">IFERROR(INDEX(VDOHistorical[[Ausnet]:[Average]],
MATCH(1,(VDOHistorical[[Cost element]:[Cost element]]=CH_CostElements_Anytime!O$52)*(VDOHistorical[[Customer type]:[Customer type]]=$D$50)*(VDOHistorical[[VDO decision]:[VDO decision]]=CH_CostElements_Anytime!$D59),0),
MATCH(CH_CostElements_Anytime!$C59,VDOHistorical[[#Headers],[Ausnet]:[Average]],0)),"-")</f>
        <v>127.97308796389075</v>
      </c>
      <c r="Q59" s="218">
        <f t="shared" si="0"/>
        <v>0</v>
      </c>
    </row>
    <row r="60" spans="3:17" x14ac:dyDescent="0.25">
      <c r="Q60" s="138"/>
    </row>
    <row r="61" spans="3:17" x14ac:dyDescent="0.25">
      <c r="C61" t="s">
        <v>277</v>
      </c>
      <c r="D61" t="s">
        <v>604</v>
      </c>
      <c r="E61" s="213" cm="1">
        <f t="array" ref="E61">IFERROR(INDEX(VDOHistorical[[Ausnet]:[Average]],
MATCH(1,(VDOHistorical[[Cost element]:[Cost element]]=CH_CostElements_Anytime!E$52)*(VDOHistorical[[Customer type]:[Customer type]]=$D$50)*(VDOHistorical[[VDO decision]:[VDO decision]]=CH_CostElements_Anytime!$D61),0),
MATCH(CH_CostElements_Anytime!$C61,VDOHistorical[[#Headers],[Ausnet]:[Average]],0)),"-")</f>
        <v>1645.0868307368989</v>
      </c>
      <c r="F61" s="106" cm="1">
        <f t="array" ref="F61">IFERROR(INDEX(VDOHistorical[[Ausnet]:[Average]],
MATCH(1,(VDOHistorical[[Cost element]:[Cost element]]=CH_CostElements_Anytime!F$52)*(VDOHistorical[[Customer type]:[Customer type]]=$D$50)*(VDOHistorical[[VDO decision]:[VDO decision]]=CH_CostElements_Anytime!$D61),0),
MATCH(CH_CostElements_Anytime!$C61,VDOHistorical[[#Headers],[Ausnet]:[Average]],0)),"-")</f>
        <v>512.16903559111108</v>
      </c>
      <c r="G61" s="212" cm="1">
        <f t="array" ref="G61">IFERROR(INDEX(VDOHistorical[[Ausnet]:[Average]],
MATCH(1,(VDOHistorical[[Cost element]:[Cost element]]=CH_CostElements_Anytime!G$52)*(VDOHistorical[[Customer type]:[Customer type]]=$D$50)*(VDOHistorical[[VDO decision]:[VDO decision]]=CH_CostElements_Anytime!$D61),0),
MATCH(CH_CostElements_Anytime!$C61,VDOHistorical[[#Headers],[Ausnet]:[Average]],0)),"-")</f>
        <v>623.98</v>
      </c>
      <c r="H61" s="212" cm="1">
        <f t="array" ref="H61">IFERROR(INDEX(VDOHistorical[[Ausnet]:[Average]],
MATCH(1,(VDOHistorical[[Cost element]:[Cost element]]=CH_CostElements_Anytime!H$52)*(VDOHistorical[[Customer type]:[Customer type]]=$D$50)*(VDOHistorical[[VDO decision]:[VDO decision]]=CH_CostElements_Anytime!$D61),0),
MATCH(CH_CostElements_Anytime!$C61,VDOHistorical[[#Headers],[Ausnet]:[Average]],0)),"-")</f>
        <v>0</v>
      </c>
      <c r="I61" s="106" cm="1">
        <f t="array" ref="I61">IFERROR(INDEX(VDOHistorical[[Ausnet]:[Average]],
MATCH(1,(VDOHistorical[[Cost element]:[Cost element]]=CH_CostElements_Anytime!I$52)*(VDOHistorical[[Customer type]:[Customer type]]=$D$50)*(VDOHistorical[[VDO decision]:[VDO decision]]=CH_CostElements_Anytime!$D61),0),
MATCH(CH_CostElements_Anytime!$C61,VDOHistorical[[#Headers],[Ausnet]:[Average]],0)),"-")</f>
        <v>174.40888630791068</v>
      </c>
      <c r="J61" s="106" cm="1">
        <f t="array" ref="J61">IFERROR(INDEX(VDOHistorical[[Ausnet]:[Average]],
MATCH(1,(VDOHistorical[[Cost element]:[Cost element]]=CH_CostElements_Anytime!J$52)*(VDOHistorical[[Customer type]:[Customer type]]=$D$50)*(VDOHistorical[[VDO decision]:[VDO decision]]=CH_CostElements_Anytime!$D61),0),
MATCH(CH_CostElements_Anytime!$C61,VDOHistorical[[#Headers],[Ausnet]:[Average]],0)),"-")</f>
        <v>82.266793890124106</v>
      </c>
      <c r="K61" s="212" cm="1">
        <f t="array" ref="K61">IFERROR(INDEX(VDOHistorical[[Ausnet]:[Average]],
MATCH(1,(VDOHistorical[[Cost element]:[Cost element]]=CH_CostElements_Anytime!K$52)*(VDOHistorical[[Customer type]:[Customer type]]=$D$50)*(VDOHistorical[[VDO decision]:[VDO decision]]=CH_CostElements_Anytime!$D61),0),
MATCH(CH_CostElements_Anytime!$C61,VDOHistorical[[#Headers],[Ausnet]:[Average]],0)),"-")</f>
        <v>0</v>
      </c>
      <c r="L61" s="106" cm="1">
        <f t="array" ref="L61">IFERROR(INDEX(VDOHistorical[[Ausnet]:[Average]],
MATCH(1,(VDOHistorical[[Cost element]:[Cost element]]=CH_CostElements_Anytime!L$52)*(VDOHistorical[[Customer type]:[Customer type]]=$D$50)*(VDOHistorical[[VDO decision]:[VDO decision]]=CH_CostElements_Anytime!$D61),0),
MATCH(CH_CostElements_Anytime!$C61,VDOHistorical[[#Headers],[Ausnet]:[Average]],0)),"-")</f>
        <v>8.392848052444899</v>
      </c>
      <c r="M61" s="106" cm="1">
        <f t="array" ref="M61">IFERROR(INDEX(VDOHistorical[[Ausnet]:[Average]],
MATCH(1,(VDOHistorical[[Cost element]:[Cost element]]=CH_CostElements_Anytime!M$52)*(VDOHistorical[[Customer type]:[Customer type]]=$D$50)*(VDOHistorical[[VDO decision]:[VDO decision]]=CH_CostElements_Anytime!$D61),0),
MATCH(CH_CostElements_Anytime!$C61,VDOHistorical[[#Headers],[Ausnet]:[Average]],0)),"-")</f>
        <v>9.1308730577774266</v>
      </c>
      <c r="N61" s="106" cm="1">
        <f t="array" ref="N61">IFERROR(INDEX(VDOHistorical[[Ausnet]:[Average]],
MATCH(1,(VDOHistorical[[Cost element]:[Cost element]]=CH_CostElements_Anytime!N$52)*(VDOHistorical[[Customer type]:[Customer type]]=$D$50)*(VDOHistorical[[VDO decision]:[VDO decision]]=CH_CostElements_Anytime!$D61),0),
MATCH(CH_CostElements_Anytime!$C61,VDOHistorical[[#Headers],[Ausnet]:[Average]],0)),"-")</f>
        <v>85.185045588721835</v>
      </c>
      <c r="O61" s="106" cm="1">
        <f t="array" ref="O61">IFERROR(INDEX(VDOHistorical[[Ausnet]:[Average]],
MATCH(1,(VDOHistorical[[Cost element]:[Cost element]]=CH_CostElements_Anytime!O$52)*(VDOHistorical[[Customer type]:[Customer type]]=$D$50)*(VDOHistorical[[VDO decision]:[VDO decision]]=CH_CostElements_Anytime!$D61),0),
MATCH(CH_CostElements_Anytime!$C61,VDOHistorical[[#Headers],[Ausnet]:[Average]],0)),"-")</f>
        <v>149.55334824880899</v>
      </c>
      <c r="Q61" s="218">
        <f>IF(ROUND(E61,8)=ROUND(SUM(F61:O61),8),0,1)</f>
        <v>0</v>
      </c>
    </row>
    <row r="62" spans="3:17" x14ac:dyDescent="0.25">
      <c r="C62" t="s">
        <v>278</v>
      </c>
      <c r="D62" t="s">
        <v>604</v>
      </c>
      <c r="E62" s="213" cm="1">
        <f t="array" ref="E62">IFERROR(INDEX(VDOHistorical[[Ausnet]:[Average]],
MATCH(1,(VDOHistorical[[Cost element]:[Cost element]]=CH_CostElements_Anytime!E$52)*(VDOHistorical[[Customer type]:[Customer type]]=$D$50)*(VDOHistorical[[VDO decision]:[VDO decision]]=CH_CostElements_Anytime!$D62),0),
MATCH(CH_CostElements_Anytime!$C62,VDOHistorical[[#Headers],[Ausnet]:[Average]],0)),"-")</f>
        <v>1419.6034655693966</v>
      </c>
      <c r="F62" s="106" cm="1">
        <f t="array" ref="F62">IFERROR(INDEX(VDOHistorical[[Ausnet]:[Average]],
MATCH(1,(VDOHistorical[[Cost element]:[Cost element]]=CH_CostElements_Anytime!F$52)*(VDOHistorical[[Customer type]:[Customer type]]=$D$50)*(VDOHistorical[[VDO decision]:[VDO decision]]=CH_CostElements_Anytime!$D62),0),
MATCH(CH_CostElements_Anytime!$C62,VDOHistorical[[#Headers],[Ausnet]:[Average]],0)),"-")</f>
        <v>494.81347888639999</v>
      </c>
      <c r="G62" s="212" cm="1">
        <f t="array" ref="G62">IFERROR(INDEX(VDOHistorical[[Ausnet]:[Average]],
MATCH(1,(VDOHistorical[[Cost element]:[Cost element]]=CH_CostElements_Anytime!G$52)*(VDOHistorical[[Customer type]:[Customer type]]=$D$50)*(VDOHistorical[[VDO decision]:[VDO decision]]=CH_CostElements_Anytime!$D62),0),
MATCH(CH_CostElements_Anytime!$C62,VDOHistorical[[#Headers],[Ausnet]:[Average]],0)),"-")</f>
        <v>448.7</v>
      </c>
      <c r="H62" s="212" cm="1">
        <f t="array" ref="H62">IFERROR(INDEX(VDOHistorical[[Ausnet]:[Average]],
MATCH(1,(VDOHistorical[[Cost element]:[Cost element]]=CH_CostElements_Anytime!H$52)*(VDOHistorical[[Customer type]:[Customer type]]=$D$50)*(VDOHistorical[[VDO decision]:[VDO decision]]=CH_CostElements_Anytime!$D62),0),
MATCH(CH_CostElements_Anytime!$C62,VDOHistorical[[#Headers],[Ausnet]:[Average]],0)),"-")</f>
        <v>0</v>
      </c>
      <c r="I62" s="106" cm="1">
        <f t="array" ref="I62">IFERROR(INDEX(VDOHistorical[[Ausnet]:[Average]],
MATCH(1,(VDOHistorical[[Cost element]:[Cost element]]=CH_CostElements_Anytime!I$52)*(VDOHistorical[[Customer type]:[Customer type]]=$D$50)*(VDOHistorical[[VDO decision]:[VDO decision]]=CH_CostElements_Anytime!$D62),0),
MATCH(CH_CostElements_Anytime!$C62,VDOHistorical[[#Headers],[Ausnet]:[Average]],0)),"-")</f>
        <v>174.40888630791068</v>
      </c>
      <c r="J62" s="106" cm="1">
        <f t="array" ref="J62">IFERROR(INDEX(VDOHistorical[[Ausnet]:[Average]],
MATCH(1,(VDOHistorical[[Cost element]:[Cost element]]=CH_CostElements_Anytime!J$52)*(VDOHistorical[[Customer type]:[Customer type]]=$D$50)*(VDOHistorical[[VDO decision]:[VDO decision]]=CH_CostElements_Anytime!$D62),0),
MATCH(CH_CostElements_Anytime!$C62,VDOHistorical[[#Headers],[Ausnet]:[Average]],0)),"-")</f>
        <v>81.627152672234246</v>
      </c>
      <c r="K62" s="212" cm="1">
        <f t="array" ref="K62">IFERROR(INDEX(VDOHistorical[[Ausnet]:[Average]],
MATCH(1,(VDOHistorical[[Cost element]:[Cost element]]=CH_CostElements_Anytime!K$52)*(VDOHistorical[[Customer type]:[Customer type]]=$D$50)*(VDOHistorical[[VDO decision]:[VDO decision]]=CH_CostElements_Anytime!$D62),0),
MATCH(CH_CostElements_Anytime!$C62,VDOHistorical[[#Headers],[Ausnet]:[Average]],0)),"-")</f>
        <v>0</v>
      </c>
      <c r="L62" s="106" cm="1">
        <f t="array" ref="L62">IFERROR(INDEX(VDOHistorical[[Ausnet]:[Average]],
MATCH(1,(VDOHistorical[[Cost element]:[Cost element]]=CH_CostElements_Anytime!L$52)*(VDOHistorical[[Customer type]:[Customer type]]=$D$50)*(VDOHistorical[[VDO decision]:[VDO decision]]=CH_CostElements_Anytime!$D62),0),
MATCH(CH_CostElements_Anytime!$C62,VDOHistorical[[#Headers],[Ausnet]:[Average]],0)),"-")</f>
        <v>8.392848052444899</v>
      </c>
      <c r="M62" s="106" cm="1">
        <f t="array" ref="M62">IFERROR(INDEX(VDOHistorical[[Ausnet]:[Average]],
MATCH(1,(VDOHistorical[[Cost element]:[Cost element]]=CH_CostElements_Anytime!M$52)*(VDOHistorical[[Customer type]:[Customer type]]=$D$50)*(VDOHistorical[[VDO decision]:[VDO decision]]=CH_CostElements_Anytime!$D62),0),
MATCH(CH_CostElements_Anytime!$C62,VDOHistorical[[#Headers],[Ausnet]:[Average]],0)),"-")</f>
        <v>9.097057942843227</v>
      </c>
      <c r="N62" s="106" cm="1">
        <f t="array" ref="N62">IFERROR(INDEX(VDOHistorical[[Ausnet]:[Average]],
MATCH(1,(VDOHistorical[[Cost element]:[Cost element]]=CH_CostElements_Anytime!N$52)*(VDOHistorical[[Customer type]:[Customer type]]=$D$50)*(VDOHistorical[[VDO decision]:[VDO decision]]=CH_CostElements_Anytime!$D62),0),
MATCH(CH_CostElements_Anytime!$C62,VDOHistorical[[#Headers],[Ausnet]:[Average]],0)),"-")</f>
        <v>73.509181201254719</v>
      </c>
      <c r="O62" s="106" cm="1">
        <f t="array" ref="O62">IFERROR(INDEX(VDOHistorical[[Ausnet]:[Average]],
MATCH(1,(VDOHistorical[[Cost element]:[Cost element]]=CH_CostElements_Anytime!O$52)*(VDOHistorical[[Customer type]:[Customer type]]=$D$50)*(VDOHistorical[[VDO decision]:[VDO decision]]=CH_CostElements_Anytime!$D62),0),
MATCH(CH_CostElements_Anytime!$C62,VDOHistorical[[#Headers],[Ausnet]:[Average]],0)),"-")</f>
        <v>129.05486050630878</v>
      </c>
      <c r="Q62" s="218">
        <f t="shared" ref="Q62:Q66" si="1">IF(ROUND(E62,8)=ROUND(SUM(F62:O62),8),0,1)</f>
        <v>0</v>
      </c>
    </row>
    <row r="63" spans="3:17" x14ac:dyDescent="0.25">
      <c r="C63" t="s">
        <v>279</v>
      </c>
      <c r="D63" t="s">
        <v>604</v>
      </c>
      <c r="E63" s="213" cm="1">
        <f t="array" ref="E63">IFERROR(INDEX(VDOHistorical[[Ausnet]:[Average]],
MATCH(1,(VDOHistorical[[Cost element]:[Cost element]]=CH_CostElements_Anytime!E$52)*(VDOHistorical[[Customer type]:[Customer type]]=$D$50)*(VDOHistorical[[VDO decision]:[VDO decision]]=CH_CostElements_Anytime!$D63),0),
MATCH(CH_CostElements_Anytime!$C63,VDOHistorical[[#Headers],[Ausnet]:[Average]],0)),"-")</f>
        <v>1495.4373770266125</v>
      </c>
      <c r="F63" s="106" cm="1">
        <f t="array" ref="F63">IFERROR(INDEX(VDOHistorical[[Ausnet]:[Average]],
MATCH(1,(VDOHistorical[[Cost element]:[Cost element]]=CH_CostElements_Anytime!F$52)*(VDOHistorical[[Customer type]:[Customer type]]=$D$50)*(VDOHistorical[[VDO decision]:[VDO decision]]=CH_CostElements_Anytime!$D63),0),
MATCH(CH_CostElements_Anytime!$C63,VDOHistorical[[#Headers],[Ausnet]:[Average]],0)),"-")</f>
        <v>526.88983326719995</v>
      </c>
      <c r="G63" s="212" cm="1">
        <f t="array" ref="G63">IFERROR(INDEX(VDOHistorical[[Ausnet]:[Average]],
MATCH(1,(VDOHistorical[[Cost element]:[Cost element]]=CH_CostElements_Anytime!G$52)*(VDOHistorical[[Customer type]:[Customer type]]=$D$50)*(VDOHistorical[[VDO decision]:[VDO decision]]=CH_CostElements_Anytime!$D63),0),
MATCH(CH_CostElements_Anytime!$C63,VDOHistorical[[#Headers],[Ausnet]:[Average]],0)),"-")</f>
        <v>482.02</v>
      </c>
      <c r="H63" s="212" cm="1">
        <f t="array" ref="H63">IFERROR(INDEX(VDOHistorical[[Ausnet]:[Average]],
MATCH(1,(VDOHistorical[[Cost element]:[Cost element]]=CH_CostElements_Anytime!H$52)*(VDOHistorical[[Customer type]:[Customer type]]=$D$50)*(VDOHistorical[[VDO decision]:[VDO decision]]=CH_CostElements_Anytime!$D63),0),
MATCH(CH_CostElements_Anytime!$C63,VDOHistorical[[#Headers],[Ausnet]:[Average]],0)),"-")</f>
        <v>0</v>
      </c>
      <c r="I63" s="106" cm="1">
        <f t="array" ref="I63">IFERROR(INDEX(VDOHistorical[[Ausnet]:[Average]],
MATCH(1,(VDOHistorical[[Cost element]:[Cost element]]=CH_CostElements_Anytime!I$52)*(VDOHistorical[[Customer type]:[Customer type]]=$D$50)*(VDOHistorical[[VDO decision]:[VDO decision]]=CH_CostElements_Anytime!$D63),0),
MATCH(CH_CostElements_Anytime!$C63,VDOHistorical[[#Headers],[Ausnet]:[Average]],0)),"-")</f>
        <v>174.40888630791068</v>
      </c>
      <c r="J63" s="106" cm="1">
        <f t="array" ref="J63">IFERROR(INDEX(VDOHistorical[[Ausnet]:[Average]],
MATCH(1,(VDOHistorical[[Cost element]:[Cost element]]=CH_CostElements_Anytime!J$52)*(VDOHistorical[[Customer type]:[Customer type]]=$D$50)*(VDOHistorical[[VDO decision]:[VDO decision]]=CH_CostElements_Anytime!$D63),0),
MATCH(CH_CostElements_Anytime!$C63,VDOHistorical[[#Headers],[Ausnet]:[Average]],0)),"-")</f>
        <v>81.263167308449624</v>
      </c>
      <c r="K63" s="212" cm="1">
        <f t="array" ref="K63">IFERROR(INDEX(VDOHistorical[[Ausnet]:[Average]],
MATCH(1,(VDOHistorical[[Cost element]:[Cost element]]=CH_CostElements_Anytime!K$52)*(VDOHistorical[[Customer type]:[Customer type]]=$D$50)*(VDOHistorical[[VDO decision]:[VDO decision]]=CH_CostElements_Anytime!$D63),0),
MATCH(CH_CostElements_Anytime!$C63,VDOHistorical[[#Headers],[Ausnet]:[Average]],0)),"-")</f>
        <v>0</v>
      </c>
      <c r="L63" s="106" cm="1">
        <f t="array" ref="L63">IFERROR(INDEX(VDOHistorical[[Ausnet]:[Average]],
MATCH(1,(VDOHistorical[[Cost element]:[Cost element]]=CH_CostElements_Anytime!L$52)*(VDOHistorical[[Customer type]:[Customer type]]=$D$50)*(VDOHistorical[[VDO decision]:[VDO decision]]=CH_CostElements_Anytime!$D63),0),
MATCH(CH_CostElements_Anytime!$C63,VDOHistorical[[#Headers],[Ausnet]:[Average]],0)),"-")</f>
        <v>8.392848052444899</v>
      </c>
      <c r="M63" s="106" cm="1">
        <f t="array" ref="M63">IFERROR(INDEX(VDOHistorical[[Ausnet]:[Average]],
MATCH(1,(VDOHistorical[[Cost element]:[Cost element]]=CH_CostElements_Anytime!M$52)*(VDOHistorical[[Customer type]:[Customer type]]=$D$50)*(VDOHistorical[[VDO decision]:[VDO decision]]=CH_CostElements_Anytime!$D63),0),
MATCH(CH_CostElements_Anytime!$C63,VDOHistorical[[#Headers],[Ausnet]:[Average]],0)),"-")</f>
        <v>9.0778155823347095</v>
      </c>
      <c r="N63" s="106" cm="1">
        <f t="array" ref="N63">IFERROR(INDEX(VDOHistorical[[Ausnet]:[Average]],
MATCH(1,(VDOHistorical[[Cost element]:[Cost element]]=CH_CostElements_Anytime!N$52)*(VDOHistorical[[Customer type]:[Customer type]]=$D$50)*(VDOHistorical[[VDO decision]:[VDO decision]]=CH_CostElements_Anytime!$D63),0),
MATCH(CH_CostElements_Anytime!$C63,VDOHistorical[[#Headers],[Ausnet]:[Average]],0)),"-")</f>
        <v>77.435974051307738</v>
      </c>
      <c r="O63" s="106" cm="1">
        <f t="array" ref="O63">IFERROR(INDEX(VDOHistorical[[Ausnet]:[Average]],
MATCH(1,(VDOHistorical[[Cost element]:[Cost element]]=CH_CostElements_Anytime!O$52)*(VDOHistorical[[Customer type]:[Customer type]]=$D$50)*(VDOHistorical[[VDO decision]:[VDO decision]]=CH_CostElements_Anytime!$D63),0),
MATCH(CH_CostElements_Anytime!$C63,VDOHistorical[[#Headers],[Ausnet]:[Average]],0)),"-")</f>
        <v>135.94885245696477</v>
      </c>
      <c r="Q63" s="218">
        <f t="shared" si="1"/>
        <v>0</v>
      </c>
    </row>
    <row r="64" spans="3:17" x14ac:dyDescent="0.25">
      <c r="C64" t="s">
        <v>280</v>
      </c>
      <c r="D64" t="s">
        <v>604</v>
      </c>
      <c r="E64" s="213" cm="1">
        <f t="array" ref="E64">IFERROR(INDEX(VDOHistorical[[Ausnet]:[Average]],
MATCH(1,(VDOHistorical[[Cost element]:[Cost element]]=CH_CostElements_Anytime!E$52)*(VDOHistorical[[Customer type]:[Customer type]]=$D$50)*(VDOHistorical[[VDO decision]:[VDO decision]]=CH_CostElements_Anytime!$D64),0),
MATCH(CH_CostElements_Anytime!$C64,VDOHistorical[[#Headers],[Ausnet]:[Average]],0)),"-")</f>
        <v>1516.7903773165822</v>
      </c>
      <c r="F64" s="106" cm="1">
        <f t="array" ref="F64">IFERROR(INDEX(VDOHistorical[[Ausnet]:[Average]],
MATCH(1,(VDOHistorical[[Cost element]:[Cost element]]=CH_CostElements_Anytime!F$52)*(VDOHistorical[[Customer type]:[Customer type]]=$D$50)*(VDOHistorical[[VDO decision]:[VDO decision]]=CH_CostElements_Anytime!$D64),0),
MATCH(CH_CostElements_Anytime!$C64,VDOHistorical[[#Headers],[Ausnet]:[Average]],0)),"-")</f>
        <v>500.20962878879993</v>
      </c>
      <c r="G64" s="212" cm="1">
        <f t="array" ref="G64">IFERROR(INDEX(VDOHistorical[[Ausnet]:[Average]],
MATCH(1,(VDOHistorical[[Cost element]:[Cost element]]=CH_CostElements_Anytime!G$52)*(VDOHistorical[[Customer type]:[Customer type]]=$D$50)*(VDOHistorical[[VDO decision]:[VDO decision]]=CH_CostElements_Anytime!$D64),0),
MATCH(CH_CostElements_Anytime!$C64,VDOHistorical[[#Headers],[Ausnet]:[Average]],0)),"-")</f>
        <v>526.5</v>
      </c>
      <c r="H64" s="212" cm="1">
        <f t="array" ref="H64">IFERROR(INDEX(VDOHistorical[[Ausnet]:[Average]],
MATCH(1,(VDOHistorical[[Cost element]:[Cost element]]=CH_CostElements_Anytime!H$52)*(VDOHistorical[[Customer type]:[Customer type]]=$D$50)*(VDOHistorical[[VDO decision]:[VDO decision]]=CH_CostElements_Anytime!$D64),0),
MATCH(CH_CostElements_Anytime!$C64,VDOHistorical[[#Headers],[Ausnet]:[Average]],0)),"-")</f>
        <v>0</v>
      </c>
      <c r="I64" s="106" cm="1">
        <f t="array" ref="I64">IFERROR(INDEX(VDOHistorical[[Ausnet]:[Average]],
MATCH(1,(VDOHistorical[[Cost element]:[Cost element]]=CH_CostElements_Anytime!I$52)*(VDOHistorical[[Customer type]:[Customer type]]=$D$50)*(VDOHistorical[[VDO decision]:[VDO decision]]=CH_CostElements_Anytime!$D64),0),
MATCH(CH_CostElements_Anytime!$C64,VDOHistorical[[#Headers],[Ausnet]:[Average]],0)),"-")</f>
        <v>174.40888630791068</v>
      </c>
      <c r="J64" s="106" cm="1">
        <f t="array" ref="J64">IFERROR(INDEX(VDOHistorical[[Ausnet]:[Average]],
MATCH(1,(VDOHistorical[[Cost element]:[Cost element]]=CH_CostElements_Anytime!J$52)*(VDOHistorical[[Customer type]:[Customer type]]=$D$50)*(VDOHistorical[[VDO decision]:[VDO decision]]=CH_CostElements_Anytime!$D64),0),
MATCH(CH_CostElements_Anytime!$C64,VDOHistorical[[#Headers],[Ausnet]:[Average]],0)),"-")</f>
        <v>81.744076458604852</v>
      </c>
      <c r="K64" s="212" cm="1">
        <f t="array" ref="K64">IFERROR(INDEX(VDOHistorical[[Ausnet]:[Average]],
MATCH(1,(VDOHistorical[[Cost element]:[Cost element]]=CH_CostElements_Anytime!K$52)*(VDOHistorical[[Customer type]:[Customer type]]=$D$50)*(VDOHistorical[[VDO decision]:[VDO decision]]=CH_CostElements_Anytime!$D64),0),
MATCH(CH_CostElements_Anytime!$C64,VDOHistorical[[#Headers],[Ausnet]:[Average]],0)),"-")</f>
        <v>0</v>
      </c>
      <c r="L64" s="106" cm="1">
        <f t="array" ref="L64">IFERROR(INDEX(VDOHistorical[[Ausnet]:[Average]],
MATCH(1,(VDOHistorical[[Cost element]:[Cost element]]=CH_CostElements_Anytime!L$52)*(VDOHistorical[[Customer type]:[Customer type]]=$D$50)*(VDOHistorical[[VDO decision]:[VDO decision]]=CH_CostElements_Anytime!$D64),0),
MATCH(CH_CostElements_Anytime!$C64,VDOHistorical[[#Headers],[Ausnet]:[Average]],0)),"-")</f>
        <v>8.392848052444899</v>
      </c>
      <c r="M64" s="106" cm="1">
        <f t="array" ref="M64">IFERROR(INDEX(VDOHistorical[[Ausnet]:[Average]],
MATCH(1,(VDOHistorical[[Cost element]:[Cost element]]=CH_CostElements_Anytime!M$52)*(VDOHistorical[[Customer type]:[Customer type]]=$D$50)*(VDOHistorical[[VDO decision]:[VDO decision]]=CH_CostElements_Anytime!$D64),0),
MATCH(CH_CostElements_Anytime!$C64,VDOHistorical[[#Headers],[Ausnet]:[Average]],0)),"-")</f>
        <v>9.1032392069082722</v>
      </c>
      <c r="N64" s="106" cm="1">
        <f t="array" ref="N64">IFERROR(INDEX(VDOHistorical[[Ausnet]:[Average]],
MATCH(1,(VDOHistorical[[Cost element]:[Cost element]]=CH_CostElements_Anytime!N$52)*(VDOHistorical[[Customer type]:[Customer type]]=$D$50)*(VDOHistorical[[VDO decision]:[VDO decision]]=CH_CostElements_Anytime!$D64),0),
MATCH(CH_CostElements_Anytime!$C64,VDOHistorical[[#Headers],[Ausnet]:[Average]],0)),"-")</f>
        <v>78.54166420040599</v>
      </c>
      <c r="O64" s="106" cm="1">
        <f t="array" ref="O64">IFERROR(INDEX(VDOHistorical[[Ausnet]:[Average]],
MATCH(1,(VDOHistorical[[Cost element]:[Cost element]]=CH_CostElements_Anytime!O$52)*(VDOHistorical[[Customer type]:[Customer type]]=$D$50)*(VDOHistorical[[VDO decision]:[VDO decision]]=CH_CostElements_Anytime!$D64),0),
MATCH(CH_CostElements_Anytime!$C64,VDOHistorical[[#Headers],[Ausnet]:[Average]],0)),"-")</f>
        <v>137.89003430150748</v>
      </c>
      <c r="Q64" s="218">
        <f t="shared" si="1"/>
        <v>0</v>
      </c>
    </row>
    <row r="65" spans="3:17" x14ac:dyDescent="0.25">
      <c r="C65" t="s">
        <v>281</v>
      </c>
      <c r="D65" t="s">
        <v>604</v>
      </c>
      <c r="E65" s="213" cm="1">
        <f t="array" ref="E65">IFERROR(INDEX(VDOHistorical[[Ausnet]:[Average]],
MATCH(1,(VDOHistorical[[Cost element]:[Cost element]]=CH_CostElements_Anytime!E$52)*(VDOHistorical[[Customer type]:[Customer type]]=$D$50)*(VDOHistorical[[VDO decision]:[VDO decision]]=CH_CostElements_Anytime!$D65),0),
MATCH(CH_CostElements_Anytime!$C65,VDOHistorical[[#Headers],[Ausnet]:[Average]],0)),"-")</f>
        <v>1507.7246825417187</v>
      </c>
      <c r="F65" s="106" cm="1">
        <f t="array" ref="F65">IFERROR(INDEX(VDOHistorical[[Ausnet]:[Average]],
MATCH(1,(VDOHistorical[[Cost element]:[Cost element]]=CH_CostElements_Anytime!F$52)*(VDOHistorical[[Customer type]:[Customer type]]=$D$50)*(VDOHistorical[[VDO decision]:[VDO decision]]=CH_CostElements_Anytime!$D65),0),
MATCH(CH_CostElements_Anytime!$C65,VDOHistorical[[#Headers],[Ausnet]:[Average]],0)),"-")</f>
        <v>537.39101088680002</v>
      </c>
      <c r="G65" s="212" cm="1">
        <f t="array" ref="G65">IFERROR(INDEX(VDOHistorical[[Ausnet]:[Average]],
MATCH(1,(VDOHistorical[[Cost element]:[Cost element]]=CH_CostElements_Anytime!G$52)*(VDOHistorical[[Customer type]:[Customer type]]=$D$50)*(VDOHistorical[[VDO decision]:[VDO decision]]=CH_CostElements_Anytime!$D65),0),
MATCH(CH_CostElements_Anytime!$C65,VDOHistorical[[#Headers],[Ausnet]:[Average]],0)),"-")</f>
        <v>481.02449999999999</v>
      </c>
      <c r="H65" s="212" cm="1">
        <f t="array" ref="H65">IFERROR(INDEX(VDOHistorical[[Ausnet]:[Average]],
MATCH(1,(VDOHistorical[[Cost element]:[Cost element]]=CH_CostElements_Anytime!H$52)*(VDOHistorical[[Customer type]:[Customer type]]=$D$50)*(VDOHistorical[[VDO decision]:[VDO decision]]=CH_CostElements_Anytime!$D65),0),
MATCH(CH_CostElements_Anytime!$C65,VDOHistorical[[#Headers],[Ausnet]:[Average]],0)),"-")</f>
        <v>0</v>
      </c>
      <c r="I65" s="106" cm="1">
        <f t="array" ref="I65">IFERROR(INDEX(VDOHistorical[[Ausnet]:[Average]],
MATCH(1,(VDOHistorical[[Cost element]:[Cost element]]=CH_CostElements_Anytime!I$52)*(VDOHistorical[[Customer type]:[Customer type]]=$D$50)*(VDOHistorical[[VDO decision]:[VDO decision]]=CH_CostElements_Anytime!$D65),0),
MATCH(CH_CostElements_Anytime!$C65,VDOHistorical[[#Headers],[Ausnet]:[Average]],0)),"-")</f>
        <v>174.40888630791068</v>
      </c>
      <c r="J65" s="106" cm="1">
        <f t="array" ref="J65">IFERROR(INDEX(VDOHistorical[[Ausnet]:[Average]],
MATCH(1,(VDOHistorical[[Cost element]:[Cost element]]=CH_CostElements_Anytime!J$52)*(VDOHistorical[[Customer type]:[Customer type]]=$D$50)*(VDOHistorical[[VDO decision]:[VDO decision]]=CH_CostElements_Anytime!$D65),0),
MATCH(CH_CostElements_Anytime!$C65,VDOHistorical[[#Headers],[Ausnet]:[Average]],0)),"-")</f>
        <v>82.239877912772613</v>
      </c>
      <c r="K65" s="212" cm="1">
        <f t="array" ref="K65">IFERROR(INDEX(VDOHistorical[[Ausnet]:[Average]],
MATCH(1,(VDOHistorical[[Cost element]:[Cost element]]=CH_CostElements_Anytime!K$52)*(VDOHistorical[[Customer type]:[Customer type]]=$D$50)*(VDOHistorical[[VDO decision]:[VDO decision]]=CH_CostElements_Anytime!$D65),0),
MATCH(CH_CostElements_Anytime!$C65,VDOHistorical[[#Headers],[Ausnet]:[Average]],0)),"-")</f>
        <v>0</v>
      </c>
      <c r="L65" s="106" cm="1">
        <f t="array" ref="L65">IFERROR(INDEX(VDOHistorical[[Ausnet]:[Average]],
MATCH(1,(VDOHistorical[[Cost element]:[Cost element]]=CH_CostElements_Anytime!L$52)*(VDOHistorical[[Customer type]:[Customer type]]=$D$50)*(VDOHistorical[[VDO decision]:[VDO decision]]=CH_CostElements_Anytime!$D65),0),
MATCH(CH_CostElements_Anytime!$C65,VDOHistorical[[#Headers],[Ausnet]:[Average]],0)),"-")</f>
        <v>8.392848052444899</v>
      </c>
      <c r="M65" s="106" cm="1">
        <f t="array" ref="M65">IFERROR(INDEX(VDOHistorical[[Ausnet]:[Average]],
MATCH(1,(VDOHistorical[[Cost element]:[Cost element]]=CH_CostElements_Anytime!M$52)*(VDOHistorical[[Customer type]:[Customer type]]=$D$50)*(VDOHistorical[[VDO decision]:[VDO decision]]=CH_CostElements_Anytime!$D65),0),
MATCH(CH_CostElements_Anytime!$C65,VDOHistorical[[#Headers],[Ausnet]:[Average]],0)),"-")</f>
        <v>9.12945012435436</v>
      </c>
      <c r="N65" s="106" cm="1">
        <f t="array" ref="N65">IFERROR(INDEX(VDOHistorical[[Ausnet]:[Average]],
MATCH(1,(VDOHistorical[[Cost element]:[Cost element]]=CH_CostElements_Anytime!N$52)*(VDOHistorical[[Customer type]:[Customer type]]=$D$50)*(VDOHistorical[[VDO decision]:[VDO decision]]=CH_CostElements_Anytime!$D65),0),
MATCH(CH_CostElements_Anytime!$C65,VDOHistorical[[#Headers],[Ausnet]:[Average]],0)),"-")</f>
        <v>78.072229026370678</v>
      </c>
      <c r="O65" s="106" cm="1">
        <f t="array" ref="O65">IFERROR(INDEX(VDOHistorical[[Ausnet]:[Average]],
MATCH(1,(VDOHistorical[[Cost element]:[Cost element]]=CH_CostElements_Anytime!O$52)*(VDOHistorical[[Customer type]:[Customer type]]=$D$50)*(VDOHistorical[[VDO decision]:[VDO decision]]=CH_CostElements_Anytime!$D65),0),
MATCH(CH_CostElements_Anytime!$C65,VDOHistorical[[#Headers],[Ausnet]:[Average]],0)),"-")</f>
        <v>137.06588023106534</v>
      </c>
      <c r="Q65" s="218">
        <f t="shared" si="1"/>
        <v>0</v>
      </c>
    </row>
    <row r="66" spans="3:17" x14ac:dyDescent="0.25">
      <c r="C66" t="s">
        <v>383</v>
      </c>
      <c r="D66" t="s">
        <v>604</v>
      </c>
      <c r="E66" s="213" cm="1">
        <f t="array" ref="E66">IFERROR(INDEX(VDOHistorical[[Ausnet]:[Average]],
MATCH(1,(VDOHistorical[[Cost element]:[Cost element]]=CH_CostElements_Anytime!E$52)*(VDOHistorical[[Customer type]:[Customer type]]=$D$50)*(VDOHistorical[[VDO decision]:[VDO decision]]=CH_CostElements_Anytime!$D66),0),
MATCH(CH_CostElements_Anytime!$C66,VDOHistorical[[#Headers],[Ausnet]:[Average]],0)),"-")</f>
        <v>1516.9285466382419</v>
      </c>
      <c r="F66" s="106" cm="1">
        <f t="array" ref="F66">IFERROR(INDEX(VDOHistorical[[Ausnet]:[Average]],
MATCH(1,(VDOHistorical[[Cost element]:[Cost element]]=CH_CostElements_Anytime!F$52)*(VDOHistorical[[Customer type]:[Customer type]]=$D$50)*(VDOHistorical[[VDO decision]:[VDO decision]]=CH_CostElements_Anytime!$D66),0),
MATCH(CH_CostElements_Anytime!$C66,VDOHistorical[[#Headers],[Ausnet]:[Average]],0)),"-")</f>
        <v>514.29459748406214</v>
      </c>
      <c r="G66" s="212" cm="1">
        <f t="array" ref="G66">IFERROR(INDEX(VDOHistorical[[Ausnet]:[Average]],
MATCH(1,(VDOHistorical[[Cost element]:[Cost element]]=CH_CostElements_Anytime!G$52)*(VDOHistorical[[Customer type]:[Customer type]]=$D$50)*(VDOHistorical[[VDO decision]:[VDO decision]]=CH_CostElements_Anytime!$D66),0),
MATCH(CH_CostElements_Anytime!$C66,VDOHistorical[[#Headers],[Ausnet]:[Average]],0)),"-")</f>
        <v>512.44489999999996</v>
      </c>
      <c r="H66" s="212" cm="1">
        <f t="array" ref="H66">IFERROR(INDEX(VDOHistorical[[Ausnet]:[Average]],
MATCH(1,(VDOHistorical[[Cost element]:[Cost element]]=CH_CostElements_Anytime!H$52)*(VDOHistorical[[Customer type]:[Customer type]]=$D$50)*(VDOHistorical[[VDO decision]:[VDO decision]]=CH_CostElements_Anytime!$D66),0),
MATCH(CH_CostElements_Anytime!$C66,VDOHistorical[[#Headers],[Ausnet]:[Average]],0)),"-")</f>
        <v>0</v>
      </c>
      <c r="I66" s="106" cm="1">
        <f t="array" ref="I66">IFERROR(INDEX(VDOHistorical[[Ausnet]:[Average]],
MATCH(1,(VDOHistorical[[Cost element]:[Cost element]]=CH_CostElements_Anytime!I$52)*(VDOHistorical[[Customer type]:[Customer type]]=$D$50)*(VDOHistorical[[VDO decision]:[VDO decision]]=CH_CostElements_Anytime!$D66),0),
MATCH(CH_CostElements_Anytime!$C66,VDOHistorical[[#Headers],[Ausnet]:[Average]],0)),"-")</f>
        <v>174.40888630791068</v>
      </c>
      <c r="J66" s="106" cm="1">
        <f t="array" ref="J66">IFERROR(INDEX(VDOHistorical[[Ausnet]:[Average]],
MATCH(1,(VDOHistorical[[Cost element]:[Cost element]]=CH_CostElements_Anytime!J$52)*(VDOHistorical[[Customer type]:[Customer type]]=$D$50)*(VDOHistorical[[VDO decision]:[VDO decision]]=CH_CostElements_Anytime!$D66),0),
MATCH(CH_CostElements_Anytime!$C66,VDOHistorical[[#Headers],[Ausnet]:[Average]],0)),"-")</f>
        <v>81.828213648437085</v>
      </c>
      <c r="K66" s="212" cm="1">
        <f t="array" ref="K66">IFERROR(INDEX(VDOHistorical[[Ausnet]:[Average]],
MATCH(1,(VDOHistorical[[Cost element]:[Cost element]]=CH_CostElements_Anytime!K$52)*(VDOHistorical[[Customer type]:[Customer type]]=$D$50)*(VDOHistorical[[VDO decision]:[VDO decision]]=CH_CostElements_Anytime!$D66),0),
MATCH(CH_CostElements_Anytime!$C66,VDOHistorical[[#Headers],[Ausnet]:[Average]],0)),"-")</f>
        <v>0</v>
      </c>
      <c r="L66" s="106" cm="1">
        <f t="array" ref="L66">IFERROR(INDEX(VDOHistorical[[Ausnet]:[Average]],
MATCH(1,(VDOHistorical[[Cost element]:[Cost element]]=CH_CostElements_Anytime!L$52)*(VDOHistorical[[Customer type]:[Customer type]]=$D$50)*(VDOHistorical[[VDO decision]:[VDO decision]]=CH_CostElements_Anytime!$D66),0),
MATCH(CH_CostElements_Anytime!$C66,VDOHistorical[[#Headers],[Ausnet]:[Average]],0)),"-")</f>
        <v>8.392848052444899</v>
      </c>
      <c r="M66" s="106" cm="1">
        <f t="array" ref="M66">IFERROR(INDEX(VDOHistorical[[Ausnet]:[Average]],
MATCH(1,(VDOHistorical[[Cost element]:[Cost element]]=CH_CostElements_Anytime!M$52)*(VDOHistorical[[Customer type]:[Customer type]]=$D$50)*(VDOHistorical[[VDO decision]:[VDO decision]]=CH_CostElements_Anytime!$D66),0),
MATCH(CH_CostElements_Anytime!$C66,VDOHistorical[[#Headers],[Ausnet]:[Average]],0)),"-")</f>
        <v>9.1076871828436001</v>
      </c>
      <c r="N66" s="106" cm="1">
        <f t="array" ref="N66">IFERROR(INDEX(VDOHistorical[[Ausnet]:[Average]],
MATCH(1,(VDOHistorical[[Cost element]:[Cost element]]=CH_CostElements_Anytime!N$52)*(VDOHistorical[[Customer type]:[Customer type]]=$D$50)*(VDOHistorical[[VDO decision]:[VDO decision]]=CH_CostElements_Anytime!$D66),0),
MATCH(CH_CostElements_Anytime!$C66,VDOHistorical[[#Headers],[Ausnet]:[Average]],0)),"-")</f>
        <v>78.548818813612186</v>
      </c>
      <c r="O66" s="106" cm="1">
        <f t="array" ref="O66">IFERROR(INDEX(VDOHistorical[[Ausnet]:[Average]],
MATCH(1,(VDOHistorical[[Cost element]:[Cost element]]=CH_CostElements_Anytime!O$52)*(VDOHistorical[[Customer type]:[Customer type]]=$D$50)*(VDOHistorical[[VDO decision]:[VDO decision]]=CH_CostElements_Anytime!$D66),0),
MATCH(CH_CostElements_Anytime!$C66,VDOHistorical[[#Headers],[Ausnet]:[Average]],0)),"-")</f>
        <v>137.90259514893108</v>
      </c>
      <c r="Q66" s="218">
        <f t="shared" si="1"/>
        <v>0</v>
      </c>
    </row>
    <row r="67" spans="3:17" x14ac:dyDescent="0.25">
      <c r="Q67" s="138"/>
    </row>
    <row r="68" spans="3:17" x14ac:dyDescent="0.25">
      <c r="C68" t="s">
        <v>277</v>
      </c>
      <c r="D68" t="s">
        <v>266</v>
      </c>
      <c r="E68" s="213" cm="1">
        <f t="array" ref="E68">IFERROR(INDEX(VDOHistorical[[Ausnet]:[Average]],
MATCH(1,(VDOHistorical[[Cost element]:[Cost element]]=CH_CostElements_Anytime!E$52)*(VDOHistorical[[Customer type]:[Customer type]]=$D$50)*(VDOHistorical[[VDO decision]:[VDO decision]]=CH_CostElements_Anytime!$D68),0),
MATCH(CH_CostElements_Anytime!$C68,VDOHistorical[[#Headers],[Ausnet]:[Average]],0)),"-")</f>
        <v>1506.1331918264343</v>
      </c>
      <c r="F68" s="106" cm="1">
        <f t="array" ref="F68">IFERROR(INDEX(VDOHistorical[[Ausnet]:[Average]],
MATCH(1,(VDOHistorical[[Cost element]:[Cost element]]=CH_CostElements_Anytime!F$52)*(VDOHistorical[[Customer type]:[Customer type]]=$D$50)*(VDOHistorical[[VDO decision]:[VDO decision]]=CH_CostElements_Anytime!$D68),0),
MATCH(CH_CostElements_Anytime!$C68,VDOHistorical[[#Headers],[Ausnet]:[Average]],0)),"-")</f>
        <v>403.34196766499997</v>
      </c>
      <c r="G68" s="212" cm="1">
        <f t="array" ref="G68">IFERROR(INDEX(VDOHistorical[[Ausnet]:[Average]],
MATCH(1,(VDOHistorical[[Cost element]:[Cost element]]=CH_CostElements_Anytime!G$52)*(VDOHistorical[[Customer type]:[Customer type]]=$D$50)*(VDOHistorical[[VDO decision]:[VDO decision]]=CH_CostElements_Anytime!$D68),0),
MATCH(CH_CostElements_Anytime!$C68,VDOHistorical[[#Headers],[Ausnet]:[Average]],0)),"-")</f>
        <v>587</v>
      </c>
      <c r="H68" s="212" cm="1">
        <f t="array" ref="H68">IFERROR(INDEX(VDOHistorical[[Ausnet]:[Average]],
MATCH(1,(VDOHistorical[[Cost element]:[Cost element]]=CH_CostElements_Anytime!H$52)*(VDOHistorical[[Customer type]:[Customer type]]=$D$50)*(VDOHistorical[[VDO decision]:[VDO decision]]=CH_CostElements_Anytime!$D68),0),
MATCH(CH_CostElements_Anytime!$C68,VDOHistorical[[#Headers],[Ausnet]:[Average]],0)),"-")</f>
        <v>0</v>
      </c>
      <c r="I68" s="106" cm="1">
        <f t="array" ref="I68">IFERROR(INDEX(VDOHistorical[[Ausnet]:[Average]],
MATCH(1,(VDOHistorical[[Cost element]:[Cost element]]=CH_CostElements_Anytime!I$52)*(VDOHistorical[[Customer type]:[Customer type]]=$D$50)*(VDOHistorical[[VDO decision]:[VDO decision]]=CH_CostElements_Anytime!$D68),0),
MATCH(CH_CostElements_Anytime!$C68,VDOHistorical[[#Headers],[Ausnet]:[Average]],0)),"-")</f>
        <v>181.75878095302622</v>
      </c>
      <c r="J68" s="106" cm="1">
        <f t="array" ref="J68">IFERROR(INDEX(VDOHistorical[[Ausnet]:[Average]],
MATCH(1,(VDOHistorical[[Cost element]:[Cost element]]=CH_CostElements_Anytime!J$52)*(VDOHistorical[[Customer type]:[Customer type]]=$D$50)*(VDOHistorical[[VDO decision]:[VDO decision]]=CH_CostElements_Anytime!$D68),0),
MATCH(CH_CostElements_Anytime!$C68,VDOHistorical[[#Headers],[Ausnet]:[Average]],0)),"-")</f>
        <v>99.012279151499143</v>
      </c>
      <c r="K68" s="212" cm="1">
        <f t="array" ref="K68">IFERROR(INDEX(VDOHistorical[[Ausnet]:[Average]],
MATCH(1,(VDOHistorical[[Cost element]:[Cost element]]=CH_CostElements_Anytime!K$52)*(VDOHistorical[[Customer type]:[Customer type]]=$D$50)*(VDOHistorical[[VDO decision]:[VDO decision]]=CH_CostElements_Anytime!$D68),0),
MATCH(CH_CostElements_Anytime!$C68,VDOHistorical[[#Headers],[Ausnet]:[Average]],0)),"-")</f>
        <v>0</v>
      </c>
      <c r="L68" s="106" cm="1">
        <f t="array" ref="L68">IFERROR(INDEX(VDOHistorical[[Ausnet]:[Average]],
MATCH(1,(VDOHistorical[[Cost element]:[Cost element]]=CH_CostElements_Anytime!L$52)*(VDOHistorical[[Customer type]:[Customer type]]=$D$50)*(VDOHistorical[[VDO decision]:[VDO decision]]=CH_CostElements_Anytime!$D68),0),
MATCH(CH_CostElements_Anytime!$C68,VDOHistorical[[#Headers],[Ausnet]:[Average]],0)),"-")</f>
        <v>10.849248189087444</v>
      </c>
      <c r="M68" s="106" cm="1">
        <f t="array" ref="M68">IFERROR(INDEX(VDOHistorical[[Ausnet]:[Average]],
MATCH(1,(VDOHistorical[[Cost element]:[Cost element]]=CH_CostElements_Anytime!M$52)*(VDOHistorical[[Customer type]:[Customer type]]=$D$50)*(VDOHistorical[[VDO decision]:[VDO decision]]=CH_CostElements_Anytime!$D68),0),
MATCH(CH_CostElements_Anytime!$C68,VDOHistorical[[#Headers],[Ausnet]:[Average]],0)),"-")</f>
        <v>9.2598973434295004</v>
      </c>
      <c r="N68" s="106" cm="1">
        <f t="array" ref="N68">IFERROR(INDEX(VDOHistorical[[Ausnet]:[Average]],
MATCH(1,(VDOHistorical[[Cost element]:[Cost element]]=CH_CostElements_Anytime!N$52)*(VDOHistorical[[Customer type]:[Customer type]]=$D$50)*(VDOHistorical[[VDO decision]:[VDO decision]]=CH_CostElements_Anytime!$D68),0),
MATCH(CH_CostElements_Anytime!$C68,VDOHistorical[[#Headers],[Ausnet]:[Average]],0)),"-")</f>
        <v>77.989819267443366</v>
      </c>
      <c r="O68" s="106" cm="1">
        <f t="array" ref="O68">IFERROR(INDEX(VDOHistorical[[Ausnet]:[Average]],
MATCH(1,(VDOHistorical[[Cost element]:[Cost element]]=CH_CostElements_Anytime!O$52)*(VDOHistorical[[Customer type]:[Customer type]]=$D$50)*(VDOHistorical[[VDO decision]:[VDO decision]]=CH_CostElements_Anytime!$D68),0),
MATCH(CH_CostElements_Anytime!$C68,VDOHistorical[[#Headers],[Ausnet]:[Average]],0)),"-")</f>
        <v>136.9211992569486</v>
      </c>
      <c r="Q68" s="218">
        <f>IF(ROUND(E68,8)=ROUND(SUM(F68:O68),8),0,1)</f>
        <v>0</v>
      </c>
    </row>
    <row r="69" spans="3:17" x14ac:dyDescent="0.25">
      <c r="C69" t="s">
        <v>278</v>
      </c>
      <c r="D69" t="s">
        <v>266</v>
      </c>
      <c r="E69" s="213" cm="1">
        <f t="array" ref="E69">IFERROR(INDEX(VDOHistorical[[Ausnet]:[Average]],
MATCH(1,(VDOHistorical[[Cost element]:[Cost element]]=CH_CostElements_Anytime!E$52)*(VDOHistorical[[Customer type]:[Customer type]]=$D$50)*(VDOHistorical[[VDO decision]:[VDO decision]]=CH_CostElements_Anytime!$D69),0),
MATCH(CH_CostElements_Anytime!$C69,VDOHistorical[[#Headers],[Ausnet]:[Average]],0)),"-")</f>
        <v>1269.4552802074409</v>
      </c>
      <c r="F69" s="106" cm="1">
        <f t="array" ref="F69">IFERROR(INDEX(VDOHistorical[[Ausnet]:[Average]],
MATCH(1,(VDOHistorical[[Cost element]:[Cost element]]=CH_CostElements_Anytime!F$52)*(VDOHistorical[[Customer type]:[Customer type]]=$D$50)*(VDOHistorical[[VDO decision]:[VDO decision]]=CH_CostElements_Anytime!$D69),0),
MATCH(CH_CostElements_Anytime!$C69,VDOHistorical[[#Headers],[Ausnet]:[Average]],0)),"-")</f>
        <v>374.60133849995998</v>
      </c>
      <c r="G69" s="212" cm="1">
        <f t="array" ref="G69">IFERROR(INDEX(VDOHistorical[[Ausnet]:[Average]],
MATCH(1,(VDOHistorical[[Cost element]:[Cost element]]=CH_CostElements_Anytime!G$52)*(VDOHistorical[[Customer type]:[Customer type]]=$D$50)*(VDOHistorical[[VDO decision]:[VDO decision]]=CH_CostElements_Anytime!$D69),0),
MATCH(CH_CostElements_Anytime!$C69,VDOHistorical[[#Headers],[Ausnet]:[Average]],0)),"-")</f>
        <v>414.59999999999997</v>
      </c>
      <c r="H69" s="212" cm="1">
        <f t="array" ref="H69">IFERROR(INDEX(VDOHistorical[[Ausnet]:[Average]],
MATCH(1,(VDOHistorical[[Cost element]:[Cost element]]=CH_CostElements_Anytime!H$52)*(VDOHistorical[[Customer type]:[Customer type]]=$D$50)*(VDOHistorical[[VDO decision]:[VDO decision]]=CH_CostElements_Anytime!$D69),0),
MATCH(CH_CostElements_Anytime!$C69,VDOHistorical[[#Headers],[Ausnet]:[Average]],0)),"-")</f>
        <v>0</v>
      </c>
      <c r="I69" s="106" cm="1">
        <f t="array" ref="I69">IFERROR(INDEX(VDOHistorical[[Ausnet]:[Average]],
MATCH(1,(VDOHistorical[[Cost element]:[Cost element]]=CH_CostElements_Anytime!I$52)*(VDOHistorical[[Customer type]:[Customer type]]=$D$50)*(VDOHistorical[[VDO decision]:[VDO decision]]=CH_CostElements_Anytime!$D69),0),
MATCH(CH_CostElements_Anytime!$C69,VDOHistorical[[#Headers],[Ausnet]:[Average]],0)),"-")</f>
        <v>181.75878095302622</v>
      </c>
      <c r="J69" s="106" cm="1">
        <f t="array" ref="J69">IFERROR(INDEX(VDOHistorical[[Ausnet]:[Average]],
MATCH(1,(VDOHistorical[[Cost element]:[Cost element]]=CH_CostElements_Anytime!J$52)*(VDOHistorical[[Customer type]:[Customer type]]=$D$50)*(VDOHistorical[[VDO decision]:[VDO decision]]=CH_CostElements_Anytime!$D69),0),
MATCH(CH_CostElements_Anytime!$C69,VDOHistorical[[#Headers],[Ausnet]:[Average]],0)),"-")</f>
        <v>97.300862267596088</v>
      </c>
      <c r="K69" s="212" cm="1">
        <f t="array" ref="K69">IFERROR(INDEX(VDOHistorical[[Ausnet]:[Average]],
MATCH(1,(VDOHistorical[[Cost element]:[Cost element]]=CH_CostElements_Anytime!K$52)*(VDOHistorical[[Customer type]:[Customer type]]=$D$50)*(VDOHistorical[[VDO decision]:[VDO decision]]=CH_CostElements_Anytime!$D69),0),
MATCH(CH_CostElements_Anytime!$C69,VDOHistorical[[#Headers],[Ausnet]:[Average]],0)),"-")</f>
        <v>0</v>
      </c>
      <c r="L69" s="106" cm="1">
        <f t="array" ref="L69">IFERROR(INDEX(VDOHistorical[[Ausnet]:[Average]],
MATCH(1,(VDOHistorical[[Cost element]:[Cost element]]=CH_CostElements_Anytime!L$52)*(VDOHistorical[[Customer type]:[Customer type]]=$D$50)*(VDOHistorical[[VDO decision]:[VDO decision]]=CH_CostElements_Anytime!$D69),0),
MATCH(CH_CostElements_Anytime!$C69,VDOHistorical[[#Headers],[Ausnet]:[Average]],0)),"-")</f>
        <v>10.849248189087444</v>
      </c>
      <c r="M69" s="106" cm="1">
        <f t="array" ref="M69">IFERROR(INDEX(VDOHistorical[[Ausnet]:[Average]],
MATCH(1,(VDOHistorical[[Cost element]:[Cost element]]=CH_CostElements_Anytime!M$52)*(VDOHistorical[[Customer type]:[Customer type]]=$D$50)*(VDOHistorical[[VDO decision]:[VDO decision]]=CH_CostElements_Anytime!$D69),0),
MATCH(CH_CostElements_Anytime!$C69,VDOHistorical[[#Headers],[Ausnet]:[Average]],0)),"-")</f>
        <v>9.2057402280494305</v>
      </c>
      <c r="N69" s="106" cm="1">
        <f t="array" ref="N69">IFERROR(INDEX(VDOHistorical[[Ausnet]:[Average]],
MATCH(1,(VDOHistorical[[Cost element]:[Cost element]]=CH_CostElements_Anytime!N$52)*(VDOHistorical[[Customer type]:[Customer type]]=$D$50)*(VDOHistorical[[VDO decision]:[VDO decision]]=CH_CostElements_Anytime!$D69),0),
MATCH(CH_CostElements_Anytime!$C69,VDOHistorical[[#Headers],[Ausnet]:[Average]],0)),"-")</f>
        <v>65.734284596318233</v>
      </c>
      <c r="O69" s="106" cm="1">
        <f t="array" ref="O69">IFERROR(INDEX(VDOHistorical[[Ausnet]:[Average]],
MATCH(1,(VDOHistorical[[Cost element]:[Cost element]]=CH_CostElements_Anytime!O$52)*(VDOHistorical[[Customer type]:[Customer type]]=$D$50)*(VDOHistorical[[VDO decision]:[VDO decision]]=CH_CostElements_Anytime!$D69),0),
MATCH(CH_CostElements_Anytime!$C69,VDOHistorical[[#Headers],[Ausnet]:[Average]],0)),"-")</f>
        <v>115.40502547340373</v>
      </c>
      <c r="Q69" s="218">
        <f t="shared" ref="Q69:Q73" si="2">IF(ROUND(E69,8)=ROUND(SUM(F69:O69),8),0,1)</f>
        <v>0</v>
      </c>
    </row>
    <row r="70" spans="3:17" x14ac:dyDescent="0.25">
      <c r="C70" t="s">
        <v>279</v>
      </c>
      <c r="D70" t="s">
        <v>266</v>
      </c>
      <c r="E70" s="213" cm="1">
        <f t="array" ref="E70">IFERROR(INDEX(VDOHistorical[[Ausnet]:[Average]],
MATCH(1,(VDOHistorical[[Cost element]:[Cost element]]=CH_CostElements_Anytime!E$52)*(VDOHistorical[[Customer type]:[Customer type]]=$D$50)*(VDOHistorical[[VDO decision]:[VDO decision]]=CH_CostElements_Anytime!$D70),0),
MATCH(CH_CostElements_Anytime!$C70,VDOHistorical[[#Headers],[Ausnet]:[Average]],0)),"-")</f>
        <v>1327.0941894145951</v>
      </c>
      <c r="F70" s="106" cm="1">
        <f t="array" ref="F70">IFERROR(INDEX(VDOHistorical[[Ausnet]:[Average]],
MATCH(1,(VDOHistorical[[Cost element]:[Cost element]]=CH_CostElements_Anytime!F$52)*(VDOHistorical[[Customer type]:[Customer type]]=$D$50)*(VDOHistorical[[VDO decision]:[VDO decision]]=CH_CostElements_Anytime!$D70),0),
MATCH(CH_CostElements_Anytime!$C70,VDOHistorical[[#Headers],[Ausnet]:[Average]],0)),"-")</f>
        <v>407.79431557333345</v>
      </c>
      <c r="G70" s="212" cm="1">
        <f t="array" ref="G70">IFERROR(INDEX(VDOHistorical[[Ausnet]:[Average]],
MATCH(1,(VDOHistorical[[Cost element]:[Cost element]]=CH_CostElements_Anytime!G$52)*(VDOHistorical[[Customer type]:[Customer type]]=$D$50)*(VDOHistorical[[VDO decision]:[VDO decision]]=CH_CostElements_Anytime!$D70),0),
MATCH(CH_CostElements_Anytime!$C70,VDOHistorical[[#Headers],[Ausnet]:[Average]],0)),"-")</f>
        <v>431.87</v>
      </c>
      <c r="H70" s="212" cm="1">
        <f t="array" ref="H70">IFERROR(INDEX(VDOHistorical[[Ausnet]:[Average]],
MATCH(1,(VDOHistorical[[Cost element]:[Cost element]]=CH_CostElements_Anytime!H$52)*(VDOHistorical[[Customer type]:[Customer type]]=$D$50)*(VDOHistorical[[VDO decision]:[VDO decision]]=CH_CostElements_Anytime!$D70),0),
MATCH(CH_CostElements_Anytime!$C70,VDOHistorical[[#Headers],[Ausnet]:[Average]],0)),"-")</f>
        <v>0</v>
      </c>
      <c r="I70" s="106" cm="1">
        <f t="array" ref="I70">IFERROR(INDEX(VDOHistorical[[Ausnet]:[Average]],
MATCH(1,(VDOHistorical[[Cost element]:[Cost element]]=CH_CostElements_Anytime!I$52)*(VDOHistorical[[Customer type]:[Customer type]]=$D$50)*(VDOHistorical[[VDO decision]:[VDO decision]]=CH_CostElements_Anytime!$D70),0),
MATCH(CH_CostElements_Anytime!$C70,VDOHistorical[[#Headers],[Ausnet]:[Average]],0)),"-")</f>
        <v>181.75878095302622</v>
      </c>
      <c r="J70" s="106" cm="1">
        <f t="array" ref="J70">IFERROR(INDEX(VDOHistorical[[Ausnet]:[Average]],
MATCH(1,(VDOHistorical[[Cost element]:[Cost element]]=CH_CostElements_Anytime!J$52)*(VDOHistorical[[Customer type]:[Customer type]]=$D$50)*(VDOHistorical[[VDO decision]:[VDO decision]]=CH_CostElements_Anytime!$D70),0),
MATCH(CH_CostElements_Anytime!$C70,VDOHistorical[[#Headers],[Ausnet]:[Average]],0)),"-")</f>
        <v>96.284429634343809</v>
      </c>
      <c r="K70" s="212" cm="1">
        <f t="array" ref="K70">IFERROR(INDEX(VDOHistorical[[Ausnet]:[Average]],
MATCH(1,(VDOHistorical[[Cost element]:[Cost element]]=CH_CostElements_Anytime!K$52)*(VDOHistorical[[Customer type]:[Customer type]]=$D$50)*(VDOHistorical[[VDO decision]:[VDO decision]]=CH_CostElements_Anytime!$D70),0),
MATCH(CH_CostElements_Anytime!$C70,VDOHistorical[[#Headers],[Ausnet]:[Average]],0)),"-")</f>
        <v>0</v>
      </c>
      <c r="L70" s="106" cm="1">
        <f t="array" ref="L70">IFERROR(INDEX(VDOHistorical[[Ausnet]:[Average]],
MATCH(1,(VDOHistorical[[Cost element]:[Cost element]]=CH_CostElements_Anytime!L$52)*(VDOHistorical[[Customer type]:[Customer type]]=$D$50)*(VDOHistorical[[VDO decision]:[VDO decision]]=CH_CostElements_Anytime!$D70),0),
MATCH(CH_CostElements_Anytime!$C70,VDOHistorical[[#Headers],[Ausnet]:[Average]],0)),"-")</f>
        <v>10.849248189087444</v>
      </c>
      <c r="M70" s="106" cm="1">
        <f t="array" ref="M70">IFERROR(INDEX(VDOHistorical[[Ausnet]:[Average]],
MATCH(1,(VDOHistorical[[Cost element]:[Cost element]]=CH_CostElements_Anytime!M$52)*(VDOHistorical[[Customer type]:[Customer type]]=$D$50)*(VDOHistorical[[VDO decision]:[VDO decision]]=CH_CostElements_Anytime!$D70),0),
MATCH(CH_CostElements_Anytime!$C70,VDOHistorical[[#Headers],[Ausnet]:[Average]],0)),"-")</f>
        <v>9.1735756164268238</v>
      </c>
      <c r="N70" s="106" cm="1">
        <f t="array" ref="N70">IFERROR(INDEX(VDOHistorical[[Ausnet]:[Average]],
MATCH(1,(VDOHistorical[[Cost element]:[Cost element]]=CH_CostElements_Anytime!N$52)*(VDOHistorical[[Customer type]:[Customer type]]=$D$50)*(VDOHistorical[[VDO decision]:[VDO decision]]=CH_CostElements_Anytime!$D70),0),
MATCH(CH_CostElements_Anytime!$C70,VDOHistorical[[#Headers],[Ausnet]:[Average]],0)),"-")</f>
        <v>68.718913137959561</v>
      </c>
      <c r="O70" s="106" cm="1">
        <f t="array" ref="O70">IFERROR(INDEX(VDOHistorical[[Ausnet]:[Average]],
MATCH(1,(VDOHistorical[[Cost element]:[Cost element]]=CH_CostElements_Anytime!O$52)*(VDOHistorical[[Customer type]:[Customer type]]=$D$50)*(VDOHistorical[[VDO decision]:[VDO decision]]=CH_CostElements_Anytime!$D70),0),
MATCH(CH_CostElements_Anytime!$C70,VDOHistorical[[#Headers],[Ausnet]:[Average]],0)),"-")</f>
        <v>120.64492631041774</v>
      </c>
      <c r="Q70" s="218">
        <f t="shared" si="2"/>
        <v>0</v>
      </c>
    </row>
    <row r="71" spans="3:17" x14ac:dyDescent="0.25">
      <c r="C71" t="s">
        <v>280</v>
      </c>
      <c r="D71" t="s">
        <v>266</v>
      </c>
      <c r="E71" s="213" cm="1">
        <f t="array" ref="E71">IFERROR(INDEX(VDOHistorical[[Ausnet]:[Average]],
MATCH(1,(VDOHistorical[[Cost element]:[Cost element]]=CH_CostElements_Anytime!E$52)*(VDOHistorical[[Customer type]:[Customer type]]=$D$50)*(VDOHistorical[[VDO decision]:[VDO decision]]=CH_CostElements_Anytime!$D71),0),
MATCH(CH_CostElements_Anytime!$C71,VDOHistorical[[#Headers],[Ausnet]:[Average]],0)),"-")</f>
        <v>1367.5960507319678</v>
      </c>
      <c r="F71" s="106" cm="1">
        <f t="array" ref="F71">IFERROR(INDEX(VDOHistorical[[Ausnet]:[Average]],
MATCH(1,(VDOHistorical[[Cost element]:[Cost element]]=CH_CostElements_Anytime!F$52)*(VDOHistorical[[Customer type]:[Customer type]]=$D$50)*(VDOHistorical[[VDO decision]:[VDO decision]]=CH_CostElements_Anytime!$D71),0),
MATCH(CH_CostElements_Anytime!$C71,VDOHistorical[[#Headers],[Ausnet]:[Average]],0)),"-")</f>
        <v>396.08606905449994</v>
      </c>
      <c r="G71" s="212" cm="1">
        <f t="array" ref="G71">IFERROR(INDEX(VDOHistorical[[Ausnet]:[Average]],
MATCH(1,(VDOHistorical[[Cost element]:[Cost element]]=CH_CostElements_Anytime!G$52)*(VDOHistorical[[Customer type]:[Customer type]]=$D$50)*(VDOHistorical[[VDO decision]:[VDO decision]]=CH_CostElements_Anytime!$D71),0),
MATCH(CH_CostElements_Anytime!$C71,VDOHistorical[[#Headers],[Ausnet]:[Average]],0)),"-")</f>
        <v>475.1</v>
      </c>
      <c r="H71" s="212" cm="1">
        <f t="array" ref="H71">IFERROR(INDEX(VDOHistorical[[Ausnet]:[Average]],
MATCH(1,(VDOHistorical[[Cost element]:[Cost element]]=CH_CostElements_Anytime!H$52)*(VDOHistorical[[Customer type]:[Customer type]]=$D$50)*(VDOHistorical[[VDO decision]:[VDO decision]]=CH_CostElements_Anytime!$D71),0),
MATCH(CH_CostElements_Anytime!$C71,VDOHistorical[[#Headers],[Ausnet]:[Average]],0)),"-")</f>
        <v>0</v>
      </c>
      <c r="I71" s="106" cm="1">
        <f t="array" ref="I71">IFERROR(INDEX(VDOHistorical[[Ausnet]:[Average]],
MATCH(1,(VDOHistorical[[Cost element]:[Cost element]]=CH_CostElements_Anytime!I$52)*(VDOHistorical[[Customer type]:[Customer type]]=$D$50)*(VDOHistorical[[VDO decision]:[VDO decision]]=CH_CostElements_Anytime!$D71),0),
MATCH(CH_CostElements_Anytime!$C71,VDOHistorical[[#Headers],[Ausnet]:[Average]],0)),"-")</f>
        <v>181.75878095302622</v>
      </c>
      <c r="J71" s="106" cm="1">
        <f t="array" ref="J71">IFERROR(INDEX(VDOHistorical[[Ausnet]:[Average]],
MATCH(1,(VDOHistorical[[Cost element]:[Cost element]]=CH_CostElements_Anytime!J$52)*(VDOHistorical[[Customer type]:[Customer type]]=$D$50)*(VDOHistorical[[VDO decision]:[VDO decision]]=CH_CostElements_Anytime!$D71),0),
MATCH(CH_CostElements_Anytime!$C71,VDOHistorical[[#Headers],[Ausnet]:[Average]],0)),"-")</f>
        <v>99.387119975088353</v>
      </c>
      <c r="K71" s="212" cm="1">
        <f t="array" ref="K71">IFERROR(INDEX(VDOHistorical[[Ausnet]:[Average]],
MATCH(1,(VDOHistorical[[Cost element]:[Cost element]]=CH_CostElements_Anytime!K$52)*(VDOHistorical[[Customer type]:[Customer type]]=$D$50)*(VDOHistorical[[VDO decision]:[VDO decision]]=CH_CostElements_Anytime!$D71),0),
MATCH(CH_CostElements_Anytime!$C71,VDOHistorical[[#Headers],[Ausnet]:[Average]],0)),"-")</f>
        <v>0</v>
      </c>
      <c r="L71" s="106" cm="1">
        <f t="array" ref="L71">IFERROR(INDEX(VDOHistorical[[Ausnet]:[Average]],
MATCH(1,(VDOHistorical[[Cost element]:[Cost element]]=CH_CostElements_Anytime!L$52)*(VDOHistorical[[Customer type]:[Customer type]]=$D$50)*(VDOHistorical[[VDO decision]:[VDO decision]]=CH_CostElements_Anytime!$D71),0),
MATCH(CH_CostElements_Anytime!$C71,VDOHistorical[[#Headers],[Ausnet]:[Average]],0)),"-")</f>
        <v>10.849248189087444</v>
      </c>
      <c r="M71" s="106" cm="1">
        <f t="array" ref="M71">IFERROR(INDEX(VDOHistorical[[Ausnet]:[Average]],
MATCH(1,(VDOHistorical[[Cost element]:[Cost element]]=CH_CostElements_Anytime!M$52)*(VDOHistorical[[Customer type]:[Customer type]]=$D$50)*(VDOHistorical[[VDO decision]:[VDO decision]]=CH_CostElements_Anytime!$D71),0),
MATCH(CH_CostElements_Anytime!$C71,VDOHistorical[[#Headers],[Ausnet]:[Average]],0)),"-")</f>
        <v>9.2717590341275518</v>
      </c>
      <c r="N71" s="106" cm="1">
        <f t="array" ref="N71">IFERROR(INDEX(VDOHistorical[[Ausnet]:[Average]],
MATCH(1,(VDOHistorical[[Cost element]:[Cost element]]=CH_CostElements_Anytime!N$52)*(VDOHistorical[[Customer type]:[Customer type]]=$D$50)*(VDOHistorical[[VDO decision]:[VDO decision]]=CH_CostElements_Anytime!$D71),0),
MATCH(CH_CostElements_Anytime!$C71,VDOHistorical[[#Headers],[Ausnet]:[Average]],0)),"-")</f>
        <v>70.816159823232098</v>
      </c>
      <c r="O71" s="106" cm="1">
        <f t="array" ref="O71">IFERROR(INDEX(VDOHistorical[[Ausnet]:[Average]],
MATCH(1,(VDOHistorical[[Cost element]:[Cost element]]=CH_CostElements_Anytime!O$52)*(VDOHistorical[[Customer type]:[Customer type]]=$D$50)*(VDOHistorical[[VDO decision]:[VDO decision]]=CH_CostElements_Anytime!$D71),0),
MATCH(CH_CostElements_Anytime!$C71,VDOHistorical[[#Headers],[Ausnet]:[Average]],0)),"-")</f>
        <v>124.32691370290615</v>
      </c>
      <c r="Q71" s="218">
        <f t="shared" si="2"/>
        <v>0</v>
      </c>
    </row>
    <row r="72" spans="3:17" x14ac:dyDescent="0.25">
      <c r="C72" t="s">
        <v>281</v>
      </c>
      <c r="D72" t="s">
        <v>266</v>
      </c>
      <c r="E72" s="213" cm="1">
        <f t="array" ref="E72">IFERROR(INDEX(VDOHistorical[[Ausnet]:[Average]],
MATCH(1,(VDOHistorical[[Cost element]:[Cost element]]=CH_CostElements_Anytime!E$52)*(VDOHistorical[[Customer type]:[Customer type]]=$D$50)*(VDOHistorical[[VDO decision]:[VDO decision]]=CH_CostElements_Anytime!$D72),0),
MATCH(CH_CostElements_Anytime!$C72,VDOHistorical[[#Headers],[Ausnet]:[Average]],0)),"-")</f>
        <v>1318.4635656345395</v>
      </c>
      <c r="F72" s="106" cm="1">
        <f t="array" ref="F72">IFERROR(INDEX(VDOHistorical[[Ausnet]:[Average]],
MATCH(1,(VDOHistorical[[Cost element]:[Cost element]]=CH_CostElements_Anytime!F$52)*(VDOHistorical[[Customer type]:[Customer type]]=$D$50)*(VDOHistorical[[VDO decision]:[VDO decision]]=CH_CostElements_Anytime!$D72),0),
MATCH(CH_CostElements_Anytime!$C72,VDOHistorical[[#Headers],[Ausnet]:[Average]],0)),"-")</f>
        <v>415.37045922372005</v>
      </c>
      <c r="G72" s="212" cm="1">
        <f t="array" ref="G72">IFERROR(INDEX(VDOHistorical[[Ausnet]:[Average]],
MATCH(1,(VDOHistorical[[Cost element]:[Cost element]]=CH_CostElements_Anytime!G$52)*(VDOHistorical[[Customer type]:[Customer type]]=$D$50)*(VDOHistorical[[VDO decision]:[VDO decision]]=CH_CostElements_Anytime!$D72),0),
MATCH(CH_CostElements_Anytime!$C72,VDOHistorical[[#Headers],[Ausnet]:[Average]],0)),"-")</f>
        <v>415.48</v>
      </c>
      <c r="H72" s="212" cm="1">
        <f t="array" ref="H72">IFERROR(INDEX(VDOHistorical[[Ausnet]:[Average]],
MATCH(1,(VDOHistorical[[Cost element]:[Cost element]]=CH_CostElements_Anytime!H$52)*(VDOHistorical[[Customer type]:[Customer type]]=$D$50)*(VDOHistorical[[VDO decision]:[VDO decision]]=CH_CostElements_Anytime!$D72),0),
MATCH(CH_CostElements_Anytime!$C72,VDOHistorical[[#Headers],[Ausnet]:[Average]],0)),"-")</f>
        <v>0</v>
      </c>
      <c r="I72" s="106" cm="1">
        <f t="array" ref="I72">IFERROR(INDEX(VDOHistorical[[Ausnet]:[Average]],
MATCH(1,(VDOHistorical[[Cost element]:[Cost element]]=CH_CostElements_Anytime!I$52)*(VDOHistorical[[Customer type]:[Customer type]]=$D$50)*(VDOHistorical[[VDO decision]:[VDO decision]]=CH_CostElements_Anytime!$D72),0),
MATCH(CH_CostElements_Anytime!$C72,VDOHistorical[[#Headers],[Ausnet]:[Average]],0)),"-")</f>
        <v>181.75878095302622</v>
      </c>
      <c r="J72" s="106" cm="1">
        <f t="array" ref="J72">IFERROR(INDEX(VDOHistorical[[Ausnet]:[Average]],
MATCH(1,(VDOHistorical[[Cost element]:[Cost element]]=CH_CostElements_Anytime!J$52)*(VDOHistorical[[Customer type]:[Customer type]]=$D$50)*(VDOHistorical[[VDO decision]:[VDO decision]]=CH_CostElements_Anytime!$D72),0),
MATCH(CH_CostElements_Anytime!$C72,VDOHistorical[[#Headers],[Ausnet]:[Average]],0)),"-")</f>
        <v>97.655775223080738</v>
      </c>
      <c r="K72" s="212" cm="1">
        <f t="array" ref="K72">IFERROR(INDEX(VDOHistorical[[Ausnet]:[Average]],
MATCH(1,(VDOHistorical[[Cost element]:[Cost element]]=CH_CostElements_Anytime!K$52)*(VDOHistorical[[Customer type]:[Customer type]]=$D$50)*(VDOHistorical[[VDO decision]:[VDO decision]]=CH_CostElements_Anytime!$D72),0),
MATCH(CH_CostElements_Anytime!$C72,VDOHistorical[[#Headers],[Ausnet]:[Average]],0)),"-")</f>
        <v>0</v>
      </c>
      <c r="L72" s="106" cm="1">
        <f t="array" ref="L72">IFERROR(INDEX(VDOHistorical[[Ausnet]:[Average]],
MATCH(1,(VDOHistorical[[Cost element]:[Cost element]]=CH_CostElements_Anytime!L$52)*(VDOHistorical[[Customer type]:[Customer type]]=$D$50)*(VDOHistorical[[VDO decision]:[VDO decision]]=CH_CostElements_Anytime!$D72),0),
MATCH(CH_CostElements_Anytime!$C72,VDOHistorical[[#Headers],[Ausnet]:[Average]],0)),"-")</f>
        <v>10.849248189087444</v>
      </c>
      <c r="M72" s="106" cm="1">
        <f t="array" ref="M72">IFERROR(INDEX(VDOHistorical[[Ausnet]:[Average]],
MATCH(1,(VDOHistorical[[Cost element]:[Cost element]]=CH_CostElements_Anytime!M$52)*(VDOHistorical[[Customer type]:[Customer type]]=$D$50)*(VDOHistorical[[VDO decision]:[VDO decision]]=CH_CostElements_Anytime!$D72),0),
MATCH(CH_CostElements_Anytime!$C72,VDOHistorical[[#Headers],[Ausnet]:[Average]],0)),"-")</f>
        <v>9.2169713091850962</v>
      </c>
      <c r="N72" s="106" cm="1">
        <f t="array" ref="N72">IFERROR(INDEX(VDOHistorical[[Ausnet]:[Average]],
MATCH(1,(VDOHistorical[[Cost element]:[Cost element]]=CH_CostElements_Anytime!N$52)*(VDOHistorical[[Customer type]:[Customer type]]=$D$50)*(VDOHistorical[[VDO decision]:[VDO decision]]=CH_CostElements_Anytime!$D72),0),
MATCH(CH_CostElements_Anytime!$C72,VDOHistorical[[#Headers],[Ausnet]:[Average]],0)),"-")</f>
        <v>68.272006587845226</v>
      </c>
      <c r="O72" s="106" cm="1">
        <f t="array" ref="O72">IFERROR(INDEX(VDOHistorical[[Ausnet]:[Average]],
MATCH(1,(VDOHistorical[[Cost element]:[Cost element]]=CH_CostElements_Anytime!O$52)*(VDOHistorical[[Customer type]:[Customer type]]=$D$50)*(VDOHistorical[[VDO decision]:[VDO decision]]=CH_CostElements_Anytime!$D72),0),
MATCH(CH_CostElements_Anytime!$C72,VDOHistorical[[#Headers],[Ausnet]:[Average]],0)),"-")</f>
        <v>119.86032414859449</v>
      </c>
      <c r="Q72" s="218">
        <f t="shared" si="2"/>
        <v>0</v>
      </c>
    </row>
    <row r="73" spans="3:17" x14ac:dyDescent="0.25">
      <c r="C73" t="s">
        <v>383</v>
      </c>
      <c r="D73" t="s">
        <v>266</v>
      </c>
      <c r="E73" s="213" cm="1">
        <f t="array" ref="E73">IFERROR(INDEX(VDOHistorical[[Ausnet]:[Average]],
MATCH(1,(VDOHistorical[[Cost element]:[Cost element]]=CH_CostElements_Anytime!E$52)*(VDOHistorical[[Customer type]:[Customer type]]=$D$50)*(VDOHistorical[[VDO decision]:[VDO decision]]=CH_CostElements_Anytime!$D73),0),
MATCH(CH_CostElements_Anytime!$C73,VDOHistorical[[#Headers],[Ausnet]:[Average]],0)),"-")</f>
        <v>1357.7484555629956</v>
      </c>
      <c r="F73" s="106" cm="1">
        <f t="array" ref="F73">IFERROR(INDEX(VDOHistorical[[Ausnet]:[Average]],
MATCH(1,(VDOHistorical[[Cost element]:[Cost element]]=CH_CostElements_Anytime!F$52)*(VDOHistorical[[Customer type]:[Customer type]]=$D$50)*(VDOHistorical[[VDO decision]:[VDO decision]]=CH_CostElements_Anytime!$D73),0),
MATCH(CH_CostElements_Anytime!$C73,VDOHistorical[[#Headers],[Ausnet]:[Average]],0)),"-")</f>
        <v>399.43883000330271</v>
      </c>
      <c r="G73" s="212" cm="1">
        <f t="array" ref="G73">IFERROR(INDEX(VDOHistorical[[Ausnet]:[Average]],
MATCH(1,(VDOHistorical[[Cost element]:[Cost element]]=CH_CostElements_Anytime!G$52)*(VDOHistorical[[Customer type]:[Customer type]]=$D$50)*(VDOHistorical[[VDO decision]:[VDO decision]]=CH_CostElements_Anytime!$D73),0),
MATCH(CH_CostElements_Anytime!$C73,VDOHistorical[[#Headers],[Ausnet]:[Average]],0)),"-")</f>
        <v>464.80999999999995</v>
      </c>
      <c r="H73" s="212" cm="1">
        <f t="array" ref="H73">IFERROR(INDEX(VDOHistorical[[Ausnet]:[Average]],
MATCH(1,(VDOHistorical[[Cost element]:[Cost element]]=CH_CostElements_Anytime!H$52)*(VDOHistorical[[Customer type]:[Customer type]]=$D$50)*(VDOHistorical[[VDO decision]:[VDO decision]]=CH_CostElements_Anytime!$D73),0),
MATCH(CH_CostElements_Anytime!$C73,VDOHistorical[[#Headers],[Ausnet]:[Average]],0)),"-")</f>
        <v>0</v>
      </c>
      <c r="I73" s="106" cm="1">
        <f t="array" ref="I73">IFERROR(INDEX(VDOHistorical[[Ausnet]:[Average]],
MATCH(1,(VDOHistorical[[Cost element]:[Cost element]]=CH_CostElements_Anytime!I$52)*(VDOHistorical[[Customer type]:[Customer type]]=$D$50)*(VDOHistorical[[VDO decision]:[VDO decision]]=CH_CostElements_Anytime!$D73),0),
MATCH(CH_CostElements_Anytime!$C73,VDOHistorical[[#Headers],[Ausnet]:[Average]],0)),"-")</f>
        <v>181.75878095302622</v>
      </c>
      <c r="J73" s="106" cm="1">
        <f t="array" ref="J73">IFERROR(INDEX(VDOHistorical[[Ausnet]:[Average]],
MATCH(1,(VDOHistorical[[Cost element]:[Cost element]]=CH_CostElements_Anytime!J$52)*(VDOHistorical[[Customer type]:[Customer type]]=$D$50)*(VDOHistorical[[VDO decision]:[VDO decision]]=CH_CostElements_Anytime!$D73),0),
MATCH(CH_CostElements_Anytime!$C73,VDOHistorical[[#Headers],[Ausnet]:[Average]],0)),"-")</f>
        <v>97.928093250321638</v>
      </c>
      <c r="K73" s="212" cm="1">
        <f t="array" ref="K73">IFERROR(INDEX(VDOHistorical[[Ausnet]:[Average]],
MATCH(1,(VDOHistorical[[Cost element]:[Cost element]]=CH_CostElements_Anytime!K$52)*(VDOHistorical[[Customer type]:[Customer type]]=$D$50)*(VDOHistorical[[VDO decision]:[VDO decision]]=CH_CostElements_Anytime!$D73),0),
MATCH(CH_CostElements_Anytime!$C73,VDOHistorical[[#Headers],[Ausnet]:[Average]],0)),"-")</f>
        <v>0</v>
      </c>
      <c r="L73" s="106" cm="1">
        <f t="array" ref="L73">IFERROR(INDEX(VDOHistorical[[Ausnet]:[Average]],
MATCH(1,(VDOHistorical[[Cost element]:[Cost element]]=CH_CostElements_Anytime!L$52)*(VDOHistorical[[Customer type]:[Customer type]]=$D$50)*(VDOHistorical[[VDO decision]:[VDO decision]]=CH_CostElements_Anytime!$D73),0),
MATCH(CH_CostElements_Anytime!$C73,VDOHistorical[[#Headers],[Ausnet]:[Average]],0)),"-")</f>
        <v>10.849248189087444</v>
      </c>
      <c r="M73" s="106" cm="1">
        <f t="array" ref="M73">IFERROR(INDEX(VDOHistorical[[Ausnet]:[Average]],
MATCH(1,(VDOHistorical[[Cost element]:[Cost element]]=CH_CostElements_Anytime!M$52)*(VDOHistorical[[Customer type]:[Customer type]]=$D$50)*(VDOHistorical[[VDO decision]:[VDO decision]]=CH_CostElements_Anytime!$D73),0),
MATCH(CH_CostElements_Anytime!$C73,VDOHistorical[[#Headers],[Ausnet]:[Average]],0)),"-")</f>
        <v>9.2255887062436805</v>
      </c>
      <c r="N73" s="106" cm="1">
        <f t="array" ref="N73">IFERROR(INDEX(VDOHistorical[[Ausnet]:[Average]],
MATCH(1,(VDOHistorical[[Cost element]:[Cost element]]=CH_CostElements_Anytime!N$52)*(VDOHistorical[[Customer type]:[Customer type]]=$D$50)*(VDOHistorical[[VDO decision]:[VDO decision]]=CH_CostElements_Anytime!$D73),0),
MATCH(CH_CostElements_Anytime!$C73,VDOHistorical[[#Headers],[Ausnet]:[Average]],0)),"-")</f>
        <v>70.3062366825597</v>
      </c>
      <c r="O73" s="106" cm="1">
        <f t="array" ref="O73">IFERROR(INDEX(VDOHistorical[[Ausnet]:[Average]],
MATCH(1,(VDOHistorical[[Cost element]:[Cost element]]=CH_CostElements_Anytime!O$52)*(VDOHistorical[[Customer type]:[Customer type]]=$D$50)*(VDOHistorical[[VDO decision]:[VDO decision]]=CH_CostElements_Anytime!$D73),0),
MATCH(CH_CostElements_Anytime!$C73,VDOHistorical[[#Headers],[Ausnet]:[Average]],0)),"-")</f>
        <v>123.43167777845414</v>
      </c>
      <c r="Q73" s="218">
        <f t="shared" si="2"/>
        <v>0</v>
      </c>
    </row>
    <row r="74" spans="3:17" x14ac:dyDescent="0.25">
      <c r="E74" s="214"/>
      <c r="G74" s="136"/>
      <c r="H74" s="136"/>
      <c r="K74" s="136"/>
      <c r="Q74" s="138"/>
    </row>
    <row r="75" spans="3:17" x14ac:dyDescent="0.25">
      <c r="C75" t="s">
        <v>277</v>
      </c>
      <c r="D75" t="s">
        <v>608</v>
      </c>
      <c r="E75" s="213" cm="1">
        <f t="array" ref="E75">IFERROR(INDEX(VDOHistorical[[Ausnet]:[Average]],
MATCH(1,(VDOHistorical[[Cost element]:[Cost element]]=CH_CostElements_Anytime!E$52)*(VDOHistorical[[Customer type]:[Customer type]]=$D$50)*(VDOHistorical[[VDO decision]:[VDO decision]]=CH_CostElements_Anytime!$D75),0),
MATCH(CH_CostElements_Anytime!$C75,VDOHistorical[[#Headers],[Ausnet]:[Average]],0)),"-")</f>
        <v>1559.5818055064342</v>
      </c>
      <c r="F75" s="106" cm="1">
        <f t="array" ref="F75">IFERROR(INDEX(VDOHistorical[[Ausnet]:[Average]],
MATCH(1,(VDOHistorical[[Cost element]:[Cost element]]=CH_CostElements_Anytime!F$52)*(VDOHistorical[[Customer type]:[Customer type]]=$D$50)*(VDOHistorical[[VDO decision]:[VDO decision]]=CH_CostElements_Anytime!$D75),0),
MATCH(CH_CostElements_Anytime!$C75,VDOHistorical[[#Headers],[Ausnet]:[Average]],0)),"-")</f>
        <v>403.34196766499991</v>
      </c>
      <c r="G75" s="212" cm="1">
        <f t="array" ref="G75">IFERROR(INDEX(VDOHistorical[[Ausnet]:[Average]],
MATCH(1,(VDOHistorical[[Cost element]:[Cost element]]=CH_CostElements_Anytime!G$52)*(VDOHistorical[[Customer type]:[Customer type]]=$D$50)*(VDOHistorical[[VDO decision]:[VDO decision]]=CH_CostElements_Anytime!$D75),0),
MATCH(CH_CostElements_Anytime!$C75,VDOHistorical[[#Headers],[Ausnet]:[Average]],0)),"-")</f>
        <v>632.82200000000012</v>
      </c>
      <c r="H75" s="212" cm="1">
        <f t="array" ref="H75">IFERROR(INDEX(VDOHistorical[[Ausnet]:[Average]],
MATCH(1,(VDOHistorical[[Cost element]:[Cost element]]=CH_CostElements_Anytime!H$52)*(VDOHistorical[[Customer type]:[Customer type]]=$D$50)*(VDOHistorical[[VDO decision]:[VDO decision]]=CH_CostElements_Anytime!$D75),0),
MATCH(CH_CostElements_Anytime!$C75,VDOHistorical[[#Headers],[Ausnet]:[Average]],0)),"-")</f>
        <v>0</v>
      </c>
      <c r="I75" s="106" cm="1">
        <f t="array" ref="I75">IFERROR(INDEX(VDOHistorical[[Ausnet]:[Average]],
MATCH(1,(VDOHistorical[[Cost element]:[Cost element]]=CH_CostElements_Anytime!I$52)*(VDOHistorical[[Customer type]:[Customer type]]=$D$50)*(VDOHistorical[[VDO decision]:[VDO decision]]=CH_CostElements_Anytime!$D75),0),
MATCH(CH_CostElements_Anytime!$C75,VDOHistorical[[#Headers],[Ausnet]:[Average]],0)),"-")</f>
        <v>181.75878095302619</v>
      </c>
      <c r="J75" s="106" cm="1">
        <f t="array" ref="J75">IFERROR(INDEX(VDOHistorical[[Ausnet]:[Average]],
MATCH(1,(VDOHistorical[[Cost element]:[Cost element]]=CH_CostElements_Anytime!J$52)*(VDOHistorical[[Customer type]:[Customer type]]=$D$50)*(VDOHistorical[[VDO decision]:[VDO decision]]=CH_CostElements_Anytime!$D75),0),
MATCH(CH_CostElements_Anytime!$C75,VDOHistorical[[#Headers],[Ausnet]:[Average]],0)),"-")</f>
        <v>99.012279151499143</v>
      </c>
      <c r="K75" s="212" cm="1">
        <f t="array" ref="K75">IFERROR(INDEX(VDOHistorical[[Ausnet]:[Average]],
MATCH(1,(VDOHistorical[[Cost element]:[Cost element]]=CH_CostElements_Anytime!K$52)*(VDOHistorical[[Customer type]:[Customer type]]=$D$50)*(VDOHistorical[[VDO decision]:[VDO decision]]=CH_CostElements_Anytime!$D75),0),
MATCH(CH_CostElements_Anytime!$C75,VDOHistorical[[#Headers],[Ausnet]:[Average]],0)),"-")</f>
        <v>0</v>
      </c>
      <c r="L75" s="106" cm="1">
        <f t="array" ref="L75">IFERROR(INDEX(VDOHistorical[[Ausnet]:[Average]],
MATCH(1,(VDOHistorical[[Cost element]:[Cost element]]=CH_CostElements_Anytime!L$52)*(VDOHistorical[[Customer type]:[Customer type]]=$D$50)*(VDOHistorical[[VDO decision]:[VDO decision]]=CH_CostElements_Anytime!$D75),0),
MATCH(CH_CostElements_Anytime!$C75,VDOHistorical[[#Headers],[Ausnet]:[Average]],0)),"-")</f>
        <v>10.849248189087444</v>
      </c>
      <c r="M75" s="106" cm="1">
        <f t="array" ref="M75">IFERROR(INDEX(VDOHistorical[[Ausnet]:[Average]],
MATCH(1,(VDOHistorical[[Cost element]:[Cost element]]=CH_CostElements_Anytime!M$52)*(VDOHistorical[[Customer type]:[Customer type]]=$D$50)*(VDOHistorical[[VDO decision]:[VDO decision]]=CH_CostElements_Anytime!$D75),0),
MATCH(CH_CostElements_Anytime!$C75,VDOHistorical[[#Headers],[Ausnet]:[Average]],0)),"-")</f>
        <v>9.2598973434295004</v>
      </c>
      <c r="N75" s="106" cm="1">
        <f t="array" ref="N75">IFERROR(INDEX(VDOHistorical[[Ausnet]:[Average]],
MATCH(1,(VDOHistorical[[Cost element]:[Cost element]]=CH_CostElements_Anytime!N$52)*(VDOHistorical[[Customer type]:[Customer type]]=$D$50)*(VDOHistorical[[VDO decision]:[VDO decision]]=CH_CostElements_Anytime!$D75),0),
MATCH(CH_CostElements_Anytime!$C75,VDOHistorical[[#Headers],[Ausnet]:[Average]],0)),"-")</f>
        <v>80.757468067443355</v>
      </c>
      <c r="O75" s="106" cm="1">
        <f t="array" ref="O75">IFERROR(INDEX(VDOHistorical[[Ausnet]:[Average]],
MATCH(1,(VDOHistorical[[Cost element]:[Cost element]]=CH_CostElements_Anytime!O$52)*(VDOHistorical[[Customer type]:[Customer type]]=$D$50)*(VDOHistorical[[VDO decision]:[VDO decision]]=CH_CostElements_Anytime!$D75),0),
MATCH(CH_CostElements_Anytime!$C75,VDOHistorical[[#Headers],[Ausnet]:[Average]],0)),"-")</f>
        <v>141.78016413694857</v>
      </c>
      <c r="Q75" s="218">
        <f t="shared" ref="Q75:Q80" si="3">IF(ROUND(E75,8)=ROUND(SUM(F75:O75),8),0,1)</f>
        <v>0</v>
      </c>
    </row>
    <row r="76" spans="3:17" x14ac:dyDescent="0.25">
      <c r="C76" t="s">
        <v>278</v>
      </c>
      <c r="D76" t="s">
        <v>608</v>
      </c>
      <c r="E76" s="213" cm="1">
        <f t="array" ref="E76">IFERROR(INDEX(VDOHistorical[[Ausnet]:[Average]],
MATCH(1,(VDOHistorical[[Cost element]:[Cost element]]=CH_CostElements_Anytime!E$52)*(VDOHistorical[[Customer type]:[Customer type]]=$D$50)*(VDOHistorical[[VDO decision]:[VDO decision]]=CH_CostElements_Anytime!$D76),0),
MATCH(CH_CostElements_Anytime!$C76,VDOHistorical[[#Headers],[Ausnet]:[Average]],0)),"-")</f>
        <v>1335.7195701674411</v>
      </c>
      <c r="F76" s="106" cm="1">
        <f t="array" ref="F76">IFERROR(INDEX(VDOHistorical[[Ausnet]:[Average]],
MATCH(1,(VDOHistorical[[Cost element]:[Cost element]]=CH_CostElements_Anytime!F$52)*(VDOHistorical[[Customer type]:[Customer type]]=$D$50)*(VDOHistorical[[VDO decision]:[VDO decision]]=CH_CostElements_Anytime!$D76),0),
MATCH(CH_CostElements_Anytime!$C76,VDOHistorical[[#Headers],[Ausnet]:[Average]],0)),"-")</f>
        <v>374.60133849995998</v>
      </c>
      <c r="G76" s="212" cm="1">
        <f t="array" ref="G76">IFERROR(INDEX(VDOHistorical[[Ausnet]:[Average]],
MATCH(1,(VDOHistorical[[Cost element]:[Cost element]]=CH_CostElements_Anytime!G$52)*(VDOHistorical[[Customer type]:[Customer type]]=$D$50)*(VDOHistorical[[VDO decision]:[VDO decision]]=CH_CostElements_Anytime!$D76),0),
MATCH(CH_CostElements_Anytime!$C76,VDOHistorical[[#Headers],[Ausnet]:[Average]],0)),"-")</f>
        <v>471.40899999999999</v>
      </c>
      <c r="H76" s="212" cm="1">
        <f t="array" ref="H76">IFERROR(INDEX(VDOHistorical[[Ausnet]:[Average]],
MATCH(1,(VDOHistorical[[Cost element]:[Cost element]]=CH_CostElements_Anytime!H$52)*(VDOHistorical[[Customer type]:[Customer type]]=$D$50)*(VDOHistorical[[VDO decision]:[VDO decision]]=CH_CostElements_Anytime!$D76),0),
MATCH(CH_CostElements_Anytime!$C76,VDOHistorical[[#Headers],[Ausnet]:[Average]],0)),"-")</f>
        <v>0</v>
      </c>
      <c r="I76" s="106" cm="1">
        <f t="array" ref="I76">IFERROR(INDEX(VDOHistorical[[Ausnet]:[Average]],
MATCH(1,(VDOHistorical[[Cost element]:[Cost element]]=CH_CostElements_Anytime!I$52)*(VDOHistorical[[Customer type]:[Customer type]]=$D$50)*(VDOHistorical[[VDO decision]:[VDO decision]]=CH_CostElements_Anytime!$D76),0),
MATCH(CH_CostElements_Anytime!$C76,VDOHistorical[[#Headers],[Ausnet]:[Average]],0)),"-")</f>
        <v>181.75878095302619</v>
      </c>
      <c r="J76" s="106" cm="1">
        <f t="array" ref="J76">IFERROR(INDEX(VDOHistorical[[Ausnet]:[Average]],
MATCH(1,(VDOHistorical[[Cost element]:[Cost element]]=CH_CostElements_Anytime!J$52)*(VDOHistorical[[Customer type]:[Customer type]]=$D$50)*(VDOHistorical[[VDO decision]:[VDO decision]]=CH_CostElements_Anytime!$D76),0),
MATCH(CH_CostElements_Anytime!$C76,VDOHistorical[[#Headers],[Ausnet]:[Average]],0)),"-")</f>
        <v>97.300862267596088</v>
      </c>
      <c r="K76" s="212" cm="1">
        <f t="array" ref="K76">IFERROR(INDEX(VDOHistorical[[Ausnet]:[Average]],
MATCH(1,(VDOHistorical[[Cost element]:[Cost element]]=CH_CostElements_Anytime!K$52)*(VDOHistorical[[Customer type]:[Customer type]]=$D$50)*(VDOHistorical[[VDO decision]:[VDO decision]]=CH_CostElements_Anytime!$D76),0),
MATCH(CH_CostElements_Anytime!$C76,VDOHistorical[[#Headers],[Ausnet]:[Average]],0)),"-")</f>
        <v>0</v>
      </c>
      <c r="L76" s="106" cm="1">
        <f t="array" ref="L76">IFERROR(INDEX(VDOHistorical[[Ausnet]:[Average]],
MATCH(1,(VDOHistorical[[Cost element]:[Cost element]]=CH_CostElements_Anytime!L$52)*(VDOHistorical[[Customer type]:[Customer type]]=$D$50)*(VDOHistorical[[VDO decision]:[VDO decision]]=CH_CostElements_Anytime!$D76),0),
MATCH(CH_CostElements_Anytime!$C76,VDOHistorical[[#Headers],[Ausnet]:[Average]],0)),"-")</f>
        <v>10.849248189087444</v>
      </c>
      <c r="M76" s="106" cm="1">
        <f t="array" ref="M76">IFERROR(INDEX(VDOHistorical[[Ausnet]:[Average]],
MATCH(1,(VDOHistorical[[Cost element]:[Cost element]]=CH_CostElements_Anytime!M$52)*(VDOHistorical[[Customer type]:[Customer type]]=$D$50)*(VDOHistorical[[VDO decision]:[VDO decision]]=CH_CostElements_Anytime!$D76),0),
MATCH(CH_CostElements_Anytime!$C76,VDOHistorical[[#Headers],[Ausnet]:[Average]],0)),"-")</f>
        <v>9.2057402280494305</v>
      </c>
      <c r="N76" s="106" cm="1">
        <f t="array" ref="N76">IFERROR(INDEX(VDOHistorical[[Ausnet]:[Average]],
MATCH(1,(VDOHistorical[[Cost element]:[Cost element]]=CH_CostElements_Anytime!N$52)*(VDOHistorical[[Customer type]:[Customer type]]=$D$50)*(VDOHistorical[[VDO decision]:[VDO decision]]=CH_CostElements_Anytime!$D76),0),
MATCH(CH_CostElements_Anytime!$C76,VDOHistorical[[#Headers],[Ausnet]:[Average]],0)),"-")</f>
        <v>69.165548196318241</v>
      </c>
      <c r="O76" s="106" cm="1">
        <f t="array" ref="O76">IFERROR(INDEX(VDOHistorical[[Ausnet]:[Average]],
MATCH(1,(VDOHistorical[[Cost element]:[Cost element]]=CH_CostElements_Anytime!O$52)*(VDOHistorical[[Customer type]:[Customer type]]=$D$50)*(VDOHistorical[[VDO decision]:[VDO decision]]=CH_CostElements_Anytime!$D76),0),
MATCH(CH_CostElements_Anytime!$C76,VDOHistorical[[#Headers],[Ausnet]:[Average]],0)),"-")</f>
        <v>121.42905183340375</v>
      </c>
      <c r="Q76" s="218">
        <f t="shared" si="3"/>
        <v>0</v>
      </c>
    </row>
    <row r="77" spans="3:17" x14ac:dyDescent="0.25">
      <c r="C77" t="s">
        <v>279</v>
      </c>
      <c r="D77" t="s">
        <v>608</v>
      </c>
      <c r="E77" s="213" cm="1">
        <f t="array" ref="E77">IFERROR(INDEX(VDOHistorical[[Ausnet]:[Average]],
MATCH(1,(VDOHistorical[[Cost element]:[Cost element]]=CH_CostElements_Anytime!E$52)*(VDOHistorical[[Customer type]:[Customer type]]=$D$50)*(VDOHistorical[[VDO decision]:[VDO decision]]=CH_CostElements_Anytime!$D77),0),
MATCH(CH_CostElements_Anytime!$C77,VDOHistorical[[#Headers],[Ausnet]:[Average]],0)),"-")</f>
        <v>1386.9512244545951</v>
      </c>
      <c r="F77" s="106" cm="1">
        <f t="array" ref="F77">IFERROR(INDEX(VDOHistorical[[Ausnet]:[Average]],
MATCH(1,(VDOHistorical[[Cost element]:[Cost element]]=CH_CostElements_Anytime!F$52)*(VDOHistorical[[Customer type]:[Customer type]]=$D$50)*(VDOHistorical[[VDO decision]:[VDO decision]]=CH_CostElements_Anytime!$D77),0),
MATCH(CH_CostElements_Anytime!$C77,VDOHistorical[[#Headers],[Ausnet]:[Average]],0)),"-")</f>
        <v>407.79431557333345</v>
      </c>
      <c r="G77" s="212" cm="1">
        <f t="array" ref="G77">IFERROR(INDEX(VDOHistorical[[Ausnet]:[Average]],
MATCH(1,(VDOHistorical[[Cost element]:[Cost element]]=CH_CostElements_Anytime!G$52)*(VDOHistorical[[Customer type]:[Customer type]]=$D$50)*(VDOHistorical[[VDO decision]:[VDO decision]]=CH_CostElements_Anytime!$D77),0),
MATCH(CH_CostElements_Anytime!$C77,VDOHistorical[[#Headers],[Ausnet]:[Average]],0)),"-")</f>
        <v>483.18600000000004</v>
      </c>
      <c r="H77" s="212" cm="1">
        <f t="array" ref="H77">IFERROR(INDEX(VDOHistorical[[Ausnet]:[Average]],
MATCH(1,(VDOHistorical[[Cost element]:[Cost element]]=CH_CostElements_Anytime!H$52)*(VDOHistorical[[Customer type]:[Customer type]]=$D$50)*(VDOHistorical[[VDO decision]:[VDO decision]]=CH_CostElements_Anytime!$D77),0),
MATCH(CH_CostElements_Anytime!$C77,VDOHistorical[[#Headers],[Ausnet]:[Average]],0)),"-")</f>
        <v>0</v>
      </c>
      <c r="I77" s="106" cm="1">
        <f t="array" ref="I77">IFERROR(INDEX(VDOHistorical[[Ausnet]:[Average]],
MATCH(1,(VDOHistorical[[Cost element]:[Cost element]]=CH_CostElements_Anytime!I$52)*(VDOHistorical[[Customer type]:[Customer type]]=$D$50)*(VDOHistorical[[VDO decision]:[VDO decision]]=CH_CostElements_Anytime!$D77),0),
MATCH(CH_CostElements_Anytime!$C77,VDOHistorical[[#Headers],[Ausnet]:[Average]],0)),"-")</f>
        <v>181.75878095302619</v>
      </c>
      <c r="J77" s="106" cm="1">
        <f t="array" ref="J77">IFERROR(INDEX(VDOHistorical[[Ausnet]:[Average]],
MATCH(1,(VDOHistorical[[Cost element]:[Cost element]]=CH_CostElements_Anytime!J$52)*(VDOHistorical[[Customer type]:[Customer type]]=$D$50)*(VDOHistorical[[VDO decision]:[VDO decision]]=CH_CostElements_Anytime!$D77),0),
MATCH(CH_CostElements_Anytime!$C77,VDOHistorical[[#Headers],[Ausnet]:[Average]],0)),"-")</f>
        <v>96.284429634343809</v>
      </c>
      <c r="K77" s="212" cm="1">
        <f t="array" ref="K77">IFERROR(INDEX(VDOHistorical[[Ausnet]:[Average]],
MATCH(1,(VDOHistorical[[Cost element]:[Cost element]]=CH_CostElements_Anytime!K$52)*(VDOHistorical[[Customer type]:[Customer type]]=$D$50)*(VDOHistorical[[VDO decision]:[VDO decision]]=CH_CostElements_Anytime!$D77),0),
MATCH(CH_CostElements_Anytime!$C77,VDOHistorical[[#Headers],[Ausnet]:[Average]],0)),"-")</f>
        <v>0</v>
      </c>
      <c r="L77" s="106" cm="1">
        <f t="array" ref="L77">IFERROR(INDEX(VDOHistorical[[Ausnet]:[Average]],
MATCH(1,(VDOHistorical[[Cost element]:[Cost element]]=CH_CostElements_Anytime!L$52)*(VDOHistorical[[Customer type]:[Customer type]]=$D$50)*(VDOHistorical[[VDO decision]:[VDO decision]]=CH_CostElements_Anytime!$D77),0),
MATCH(CH_CostElements_Anytime!$C77,VDOHistorical[[#Headers],[Ausnet]:[Average]],0)),"-")</f>
        <v>10.849248189087444</v>
      </c>
      <c r="M77" s="106" cm="1">
        <f t="array" ref="M77">IFERROR(INDEX(VDOHistorical[[Ausnet]:[Average]],
MATCH(1,(VDOHistorical[[Cost element]:[Cost element]]=CH_CostElements_Anytime!M$52)*(VDOHistorical[[Customer type]:[Customer type]]=$D$50)*(VDOHistorical[[VDO decision]:[VDO decision]]=CH_CostElements_Anytime!$D77),0),
MATCH(CH_CostElements_Anytime!$C77,VDOHistorical[[#Headers],[Ausnet]:[Average]],0)),"-")</f>
        <v>9.1735756164268238</v>
      </c>
      <c r="N77" s="106" cm="1">
        <f t="array" ref="N77">IFERROR(INDEX(VDOHistorical[[Ausnet]:[Average]],
MATCH(1,(VDOHistorical[[Cost element]:[Cost element]]=CH_CostElements_Anytime!N$52)*(VDOHistorical[[Customer type]:[Customer type]]=$D$50)*(VDOHistorical[[VDO decision]:[VDO decision]]=CH_CostElements_Anytime!$D77),0),
MATCH(CH_CostElements_Anytime!$C77,VDOHistorical[[#Headers],[Ausnet]:[Average]],0)),"-")</f>
        <v>71.818399537959564</v>
      </c>
      <c r="O77" s="106" cm="1">
        <f t="array" ref="O77">IFERROR(INDEX(VDOHistorical[[Ausnet]:[Average]],
MATCH(1,(VDOHistorical[[Cost element]:[Cost element]]=CH_CostElements_Anytime!O$52)*(VDOHistorical[[Customer type]:[Customer type]]=$D$50)*(VDOHistorical[[VDO decision]:[VDO decision]]=CH_CostElements_Anytime!$D77),0),
MATCH(CH_CostElements_Anytime!$C77,VDOHistorical[[#Headers],[Ausnet]:[Average]],0)),"-")</f>
        <v>126.08647495041774</v>
      </c>
      <c r="Q77" s="218">
        <f t="shared" si="3"/>
        <v>0</v>
      </c>
    </row>
    <row r="78" spans="3:17" x14ac:dyDescent="0.25">
      <c r="C78" t="s">
        <v>280</v>
      </c>
      <c r="D78" t="s">
        <v>608</v>
      </c>
      <c r="E78" s="213" cm="1">
        <f t="array" ref="E78">IFERROR(INDEX(VDOHistorical[[Ausnet]:[Average]],
MATCH(1,(VDOHistorical[[Cost element]:[Cost element]]=CH_CostElements_Anytime!E$52)*(VDOHistorical[[Customer type]:[Customer type]]=$D$50)*(VDOHistorical[[VDO decision]:[VDO decision]]=CH_CostElements_Anytime!$D78),0),
MATCH(CH_CostElements_Anytime!$C78,VDOHistorical[[#Headers],[Ausnet]:[Average]],0)),"-")</f>
        <v>1424.6087218319676</v>
      </c>
      <c r="F78" s="106" cm="1">
        <f t="array" ref="F78">IFERROR(INDEX(VDOHistorical[[Ausnet]:[Average]],
MATCH(1,(VDOHistorical[[Cost element]:[Cost element]]=CH_CostElements_Anytime!F$52)*(VDOHistorical[[Customer type]:[Customer type]]=$D$50)*(VDOHistorical[[VDO decision]:[VDO decision]]=CH_CostElements_Anytime!$D78),0),
MATCH(CH_CostElements_Anytime!$C78,VDOHistorical[[#Headers],[Ausnet]:[Average]],0)),"-")</f>
        <v>396.08606905449994</v>
      </c>
      <c r="G78" s="212" cm="1">
        <f t="array" ref="G78">IFERROR(INDEX(VDOHistorical[[Ausnet]:[Average]],
MATCH(1,(VDOHistorical[[Cost element]:[Cost element]]=CH_CostElements_Anytime!G$52)*(VDOHistorical[[Customer type]:[Customer type]]=$D$50)*(VDOHistorical[[VDO decision]:[VDO decision]]=CH_CostElements_Anytime!$D78),0),
MATCH(CH_CostElements_Anytime!$C78,VDOHistorical[[#Headers],[Ausnet]:[Average]],0)),"-")</f>
        <v>523.97749999999996</v>
      </c>
      <c r="H78" s="212" cm="1">
        <f t="array" ref="H78">IFERROR(INDEX(VDOHistorical[[Ausnet]:[Average]],
MATCH(1,(VDOHistorical[[Cost element]:[Cost element]]=CH_CostElements_Anytime!H$52)*(VDOHistorical[[Customer type]:[Customer type]]=$D$50)*(VDOHistorical[[VDO decision]:[VDO decision]]=CH_CostElements_Anytime!$D78),0),
MATCH(CH_CostElements_Anytime!$C78,VDOHistorical[[#Headers],[Ausnet]:[Average]],0)),"-")</f>
        <v>0</v>
      </c>
      <c r="I78" s="106" cm="1">
        <f t="array" ref="I78">IFERROR(INDEX(VDOHistorical[[Ausnet]:[Average]],
MATCH(1,(VDOHistorical[[Cost element]:[Cost element]]=CH_CostElements_Anytime!I$52)*(VDOHistorical[[Customer type]:[Customer type]]=$D$50)*(VDOHistorical[[VDO decision]:[VDO decision]]=CH_CostElements_Anytime!$D78),0),
MATCH(CH_CostElements_Anytime!$C78,VDOHistorical[[#Headers],[Ausnet]:[Average]],0)),"-")</f>
        <v>181.75878095302619</v>
      </c>
      <c r="J78" s="106" cm="1">
        <f t="array" ref="J78">IFERROR(INDEX(VDOHistorical[[Ausnet]:[Average]],
MATCH(1,(VDOHistorical[[Cost element]:[Cost element]]=CH_CostElements_Anytime!J$52)*(VDOHistorical[[Customer type]:[Customer type]]=$D$50)*(VDOHistorical[[VDO decision]:[VDO decision]]=CH_CostElements_Anytime!$D78),0),
MATCH(CH_CostElements_Anytime!$C78,VDOHistorical[[#Headers],[Ausnet]:[Average]],0)),"-")</f>
        <v>99.387119975088339</v>
      </c>
      <c r="K78" s="212" cm="1">
        <f t="array" ref="K78">IFERROR(INDEX(VDOHistorical[[Ausnet]:[Average]],
MATCH(1,(VDOHistorical[[Cost element]:[Cost element]]=CH_CostElements_Anytime!K$52)*(VDOHistorical[[Customer type]:[Customer type]]=$D$50)*(VDOHistorical[[VDO decision]:[VDO decision]]=CH_CostElements_Anytime!$D78),0),
MATCH(CH_CostElements_Anytime!$C78,VDOHistorical[[#Headers],[Ausnet]:[Average]],0)),"-")</f>
        <v>0</v>
      </c>
      <c r="L78" s="106" cm="1">
        <f t="array" ref="L78">IFERROR(INDEX(VDOHistorical[[Ausnet]:[Average]],
MATCH(1,(VDOHistorical[[Cost element]:[Cost element]]=CH_CostElements_Anytime!L$52)*(VDOHistorical[[Customer type]:[Customer type]]=$D$50)*(VDOHistorical[[VDO decision]:[VDO decision]]=CH_CostElements_Anytime!$D78),0),
MATCH(CH_CostElements_Anytime!$C78,VDOHistorical[[#Headers],[Ausnet]:[Average]],0)),"-")</f>
        <v>10.849248189087444</v>
      </c>
      <c r="M78" s="106" cm="1">
        <f t="array" ref="M78">IFERROR(INDEX(VDOHistorical[[Ausnet]:[Average]],
MATCH(1,(VDOHistorical[[Cost element]:[Cost element]]=CH_CostElements_Anytime!M$52)*(VDOHistorical[[Customer type]:[Customer type]]=$D$50)*(VDOHistorical[[VDO decision]:[VDO decision]]=CH_CostElements_Anytime!$D78),0),
MATCH(CH_CostElements_Anytime!$C78,VDOHistorical[[#Headers],[Ausnet]:[Average]],0)),"-")</f>
        <v>9.2717590341275518</v>
      </c>
      <c r="N78" s="106" cm="1">
        <f t="array" ref="N78">IFERROR(INDEX(VDOHistorical[[Ausnet]:[Average]],
MATCH(1,(VDOHistorical[[Cost element]:[Cost element]]=CH_CostElements_Anytime!N$52)*(VDOHistorical[[Customer type]:[Customer type]]=$D$50)*(VDOHistorical[[VDO decision]:[VDO decision]]=CH_CostElements_Anytime!$D78),0),
MATCH(CH_CostElements_Anytime!$C78,VDOHistorical[[#Headers],[Ausnet]:[Average]],0)),"-")</f>
        <v>73.768360823232086</v>
      </c>
      <c r="O78" s="106" cm="1">
        <f t="array" ref="O78">IFERROR(INDEX(VDOHistorical[[Ausnet]:[Average]],
MATCH(1,(VDOHistorical[[Cost element]:[Cost element]]=CH_CostElements_Anytime!O$52)*(VDOHistorical[[Customer type]:[Customer type]]=$D$50)*(VDOHistorical[[VDO decision]:[VDO decision]]=CH_CostElements_Anytime!$D78),0),
MATCH(CH_CostElements_Anytime!$C78,VDOHistorical[[#Headers],[Ausnet]:[Average]],0)),"-")</f>
        <v>129.50988380290616</v>
      </c>
      <c r="Q78" s="218">
        <f t="shared" si="3"/>
        <v>0</v>
      </c>
    </row>
    <row r="79" spans="3:17" x14ac:dyDescent="0.25">
      <c r="C79" t="s">
        <v>281</v>
      </c>
      <c r="D79" t="s">
        <v>608</v>
      </c>
      <c r="E79" s="213" cm="1">
        <f t="array" ref="E79">IFERROR(INDEX(VDOHistorical[[Ausnet]:[Average]],
MATCH(1,(VDOHistorical[[Cost element]:[Cost element]]=CH_CostElements_Anytime!E$52)*(VDOHistorical[[Customer type]:[Customer type]]=$D$50)*(VDOHistorical[[VDO decision]:[VDO decision]]=CH_CostElements_Anytime!$D79),0),
MATCH(CH_CostElements_Anytime!$C79,VDOHistorical[[#Headers],[Ausnet]:[Average]],0)),"-")</f>
        <v>1350.013434754539</v>
      </c>
      <c r="F79" s="106" cm="1">
        <f t="array" ref="F79">IFERROR(INDEX(VDOHistorical[[Ausnet]:[Average]],
MATCH(1,(VDOHistorical[[Cost element]:[Cost element]]=CH_CostElements_Anytime!F$52)*(VDOHistorical[[Customer type]:[Customer type]]=$D$50)*(VDOHistorical[[VDO decision]:[VDO decision]]=CH_CostElements_Anytime!$D79),0),
MATCH(CH_CostElements_Anytime!$C79,VDOHistorical[[#Headers],[Ausnet]:[Average]],0)),"-")</f>
        <v>415.37045922372005</v>
      </c>
      <c r="G79" s="212" cm="1">
        <f t="array" ref="G79">IFERROR(INDEX(VDOHistorical[[Ausnet]:[Average]],
MATCH(1,(VDOHistorical[[Cost element]:[Cost element]]=CH_CostElements_Anytime!G$52)*(VDOHistorical[[Customer type]:[Customer type]]=$D$50)*(VDOHistorical[[VDO decision]:[VDO decision]]=CH_CostElements_Anytime!$D79),0),
MATCH(CH_CostElements_Anytime!$C79,VDOHistorical[[#Headers],[Ausnet]:[Average]],0)),"-")</f>
        <v>442.52800000000002</v>
      </c>
      <c r="H79" s="212" cm="1">
        <f t="array" ref="H79">IFERROR(INDEX(VDOHistorical[[Ausnet]:[Average]],
MATCH(1,(VDOHistorical[[Cost element]:[Cost element]]=CH_CostElements_Anytime!H$52)*(VDOHistorical[[Customer type]:[Customer type]]=$D$50)*(VDOHistorical[[VDO decision]:[VDO decision]]=CH_CostElements_Anytime!$D79),0),
MATCH(CH_CostElements_Anytime!$C79,VDOHistorical[[#Headers],[Ausnet]:[Average]],0)),"-")</f>
        <v>0</v>
      </c>
      <c r="I79" s="106" cm="1">
        <f t="array" ref="I79">IFERROR(INDEX(VDOHistorical[[Ausnet]:[Average]],
MATCH(1,(VDOHistorical[[Cost element]:[Cost element]]=CH_CostElements_Anytime!I$52)*(VDOHistorical[[Customer type]:[Customer type]]=$D$50)*(VDOHistorical[[VDO decision]:[VDO decision]]=CH_CostElements_Anytime!$D79),0),
MATCH(CH_CostElements_Anytime!$C79,VDOHistorical[[#Headers],[Ausnet]:[Average]],0)),"-")</f>
        <v>181.75878095302619</v>
      </c>
      <c r="J79" s="106" cm="1">
        <f t="array" ref="J79">IFERROR(INDEX(VDOHistorical[[Ausnet]:[Average]],
MATCH(1,(VDOHistorical[[Cost element]:[Cost element]]=CH_CostElements_Anytime!J$52)*(VDOHistorical[[Customer type]:[Customer type]]=$D$50)*(VDOHistorical[[VDO decision]:[VDO decision]]=CH_CostElements_Anytime!$D79),0),
MATCH(CH_CostElements_Anytime!$C79,VDOHistorical[[#Headers],[Ausnet]:[Average]],0)),"-")</f>
        <v>97.655775223080724</v>
      </c>
      <c r="K79" s="212" cm="1">
        <f t="array" ref="K79">IFERROR(INDEX(VDOHistorical[[Ausnet]:[Average]],
MATCH(1,(VDOHistorical[[Cost element]:[Cost element]]=CH_CostElements_Anytime!K$52)*(VDOHistorical[[Customer type]:[Customer type]]=$D$50)*(VDOHistorical[[VDO decision]:[VDO decision]]=CH_CostElements_Anytime!$D79),0),
MATCH(CH_CostElements_Anytime!$C79,VDOHistorical[[#Headers],[Ausnet]:[Average]],0)),"-")</f>
        <v>0</v>
      </c>
      <c r="L79" s="106" cm="1">
        <f t="array" ref="L79">IFERROR(INDEX(VDOHistorical[[Ausnet]:[Average]],
MATCH(1,(VDOHistorical[[Cost element]:[Cost element]]=CH_CostElements_Anytime!L$52)*(VDOHistorical[[Customer type]:[Customer type]]=$D$50)*(VDOHistorical[[VDO decision]:[VDO decision]]=CH_CostElements_Anytime!$D79),0),
MATCH(CH_CostElements_Anytime!$C79,VDOHistorical[[#Headers],[Ausnet]:[Average]],0)),"-")</f>
        <v>10.849248189087444</v>
      </c>
      <c r="M79" s="106" cm="1">
        <f t="array" ref="M79">IFERROR(INDEX(VDOHistorical[[Ausnet]:[Average]],
MATCH(1,(VDOHistorical[[Cost element]:[Cost element]]=CH_CostElements_Anytime!M$52)*(VDOHistorical[[Customer type]:[Customer type]]=$D$50)*(VDOHistorical[[VDO decision]:[VDO decision]]=CH_CostElements_Anytime!$D79),0),
MATCH(CH_CostElements_Anytime!$C79,VDOHistorical[[#Headers],[Ausnet]:[Average]],0)),"-")</f>
        <v>9.2169713091850962</v>
      </c>
      <c r="N79" s="106" cm="1">
        <f t="array" ref="N79">IFERROR(INDEX(VDOHistorical[[Ausnet]:[Average]],
MATCH(1,(VDOHistorical[[Cost element]:[Cost element]]=CH_CostElements_Anytime!N$52)*(VDOHistorical[[Customer type]:[Customer type]]=$D$50)*(VDOHistorical[[VDO decision]:[VDO decision]]=CH_CostElements_Anytime!$D79),0),
MATCH(CH_CostElements_Anytime!$C79,VDOHistorical[[#Headers],[Ausnet]:[Average]],0)),"-")</f>
        <v>69.905705787845207</v>
      </c>
      <c r="O79" s="106" cm="1">
        <f t="array" ref="O79">IFERROR(INDEX(VDOHistorical[[Ausnet]:[Average]],
MATCH(1,(VDOHistorical[[Cost element]:[Cost element]]=CH_CostElements_Anytime!O$52)*(VDOHistorical[[Customer type]:[Customer type]]=$D$50)*(VDOHistorical[[VDO decision]:[VDO decision]]=CH_CostElements_Anytime!$D79),0),
MATCH(CH_CostElements_Anytime!$C79,VDOHistorical[[#Headers],[Ausnet]:[Average]],0)),"-")</f>
        <v>122.72849406859446</v>
      </c>
      <c r="Q79" s="218">
        <f t="shared" si="3"/>
        <v>0</v>
      </c>
    </row>
    <row r="80" spans="3:17" x14ac:dyDescent="0.25">
      <c r="C80" t="s">
        <v>383</v>
      </c>
      <c r="D80" t="s">
        <v>608</v>
      </c>
      <c r="E80" s="213" cm="1">
        <f t="array" ref="E80">IFERROR(INDEX(VDOHistorical[[Ausnet]:[Average]],
MATCH(1,(VDOHistorical[[Cost element]:[Cost element]]=CH_CostElements_Anytime!E$52)*(VDOHistorical[[Customer type]:[Customer type]]=$D$50)*(VDOHistorical[[VDO decision]:[VDO decision]]=CH_CostElements_Anytime!$D80),0),
MATCH(CH_CostElements_Anytime!$C80,VDOHistorical[[#Headers],[Ausnet]:[Average]],0)),"-")</f>
        <v>1411.3749513429952</v>
      </c>
      <c r="F80" s="106" cm="1">
        <f t="array" ref="F80">IFERROR(INDEX(VDOHistorical[[Ausnet]:[Average]],
MATCH(1,(VDOHistorical[[Cost element]:[Cost element]]=CH_CostElements_Anytime!F$52)*(VDOHistorical[[Customer type]:[Customer type]]=$D$50)*(VDOHistorical[[VDO decision]:[VDO decision]]=CH_CostElements_Anytime!$D80),0),
MATCH(CH_CostElements_Anytime!$C80,VDOHistorical[[#Headers],[Ausnet]:[Average]],0)),"-")</f>
        <v>399.43883000330271</v>
      </c>
      <c r="G80" s="212" cm="1">
        <f t="array" ref="G80">IFERROR(INDEX(VDOHistorical[[Ausnet]:[Average]],
MATCH(1,(VDOHistorical[[Cost element]:[Cost element]]=CH_CostElements_Anytime!G$52)*(VDOHistorical[[Customer type]:[Customer type]]=$D$50)*(VDOHistorical[[VDO decision]:[VDO decision]]=CH_CostElements_Anytime!$D80),0),
MATCH(CH_CostElements_Anytime!$C80,VDOHistorical[[#Headers],[Ausnet]:[Average]],0)),"-")</f>
        <v>510.78450000000009</v>
      </c>
      <c r="H80" s="212" cm="1">
        <f t="array" ref="H80">IFERROR(INDEX(VDOHistorical[[Ausnet]:[Average]],
MATCH(1,(VDOHistorical[[Cost element]:[Cost element]]=CH_CostElements_Anytime!H$52)*(VDOHistorical[[Customer type]:[Customer type]]=$D$50)*(VDOHistorical[[VDO decision]:[VDO decision]]=CH_CostElements_Anytime!$D80),0),
MATCH(CH_CostElements_Anytime!$C80,VDOHistorical[[#Headers],[Ausnet]:[Average]],0)),"-")</f>
        <v>0</v>
      </c>
      <c r="I80" s="106" cm="1">
        <f t="array" ref="I80">IFERROR(INDEX(VDOHistorical[[Ausnet]:[Average]],
MATCH(1,(VDOHistorical[[Cost element]:[Cost element]]=CH_CostElements_Anytime!I$52)*(VDOHistorical[[Customer type]:[Customer type]]=$D$50)*(VDOHistorical[[VDO decision]:[VDO decision]]=CH_CostElements_Anytime!$D80),0),
MATCH(CH_CostElements_Anytime!$C80,VDOHistorical[[#Headers],[Ausnet]:[Average]],0)),"-")</f>
        <v>181.75878095302619</v>
      </c>
      <c r="J80" s="106" cm="1">
        <f t="array" ref="J80">IFERROR(INDEX(VDOHistorical[[Ausnet]:[Average]],
MATCH(1,(VDOHistorical[[Cost element]:[Cost element]]=CH_CostElements_Anytime!J$52)*(VDOHistorical[[Customer type]:[Customer type]]=$D$50)*(VDOHistorical[[VDO decision]:[VDO decision]]=CH_CostElements_Anytime!$D80),0),
MATCH(CH_CostElements_Anytime!$C80,VDOHistorical[[#Headers],[Ausnet]:[Average]],0)),"-")</f>
        <v>97.928093250321623</v>
      </c>
      <c r="K80" s="212" cm="1">
        <f t="array" ref="K80">IFERROR(INDEX(VDOHistorical[[Ausnet]:[Average]],
MATCH(1,(VDOHistorical[[Cost element]:[Cost element]]=CH_CostElements_Anytime!K$52)*(VDOHistorical[[Customer type]:[Customer type]]=$D$50)*(VDOHistorical[[VDO decision]:[VDO decision]]=CH_CostElements_Anytime!$D80),0),
MATCH(CH_CostElements_Anytime!$C80,VDOHistorical[[#Headers],[Ausnet]:[Average]],0)),"-")</f>
        <v>0</v>
      </c>
      <c r="L80" s="106" cm="1">
        <f t="array" ref="L80">IFERROR(INDEX(VDOHistorical[[Ausnet]:[Average]],
MATCH(1,(VDOHistorical[[Cost element]:[Cost element]]=CH_CostElements_Anytime!L$52)*(VDOHistorical[[Customer type]:[Customer type]]=$D$50)*(VDOHistorical[[VDO decision]:[VDO decision]]=CH_CostElements_Anytime!$D80),0),
MATCH(CH_CostElements_Anytime!$C80,VDOHistorical[[#Headers],[Ausnet]:[Average]],0)),"-")</f>
        <v>10.849248189087444</v>
      </c>
      <c r="M80" s="106" cm="1">
        <f t="array" ref="M80">IFERROR(INDEX(VDOHistorical[[Ausnet]:[Average]],
MATCH(1,(VDOHistorical[[Cost element]:[Cost element]]=CH_CostElements_Anytime!M$52)*(VDOHistorical[[Customer type]:[Customer type]]=$D$50)*(VDOHistorical[[VDO decision]:[VDO decision]]=CH_CostElements_Anytime!$D80),0),
MATCH(CH_CostElements_Anytime!$C80,VDOHistorical[[#Headers],[Ausnet]:[Average]],0)),"-")</f>
        <v>9.2255887062436805</v>
      </c>
      <c r="N80" s="106" cm="1">
        <f t="array" ref="N80">IFERROR(INDEX(VDOHistorical[[Ausnet]:[Average]],
MATCH(1,(VDOHistorical[[Cost element]:[Cost element]]=CH_CostElements_Anytime!N$52)*(VDOHistorical[[Customer type]:[Customer type]]=$D$50)*(VDOHistorical[[VDO decision]:[VDO decision]]=CH_CostElements_Anytime!$D80),0),
MATCH(CH_CostElements_Anytime!$C80,VDOHistorical[[#Headers],[Ausnet]:[Average]],0)),"-")</f>
        <v>73.083096482559682</v>
      </c>
      <c r="O80" s="106" cm="1">
        <f t="array" ref="O80">IFERROR(INDEX(VDOHistorical[[Ausnet]:[Average]],
MATCH(1,(VDOHistorical[[Cost element]:[Cost element]]=CH_CostElements_Anytime!O$52)*(VDOHistorical[[Customer type]:[Customer type]]=$D$50)*(VDOHistorical[[VDO decision]:[VDO decision]]=CH_CostElements_Anytime!$D80),0),
MATCH(CH_CostElements_Anytime!$C80,VDOHistorical[[#Headers],[Ausnet]:[Average]],0)),"-")</f>
        <v>128.30681375845415</v>
      </c>
      <c r="Q80" s="218">
        <f t="shared" si="3"/>
        <v>0</v>
      </c>
    </row>
    <row r="81" spans="3:17" x14ac:dyDescent="0.25">
      <c r="M81" s="136"/>
      <c r="Q81" s="138"/>
    </row>
    <row r="82" spans="3:17" ht="15.75" x14ac:dyDescent="0.25">
      <c r="E82" s="43" t="s">
        <v>610</v>
      </c>
      <c r="K82" s="136"/>
      <c r="Q82" s="138"/>
    </row>
    <row r="83" spans="3:17" x14ac:dyDescent="0.25">
      <c r="D83" t="s">
        <v>266</v>
      </c>
      <c r="E83" s="2">
        <v>0.6</v>
      </c>
      <c r="K83" s="136"/>
      <c r="Q83" s="138"/>
    </row>
    <row r="84" spans="3:17" x14ac:dyDescent="0.25">
      <c r="D84" t="s">
        <v>608</v>
      </c>
      <c r="E84" s="2">
        <v>0.4</v>
      </c>
      <c r="K84" s="136"/>
      <c r="Q84" s="138"/>
    </row>
    <row r="85" spans="3:17" x14ac:dyDescent="0.25">
      <c r="K85" s="136"/>
      <c r="Q85" s="138"/>
    </row>
    <row r="86" spans="3:17" x14ac:dyDescent="0.25">
      <c r="C86" t="s">
        <v>277</v>
      </c>
      <c r="D86" t="s">
        <v>609</v>
      </c>
      <c r="E86" s="215">
        <f t="shared" ref="E86:O86" si="4">IFERROR((E68*$E$83)+(E75*$E$84),"-")</f>
        <v>1527.5126372984341</v>
      </c>
      <c r="F86" s="144">
        <f t="shared" si="4"/>
        <v>403.34196766499997</v>
      </c>
      <c r="G86" s="146">
        <f t="shared" si="4"/>
        <v>605.3288</v>
      </c>
      <c r="H86" s="146">
        <f t="shared" si="4"/>
        <v>0</v>
      </c>
      <c r="I86" s="144">
        <f t="shared" si="4"/>
        <v>181.75878095302619</v>
      </c>
      <c r="J86" s="144">
        <f t="shared" si="4"/>
        <v>99.012279151499143</v>
      </c>
      <c r="K86" s="146">
        <f t="shared" si="4"/>
        <v>0</v>
      </c>
      <c r="L86" s="144">
        <f t="shared" si="4"/>
        <v>10.849248189087444</v>
      </c>
      <c r="M86" s="144">
        <f t="shared" si="4"/>
        <v>9.2598973434295004</v>
      </c>
      <c r="N86" s="144">
        <f t="shared" si="4"/>
        <v>79.096878787443359</v>
      </c>
      <c r="O86" s="144">
        <f t="shared" si="4"/>
        <v>138.86478520894858</v>
      </c>
      <c r="Q86" s="218">
        <f t="shared" ref="Q86:Q91" si="5">IF(ROUND(E86,8)=ROUND(SUM(F86:O86),8),0,1)</f>
        <v>0</v>
      </c>
    </row>
    <row r="87" spans="3:17" x14ac:dyDescent="0.25">
      <c r="C87" t="s">
        <v>278</v>
      </c>
      <c r="D87" t="s">
        <v>609</v>
      </c>
      <c r="E87" s="215">
        <f t="shared" ref="E87:O87" si="6">IFERROR((E69*$E$83)+(E76*$E$84),"-")</f>
        <v>1295.9609961914409</v>
      </c>
      <c r="F87" s="144">
        <f t="shared" si="6"/>
        <v>374.60133849995998</v>
      </c>
      <c r="G87" s="146">
        <f t="shared" si="6"/>
        <v>437.32359999999994</v>
      </c>
      <c r="H87" s="146">
        <f t="shared" si="6"/>
        <v>0</v>
      </c>
      <c r="I87" s="144">
        <f t="shared" si="6"/>
        <v>181.75878095302619</v>
      </c>
      <c r="J87" s="144">
        <f t="shared" si="6"/>
        <v>97.300862267596088</v>
      </c>
      <c r="K87" s="146">
        <f t="shared" si="6"/>
        <v>0</v>
      </c>
      <c r="L87" s="144">
        <f t="shared" si="6"/>
        <v>10.849248189087444</v>
      </c>
      <c r="M87" s="144">
        <f t="shared" si="6"/>
        <v>9.2057402280494305</v>
      </c>
      <c r="N87" s="144">
        <f t="shared" si="6"/>
        <v>67.10679003631823</v>
      </c>
      <c r="O87" s="144">
        <f t="shared" si="6"/>
        <v>117.81463601740373</v>
      </c>
      <c r="Q87" s="218">
        <f t="shared" si="5"/>
        <v>0</v>
      </c>
    </row>
    <row r="88" spans="3:17" x14ac:dyDescent="0.25">
      <c r="C88" t="s">
        <v>279</v>
      </c>
      <c r="D88" t="s">
        <v>609</v>
      </c>
      <c r="E88" s="215">
        <f t="shared" ref="E88:O88" si="7">IFERROR((E70*$E$83)+(E77*$E$84),"-")</f>
        <v>1351.0370034305952</v>
      </c>
      <c r="F88" s="144">
        <f t="shared" si="7"/>
        <v>407.79431557333345</v>
      </c>
      <c r="G88" s="146">
        <f t="shared" si="7"/>
        <v>452.39640000000003</v>
      </c>
      <c r="H88" s="146">
        <f t="shared" si="7"/>
        <v>0</v>
      </c>
      <c r="I88" s="144">
        <f t="shared" si="7"/>
        <v>181.75878095302619</v>
      </c>
      <c r="J88" s="144">
        <f t="shared" si="7"/>
        <v>96.284429634343809</v>
      </c>
      <c r="K88" s="146">
        <f t="shared" si="7"/>
        <v>0</v>
      </c>
      <c r="L88" s="144">
        <f t="shared" si="7"/>
        <v>10.849248189087444</v>
      </c>
      <c r="M88" s="144">
        <f t="shared" si="7"/>
        <v>9.1735756164268238</v>
      </c>
      <c r="N88" s="144">
        <f t="shared" si="7"/>
        <v>69.958707697959568</v>
      </c>
      <c r="O88" s="144">
        <f t="shared" si="7"/>
        <v>122.82154576641773</v>
      </c>
      <c r="Q88" s="218">
        <f t="shared" si="5"/>
        <v>0</v>
      </c>
    </row>
    <row r="89" spans="3:17" x14ac:dyDescent="0.25">
      <c r="C89" t="s">
        <v>280</v>
      </c>
      <c r="D89" t="s">
        <v>609</v>
      </c>
      <c r="E89" s="215">
        <f t="shared" ref="E89:O89" si="8">IFERROR((E71*$E$83)+(E78*$E$84),"-")</f>
        <v>1390.4011191719678</v>
      </c>
      <c r="F89" s="144">
        <f t="shared" si="8"/>
        <v>396.08606905449994</v>
      </c>
      <c r="G89" s="146">
        <f t="shared" si="8"/>
        <v>494.65100000000001</v>
      </c>
      <c r="H89" s="146">
        <f t="shared" si="8"/>
        <v>0</v>
      </c>
      <c r="I89" s="144">
        <f t="shared" si="8"/>
        <v>181.75878095302619</v>
      </c>
      <c r="J89" s="144">
        <f t="shared" si="8"/>
        <v>99.387119975088353</v>
      </c>
      <c r="K89" s="146">
        <f t="shared" si="8"/>
        <v>0</v>
      </c>
      <c r="L89" s="144">
        <f t="shared" si="8"/>
        <v>10.849248189087444</v>
      </c>
      <c r="M89" s="144">
        <f t="shared" si="8"/>
        <v>9.2717590341275518</v>
      </c>
      <c r="N89" s="144">
        <f t="shared" si="8"/>
        <v>71.997040223232091</v>
      </c>
      <c r="O89" s="144">
        <f t="shared" si="8"/>
        <v>126.40010174290616</v>
      </c>
      <c r="Q89" s="218">
        <f t="shared" si="5"/>
        <v>0</v>
      </c>
    </row>
    <row r="90" spans="3:17" x14ac:dyDescent="0.25">
      <c r="C90" t="s">
        <v>281</v>
      </c>
      <c r="D90" t="s">
        <v>609</v>
      </c>
      <c r="E90" s="215">
        <f t="shared" ref="E90:O90" si="9">IFERROR((E72*$E$83)+(E79*$E$84),"-")</f>
        <v>1331.0835132825393</v>
      </c>
      <c r="F90" s="144">
        <f t="shared" si="9"/>
        <v>415.37045922372005</v>
      </c>
      <c r="G90" s="146">
        <f t="shared" si="9"/>
        <v>426.29920000000004</v>
      </c>
      <c r="H90" s="146">
        <f t="shared" si="9"/>
        <v>0</v>
      </c>
      <c r="I90" s="144">
        <f t="shared" si="9"/>
        <v>181.75878095302619</v>
      </c>
      <c r="J90" s="144">
        <f t="shared" si="9"/>
        <v>97.655775223080724</v>
      </c>
      <c r="K90" s="146">
        <f t="shared" si="9"/>
        <v>0</v>
      </c>
      <c r="L90" s="144">
        <f t="shared" si="9"/>
        <v>10.849248189087444</v>
      </c>
      <c r="M90" s="144">
        <f t="shared" si="9"/>
        <v>9.2169713091850962</v>
      </c>
      <c r="N90" s="144">
        <f t="shared" si="9"/>
        <v>68.925486267845216</v>
      </c>
      <c r="O90" s="144">
        <f t="shared" si="9"/>
        <v>121.00759211659448</v>
      </c>
      <c r="Q90" s="218">
        <f t="shared" si="5"/>
        <v>0</v>
      </c>
    </row>
    <row r="91" spans="3:17" x14ac:dyDescent="0.25">
      <c r="C91" t="s">
        <v>383</v>
      </c>
      <c r="D91" t="s">
        <v>609</v>
      </c>
      <c r="E91" s="215">
        <f t="shared" ref="E91:O91" si="10">IFERROR((E73*$E$83)+(E80*$E$84),"-")</f>
        <v>1379.1990538749956</v>
      </c>
      <c r="F91" s="144">
        <f t="shared" si="10"/>
        <v>399.43883000330271</v>
      </c>
      <c r="G91" s="146">
        <f t="shared" si="10"/>
        <v>483.19979999999998</v>
      </c>
      <c r="H91" s="146">
        <f t="shared" si="10"/>
        <v>0</v>
      </c>
      <c r="I91" s="144">
        <f t="shared" si="10"/>
        <v>181.75878095302619</v>
      </c>
      <c r="J91" s="144">
        <f t="shared" si="10"/>
        <v>97.928093250321638</v>
      </c>
      <c r="K91" s="146">
        <f t="shared" si="10"/>
        <v>0</v>
      </c>
      <c r="L91" s="144">
        <f t="shared" si="10"/>
        <v>10.849248189087444</v>
      </c>
      <c r="M91" s="144">
        <f t="shared" si="10"/>
        <v>9.2255887062436805</v>
      </c>
      <c r="N91" s="144">
        <f t="shared" si="10"/>
        <v>71.41698060255969</v>
      </c>
      <c r="O91" s="144">
        <f t="shared" si="10"/>
        <v>125.38173217045414</v>
      </c>
      <c r="Q91" s="218">
        <f t="shared" si="5"/>
        <v>0</v>
      </c>
    </row>
    <row r="92" spans="3:17" x14ac:dyDescent="0.25">
      <c r="E92" s="214"/>
      <c r="K92" s="136"/>
      <c r="Q92" s="138"/>
    </row>
    <row r="93" spans="3:17" x14ac:dyDescent="0.25">
      <c r="E93" s="214"/>
      <c r="G93" s="232"/>
      <c r="K93" s="136"/>
      <c r="Q93" s="138"/>
    </row>
    <row r="94" spans="3:17" x14ac:dyDescent="0.25">
      <c r="E94" s="214"/>
      <c r="K94" s="136"/>
      <c r="Q94" s="138"/>
    </row>
    <row r="95" spans="3:17" ht="15.75" x14ac:dyDescent="0.25">
      <c r="C95" s="55" t="s">
        <v>618</v>
      </c>
      <c r="D95" s="24" t="str">
        <f>D75</f>
        <v>VDO 2021 Variation - Final</v>
      </c>
      <c r="E95" s="214"/>
      <c r="K95" s="136"/>
      <c r="Q95" s="138"/>
    </row>
    <row r="96" spans="3:17" x14ac:dyDescent="0.25">
      <c r="E96" s="214"/>
      <c r="K96" s="136"/>
      <c r="Q96" s="138"/>
    </row>
    <row r="97" spans="3:19" x14ac:dyDescent="0.25">
      <c r="C97" t="s">
        <v>277</v>
      </c>
      <c r="D97" s="219" t="str">
        <f>$D$95</f>
        <v>VDO 2021 Variation - Final</v>
      </c>
      <c r="E97" s="106" cm="1">
        <f t="array" ref="E97">INDEX($E$75:$O$91,MATCH(1,($D$75:$D$91=$D97)*($C$75:$C$91=$C97),0),MATCH(E$52,$E$52:$O$52,0))</f>
        <v>1559.5818055064342</v>
      </c>
      <c r="F97" s="106" cm="1">
        <f t="array" ref="F97">INDEX($E$75:$O$91,MATCH(1,($D$75:$D$91=$D97)*($C$75:$C$91=$C97),0),MATCH(F$52,$E$52:$O$52,0))</f>
        <v>403.34196766499991</v>
      </c>
      <c r="G97" s="106" cm="1">
        <f t="array" ref="G97">INDEX($E$75:$O$91,MATCH(1,($D$75:$D$91=$D97)*($C$75:$C$91=$C97),0),MATCH(G$52,$E$52:$O$52,0))</f>
        <v>632.82200000000012</v>
      </c>
      <c r="H97" s="106" cm="1">
        <f t="array" ref="H97">INDEX($E$75:$O$91,MATCH(1,($D$75:$D$91=$D97)*($C$75:$C$91=$C97),0),MATCH(H$52,$E$52:$O$52,0))</f>
        <v>0</v>
      </c>
      <c r="I97" s="106" cm="1">
        <f t="array" ref="I97">INDEX($E$75:$O$91,MATCH(1,($D$75:$D$91=$D97)*($C$75:$C$91=$C97),0),MATCH(I$52,$E$52:$O$52,0))</f>
        <v>181.75878095302619</v>
      </c>
      <c r="J97" s="106" cm="1">
        <f t="array" ref="J97">INDEX($E$75:$O$91,MATCH(1,($D$75:$D$91=$D97)*($C$75:$C$91=$C97),0),MATCH(J$52,$E$52:$O$52,0))</f>
        <v>99.012279151499143</v>
      </c>
      <c r="K97" s="106" cm="1">
        <f t="array" ref="K97">INDEX($E$75:$O$91,MATCH(1,($D$75:$D$91=$D97)*($C$75:$C$91=$C97),0),MATCH(K$52,$E$52:$O$52,0))</f>
        <v>0</v>
      </c>
      <c r="L97" s="106" cm="1">
        <f t="array" ref="L97">INDEX($E$75:$O$91,MATCH(1,($D$75:$D$91=$D97)*($C$75:$C$91=$C97),0),MATCH(L$52,$E$52:$O$52,0))</f>
        <v>10.849248189087444</v>
      </c>
      <c r="M97" s="106" cm="1">
        <f t="array" ref="M97">INDEX($E$75:$O$91,MATCH(1,($D$75:$D$91=$D97)*($C$75:$C$91=$C97),0),MATCH(M$52,$E$52:$O$52,0))</f>
        <v>9.2598973434295004</v>
      </c>
      <c r="N97" s="106" cm="1">
        <f t="array" ref="N97">INDEX($E$75:$O$91,MATCH(1,($D$75:$D$91=$D97)*($C$75:$C$91=$C97),0),MATCH(N$52,$E$52:$O$52,0))</f>
        <v>80.757468067443355</v>
      </c>
      <c r="O97" s="106" cm="1">
        <f t="array" ref="O97">INDEX($E$75:$O$91,MATCH(1,($D$75:$D$91=$D97)*($C$75:$C$91=$C97),0),MATCH(O$52,$E$52:$O$52,0))</f>
        <v>141.78016413694857</v>
      </c>
      <c r="Q97" s="138"/>
    </row>
    <row r="98" spans="3:19" x14ac:dyDescent="0.25">
      <c r="C98" t="s">
        <v>278</v>
      </c>
      <c r="D98" s="219" t="str">
        <f t="shared" ref="D98:D102" si="11">$D$95</f>
        <v>VDO 2021 Variation - Final</v>
      </c>
      <c r="E98" s="106" cm="1">
        <f t="array" ref="E98">INDEX($E$75:$O$91,MATCH(1,($D$75:$D$91=$D98)*($C$75:$C$91=$C98),0),MATCH(E$52,$E$52:$O$52,0))</f>
        <v>1335.7195701674411</v>
      </c>
      <c r="F98" s="106" cm="1">
        <f t="array" ref="F98">INDEX($E$75:$O$91,MATCH(1,($D$75:$D$91=$D98)*($C$75:$C$91=$C98),0),MATCH(F$52,$E$52:$O$52,0))</f>
        <v>374.60133849995998</v>
      </c>
      <c r="G98" s="106" cm="1">
        <f t="array" ref="G98">INDEX($E$75:$O$91,MATCH(1,($D$75:$D$91=$D98)*($C$75:$C$91=$C98),0),MATCH(G$52,$E$52:$O$52,0))</f>
        <v>471.40899999999999</v>
      </c>
      <c r="H98" s="106" cm="1">
        <f t="array" ref="H98">INDEX($E$75:$O$91,MATCH(1,($D$75:$D$91=$D98)*($C$75:$C$91=$C98),0),MATCH(H$52,$E$52:$O$52,0))</f>
        <v>0</v>
      </c>
      <c r="I98" s="106" cm="1">
        <f t="array" ref="I98">INDEX($E$75:$O$91,MATCH(1,($D$75:$D$91=$D98)*($C$75:$C$91=$C98),0),MATCH(I$52,$E$52:$O$52,0))</f>
        <v>181.75878095302619</v>
      </c>
      <c r="J98" s="106" cm="1">
        <f t="array" ref="J98">INDEX($E$75:$O$91,MATCH(1,($D$75:$D$91=$D98)*($C$75:$C$91=$C98),0),MATCH(J$52,$E$52:$O$52,0))</f>
        <v>97.300862267596088</v>
      </c>
      <c r="K98" s="106" cm="1">
        <f t="array" ref="K98">INDEX($E$75:$O$91,MATCH(1,($D$75:$D$91=$D98)*($C$75:$C$91=$C98),0),MATCH(K$52,$E$52:$O$52,0))</f>
        <v>0</v>
      </c>
      <c r="L98" s="106" cm="1">
        <f t="array" ref="L98">INDEX($E$75:$O$91,MATCH(1,($D$75:$D$91=$D98)*($C$75:$C$91=$C98),0),MATCH(L$52,$E$52:$O$52,0))</f>
        <v>10.849248189087444</v>
      </c>
      <c r="M98" s="106" cm="1">
        <f t="array" ref="M98">INDEX($E$75:$O$91,MATCH(1,($D$75:$D$91=$D98)*($C$75:$C$91=$C98),0),MATCH(M$52,$E$52:$O$52,0))</f>
        <v>9.2057402280494305</v>
      </c>
      <c r="N98" s="106" cm="1">
        <f t="array" ref="N98">INDEX($E$75:$O$91,MATCH(1,($D$75:$D$91=$D98)*($C$75:$C$91=$C98),0),MATCH(N$52,$E$52:$O$52,0))</f>
        <v>69.165548196318241</v>
      </c>
      <c r="O98" s="106" cm="1">
        <f t="array" ref="O98">INDEX($E$75:$O$91,MATCH(1,($D$75:$D$91=$D98)*($C$75:$C$91=$C98),0),MATCH(O$52,$E$52:$O$52,0))</f>
        <v>121.42905183340375</v>
      </c>
      <c r="Q98" s="138"/>
    </row>
    <row r="99" spans="3:19" x14ac:dyDescent="0.25">
      <c r="C99" t="s">
        <v>279</v>
      </c>
      <c r="D99" s="219" t="str">
        <f t="shared" si="11"/>
        <v>VDO 2021 Variation - Final</v>
      </c>
      <c r="E99" s="106" cm="1">
        <f t="array" ref="E99">INDEX($E$75:$O$91,MATCH(1,($D$75:$D$91=$D99)*($C$75:$C$91=$C99),0),MATCH(E$52,$E$52:$O$52,0))</f>
        <v>1386.9512244545951</v>
      </c>
      <c r="F99" s="106" cm="1">
        <f t="array" ref="F99">INDEX($E$75:$O$91,MATCH(1,($D$75:$D$91=$D99)*($C$75:$C$91=$C99),0),MATCH(F$52,$E$52:$O$52,0))</f>
        <v>407.79431557333345</v>
      </c>
      <c r="G99" s="106" cm="1">
        <f t="array" ref="G99">INDEX($E$75:$O$91,MATCH(1,($D$75:$D$91=$D99)*($C$75:$C$91=$C99),0),MATCH(G$52,$E$52:$O$52,0))</f>
        <v>483.18600000000004</v>
      </c>
      <c r="H99" s="106" cm="1">
        <f t="array" ref="H99">INDEX($E$75:$O$91,MATCH(1,($D$75:$D$91=$D99)*($C$75:$C$91=$C99),0),MATCH(H$52,$E$52:$O$52,0))</f>
        <v>0</v>
      </c>
      <c r="I99" s="106" cm="1">
        <f t="array" ref="I99">INDEX($E$75:$O$91,MATCH(1,($D$75:$D$91=$D99)*($C$75:$C$91=$C99),0),MATCH(I$52,$E$52:$O$52,0))</f>
        <v>181.75878095302619</v>
      </c>
      <c r="J99" s="106" cm="1">
        <f t="array" ref="J99">INDEX($E$75:$O$91,MATCH(1,($D$75:$D$91=$D99)*($C$75:$C$91=$C99),0),MATCH(J$52,$E$52:$O$52,0))</f>
        <v>96.284429634343809</v>
      </c>
      <c r="K99" s="106" cm="1">
        <f t="array" ref="K99">INDEX($E$75:$O$91,MATCH(1,($D$75:$D$91=$D99)*($C$75:$C$91=$C99),0),MATCH(K$52,$E$52:$O$52,0))</f>
        <v>0</v>
      </c>
      <c r="L99" s="106" cm="1">
        <f t="array" ref="L99">INDEX($E$75:$O$91,MATCH(1,($D$75:$D$91=$D99)*($C$75:$C$91=$C99),0),MATCH(L$52,$E$52:$O$52,0))</f>
        <v>10.849248189087444</v>
      </c>
      <c r="M99" s="106" cm="1">
        <f t="array" ref="M99">INDEX($E$75:$O$91,MATCH(1,($D$75:$D$91=$D99)*($C$75:$C$91=$C99),0),MATCH(M$52,$E$52:$O$52,0))</f>
        <v>9.1735756164268238</v>
      </c>
      <c r="N99" s="106" cm="1">
        <f t="array" ref="N99">INDEX($E$75:$O$91,MATCH(1,($D$75:$D$91=$D99)*($C$75:$C$91=$C99),0),MATCH(N$52,$E$52:$O$52,0))</f>
        <v>71.818399537959564</v>
      </c>
      <c r="O99" s="106" cm="1">
        <f t="array" ref="O99">INDEX($E$75:$O$91,MATCH(1,($D$75:$D$91=$D99)*($C$75:$C$91=$C99),0),MATCH(O$52,$E$52:$O$52,0))</f>
        <v>126.08647495041774</v>
      </c>
      <c r="Q99" s="138"/>
    </row>
    <row r="100" spans="3:19" x14ac:dyDescent="0.25">
      <c r="C100" t="s">
        <v>280</v>
      </c>
      <c r="D100" s="219" t="str">
        <f t="shared" si="11"/>
        <v>VDO 2021 Variation - Final</v>
      </c>
      <c r="E100" s="106" cm="1">
        <f t="array" ref="E100">INDEX($E$75:$O$91,MATCH(1,($D$75:$D$91=$D100)*($C$75:$C$91=$C100),0),MATCH(E$52,$E$52:$O$52,0))</f>
        <v>1424.6087218319676</v>
      </c>
      <c r="F100" s="106" cm="1">
        <f t="array" ref="F100">INDEX($E$75:$O$91,MATCH(1,($D$75:$D$91=$D100)*($C$75:$C$91=$C100),0),MATCH(F$52,$E$52:$O$52,0))</f>
        <v>396.08606905449994</v>
      </c>
      <c r="G100" s="106" cm="1">
        <f t="array" ref="G100">INDEX($E$75:$O$91,MATCH(1,($D$75:$D$91=$D100)*($C$75:$C$91=$C100),0),MATCH(G$52,$E$52:$O$52,0))</f>
        <v>523.97749999999996</v>
      </c>
      <c r="H100" s="106" cm="1">
        <f t="array" ref="H100">INDEX($E$75:$O$91,MATCH(1,($D$75:$D$91=$D100)*($C$75:$C$91=$C100),0),MATCH(H$52,$E$52:$O$52,0))</f>
        <v>0</v>
      </c>
      <c r="I100" s="106" cm="1">
        <f t="array" ref="I100">INDEX($E$75:$O$91,MATCH(1,($D$75:$D$91=$D100)*($C$75:$C$91=$C100),0),MATCH(I$52,$E$52:$O$52,0))</f>
        <v>181.75878095302619</v>
      </c>
      <c r="J100" s="106" cm="1">
        <f t="array" ref="J100">INDEX($E$75:$O$91,MATCH(1,($D$75:$D$91=$D100)*($C$75:$C$91=$C100),0),MATCH(J$52,$E$52:$O$52,0))</f>
        <v>99.387119975088339</v>
      </c>
      <c r="K100" s="106" cm="1">
        <f t="array" ref="K100">INDEX($E$75:$O$91,MATCH(1,($D$75:$D$91=$D100)*($C$75:$C$91=$C100),0),MATCH(K$52,$E$52:$O$52,0))</f>
        <v>0</v>
      </c>
      <c r="L100" s="106" cm="1">
        <f t="array" ref="L100">INDEX($E$75:$O$91,MATCH(1,($D$75:$D$91=$D100)*($C$75:$C$91=$C100),0),MATCH(L$52,$E$52:$O$52,0))</f>
        <v>10.849248189087444</v>
      </c>
      <c r="M100" s="106" cm="1">
        <f t="array" ref="M100">INDEX($E$75:$O$91,MATCH(1,($D$75:$D$91=$D100)*($C$75:$C$91=$C100),0),MATCH(M$52,$E$52:$O$52,0))</f>
        <v>9.2717590341275518</v>
      </c>
      <c r="N100" s="106" cm="1">
        <f t="array" ref="N100">INDEX($E$75:$O$91,MATCH(1,($D$75:$D$91=$D100)*($C$75:$C$91=$C100),0),MATCH(N$52,$E$52:$O$52,0))</f>
        <v>73.768360823232086</v>
      </c>
      <c r="O100" s="106" cm="1">
        <f t="array" ref="O100">INDEX($E$75:$O$91,MATCH(1,($D$75:$D$91=$D100)*($C$75:$C$91=$C100),0),MATCH(O$52,$E$52:$O$52,0))</f>
        <v>129.50988380290616</v>
      </c>
      <c r="Q100" s="138"/>
    </row>
    <row r="101" spans="3:19" x14ac:dyDescent="0.25">
      <c r="C101" t="s">
        <v>281</v>
      </c>
      <c r="D101" s="219" t="str">
        <f t="shared" si="11"/>
        <v>VDO 2021 Variation - Final</v>
      </c>
      <c r="E101" s="106" cm="1">
        <f t="array" ref="E101">INDEX($E$75:$O$91,MATCH(1,($D$75:$D$91=$D101)*($C$75:$C$91=$C101),0),MATCH(E$52,$E$52:$O$52,0))</f>
        <v>1350.013434754539</v>
      </c>
      <c r="F101" s="106" cm="1">
        <f t="array" ref="F101">INDEX($E$75:$O$91,MATCH(1,($D$75:$D$91=$D101)*($C$75:$C$91=$C101),0),MATCH(F$52,$E$52:$O$52,0))</f>
        <v>415.37045922372005</v>
      </c>
      <c r="G101" s="106" cm="1">
        <f t="array" ref="G101">INDEX($E$75:$O$91,MATCH(1,($D$75:$D$91=$D101)*($C$75:$C$91=$C101),0),MATCH(G$52,$E$52:$O$52,0))</f>
        <v>442.52800000000002</v>
      </c>
      <c r="H101" s="106" cm="1">
        <f t="array" ref="H101">INDEX($E$75:$O$91,MATCH(1,($D$75:$D$91=$D101)*($C$75:$C$91=$C101),0),MATCH(H$52,$E$52:$O$52,0))</f>
        <v>0</v>
      </c>
      <c r="I101" s="106" cm="1">
        <f t="array" ref="I101">INDEX($E$75:$O$91,MATCH(1,($D$75:$D$91=$D101)*($C$75:$C$91=$C101),0),MATCH(I$52,$E$52:$O$52,0))</f>
        <v>181.75878095302619</v>
      </c>
      <c r="J101" s="106" cm="1">
        <f t="array" ref="J101">INDEX($E$75:$O$91,MATCH(1,($D$75:$D$91=$D101)*($C$75:$C$91=$C101),0),MATCH(J$52,$E$52:$O$52,0))</f>
        <v>97.655775223080724</v>
      </c>
      <c r="K101" s="106" cm="1">
        <f t="array" ref="K101">INDEX($E$75:$O$91,MATCH(1,($D$75:$D$91=$D101)*($C$75:$C$91=$C101),0),MATCH(K$52,$E$52:$O$52,0))</f>
        <v>0</v>
      </c>
      <c r="L101" s="106" cm="1">
        <f t="array" ref="L101">INDEX($E$75:$O$91,MATCH(1,($D$75:$D$91=$D101)*($C$75:$C$91=$C101),0),MATCH(L$52,$E$52:$O$52,0))</f>
        <v>10.849248189087444</v>
      </c>
      <c r="M101" s="106" cm="1">
        <f t="array" ref="M101">INDEX($E$75:$O$91,MATCH(1,($D$75:$D$91=$D101)*($C$75:$C$91=$C101),0),MATCH(M$52,$E$52:$O$52,0))</f>
        <v>9.2169713091850962</v>
      </c>
      <c r="N101" s="106" cm="1">
        <f t="array" ref="N101">INDEX($E$75:$O$91,MATCH(1,($D$75:$D$91=$D101)*($C$75:$C$91=$C101),0),MATCH(N$52,$E$52:$O$52,0))</f>
        <v>69.905705787845207</v>
      </c>
      <c r="O101" s="106" cm="1">
        <f t="array" ref="O101">INDEX($E$75:$O$91,MATCH(1,($D$75:$D$91=$D101)*($C$75:$C$91=$C101),0),MATCH(O$52,$E$52:$O$52,0))</f>
        <v>122.72849406859446</v>
      </c>
      <c r="Q101" s="138"/>
    </row>
    <row r="102" spans="3:19" x14ac:dyDescent="0.25">
      <c r="C102" t="s">
        <v>383</v>
      </c>
      <c r="D102" s="219" t="str">
        <f t="shared" si="11"/>
        <v>VDO 2021 Variation - Final</v>
      </c>
      <c r="E102" s="106" cm="1">
        <f t="array" ref="E102">INDEX($E$75:$O$91,MATCH(1,($D$75:$D$91=$D102)*($C$75:$C$91=$C102),0),MATCH(E$52,$E$52:$O$52,0))</f>
        <v>1411.3749513429952</v>
      </c>
      <c r="F102" s="106" cm="1">
        <f t="array" ref="F102">INDEX($E$75:$O$91,MATCH(1,($D$75:$D$91=$D102)*($C$75:$C$91=$C102),0),MATCH(F$52,$E$52:$O$52,0))</f>
        <v>399.43883000330271</v>
      </c>
      <c r="G102" s="106" cm="1">
        <f t="array" ref="G102">INDEX($E$75:$O$91,MATCH(1,($D$75:$D$91=$D102)*($C$75:$C$91=$C102),0),MATCH(G$52,$E$52:$O$52,0))</f>
        <v>510.78450000000009</v>
      </c>
      <c r="H102" s="106" cm="1">
        <f t="array" ref="H102">INDEX($E$75:$O$91,MATCH(1,($D$75:$D$91=$D102)*($C$75:$C$91=$C102),0),MATCH(H$52,$E$52:$O$52,0))</f>
        <v>0</v>
      </c>
      <c r="I102" s="106" cm="1">
        <f t="array" ref="I102">INDEX($E$75:$O$91,MATCH(1,($D$75:$D$91=$D102)*($C$75:$C$91=$C102),0),MATCH(I$52,$E$52:$O$52,0))</f>
        <v>181.75878095302619</v>
      </c>
      <c r="J102" s="106" cm="1">
        <f t="array" ref="J102">INDEX($E$75:$O$91,MATCH(1,($D$75:$D$91=$D102)*($C$75:$C$91=$C102),0),MATCH(J$52,$E$52:$O$52,0))</f>
        <v>97.928093250321623</v>
      </c>
      <c r="K102" s="106" cm="1">
        <f t="array" ref="K102">INDEX($E$75:$O$91,MATCH(1,($D$75:$D$91=$D102)*($C$75:$C$91=$C102),0),MATCH(K$52,$E$52:$O$52,0))</f>
        <v>0</v>
      </c>
      <c r="L102" s="106" cm="1">
        <f t="array" ref="L102">INDEX($E$75:$O$91,MATCH(1,($D$75:$D$91=$D102)*($C$75:$C$91=$C102),0),MATCH(L$52,$E$52:$O$52,0))</f>
        <v>10.849248189087444</v>
      </c>
      <c r="M102" s="106" cm="1">
        <f t="array" ref="M102">INDEX($E$75:$O$91,MATCH(1,($D$75:$D$91=$D102)*($C$75:$C$91=$C102),0),MATCH(M$52,$E$52:$O$52,0))</f>
        <v>9.2255887062436805</v>
      </c>
      <c r="N102" s="106" cm="1">
        <f t="array" ref="N102">INDEX($E$75:$O$91,MATCH(1,($D$75:$D$91=$D102)*($C$75:$C$91=$C102),0),MATCH(N$52,$E$52:$O$52,0))</f>
        <v>73.083096482559682</v>
      </c>
      <c r="O102" s="106" cm="1">
        <f t="array" ref="O102">INDEX($E$75:$O$91,MATCH(1,($D$75:$D$91=$D102)*($C$75:$C$91=$C102),0),MATCH(O$52,$E$52:$O$52,0))</f>
        <v>128.30681375845415</v>
      </c>
      <c r="Q102" s="138"/>
    </row>
    <row r="103" spans="3:19" x14ac:dyDescent="0.25">
      <c r="E103" s="214"/>
      <c r="K103" s="136"/>
      <c r="Q103" s="138"/>
    </row>
    <row r="104" spans="3:19" x14ac:dyDescent="0.25">
      <c r="E104" s="214"/>
      <c r="K104" s="136"/>
      <c r="Q104" s="138"/>
    </row>
    <row r="105" spans="3:19" x14ac:dyDescent="0.25">
      <c r="C105" t="s">
        <v>277</v>
      </c>
      <c r="D105" s="83" t="str">
        <f>Calc_Rates!$D$251</f>
        <v>VDO 2022 - Final</v>
      </c>
      <c r="E105" s="215">
        <f>IF($D$50="Residential",
INDEX(CostStackCalcs_RES_2[[Ausnet]:[Average]],MATCH(CH_CostElements_Anytime!E$52,CostStackCalcs_RES_2[[Labels]:[Labels]],0),MATCH(CH_CostElements_Anytime!$C105,CostStackCalcs_RES_2[[#Headers],[Ausnet]:[Average]],0)),
IF($D$50="Small business",
INDEX(CostStackCalcs_SME_2[[Ausnet]:[Average]],MATCH(CH_CostElements_Anytime!E$52,CostStackCalcs_SME_2[[Labels]:[Labels]],0),MATCH(CH_CostElements_Anytime!$C105,CostStackCalcs_SME_2[[#Headers],[Ausnet]:[Average]],0)),
IF($D$50="All","-")))</f>
        <v>1494</v>
      </c>
      <c r="F105" s="144">
        <f>IF($D$50="Residential",
INDEX(CostStackCalcs_RES_2[[Ausnet]:[Average]],MATCH(CH_CostElements_Anytime!F$52,CostStackCalcs_RES_2[[Labels]:[Labels]],0),MATCH(CH_CostElements_Anytime!$C105,CostStackCalcs_RES_2[[#Headers],[Ausnet]:[Average]],0)),
IF($D$50="Small business",
INDEX(CostStackCalcs_SME_2[[Ausnet]:[Average]],MATCH(CH_CostElements_Anytime!F$52,CostStackCalcs_SME_2[[Labels]:[Labels]],0),MATCH(CH_CostElements_Anytime!$C105,CostStackCalcs_SME_2[[#Headers],[Ausnet]:[Average]],0)),
IF($D$50="All","-")))</f>
        <v>309.54390613097502</v>
      </c>
      <c r="G105" s="144">
        <f>IF($D$50="Residential",
INDEX(CostStackCalcs_RES_2[[Ausnet]:[Average]],MATCH(CH_CostElements_Anytime!G$52,CostStackCalcs_RES_2[[Labels]:[Labels]],0),MATCH(CH_CostElements_Anytime!$C105,CostStackCalcs_RES_2[[#Headers],[Ausnet]:[Average]],0)),
IF($D$50="Small business",
INDEX(CostStackCalcs_SME_2[[Ausnet]:[Average]],MATCH(CH_CostElements_Anytime!G$52,CostStackCalcs_SME_2[[Labels]:[Labels]],0),MATCH(CH_CostElements_Anytime!$C105,CostStackCalcs_SME_2[[#Headers],[Ausnet]:[Average]],0)),
IF($D$50="All","-")))</f>
        <v>632.82200000000012</v>
      </c>
      <c r="H105" s="144">
        <f>IF($D$50="Residential",
INDEX(CostStackCalcs_RES_2[[Ausnet]:[Average]],MATCH(CH_CostElements_Anytime!H$52,CostStackCalcs_RES_2[[Labels]:[Labels]],0),MATCH(CH_CostElements_Anytime!$C105,CostStackCalcs_RES_2[[#Headers],[Ausnet]:[Average]],0)),
IF($D$50="Small business",
INDEX(CostStackCalcs_SME_2[[Ausnet]:[Average]],MATCH(CH_CostElements_Anytime!H$52,CostStackCalcs_SME_2[[Labels]:[Labels]],0),MATCH(CH_CostElements_Anytime!$C105,CostStackCalcs_SME_2[[#Headers],[Ausnet]:[Average]],0)),
IF($D$50="All","-")))</f>
        <v>11.935672304856654</v>
      </c>
      <c r="I105" s="144">
        <f>IF($D$50="Residential",
INDEX(CostStackCalcs_RES_2[[Ausnet]:[Average]],MATCH(CH_CostElements_Anytime!I$52,CostStackCalcs_RES_2[[Labels]:[Labels]],0),MATCH(CH_CostElements_Anytime!$C105,CostStackCalcs_RES_2[[#Headers],[Ausnet]:[Average]],0)),
IF($D$50="Small business",
INDEX(CostStackCalcs_SME_2[[Ausnet]:[Average]],MATCH(CH_CostElements_Anytime!I$52,CostStackCalcs_SME_2[[Labels]:[Labels]],0),MATCH(CH_CostElements_Anytime!$C105,CostStackCalcs_SME_2[[#Headers],[Ausnet]:[Average]],0)),
IF($D$50="All","-")))</f>
        <v>181.37562065040649</v>
      </c>
      <c r="J105" s="144">
        <f>IF($D$50="Residential",
INDEX(CostStackCalcs_RES_2[[Ausnet]:[Average]],MATCH(CH_CostElements_Anytime!J$52,CostStackCalcs_RES_2[[Labels]:[Labels]],0),MATCH(CH_CostElements_Anytime!$C105,CostStackCalcs_RES_2[[#Headers],[Ausnet]:[Average]],0)),
IF($D$50="Small business",
INDEX(CostStackCalcs_SME_2[[Ausnet]:[Average]],MATCH(CH_CostElements_Anytime!J$52,CostStackCalcs_SME_2[[Labels]:[Labels]],0),MATCH(CH_CostElements_Anytime!$C105,CostStackCalcs_SME_2[[#Headers],[Ausnet]:[Average]],0)),
IF($D$50="All","-")))</f>
        <v>114.20635313207585</v>
      </c>
      <c r="K105" s="146">
        <f>IF($D$50="Residential",
INDEX(CostStackCalcs_RES_2[[Ausnet]:[Average]],MATCH(CH_CostElements_Anytime!K$52,CostStackCalcs_RES_2[[Labels]:[Labels]],0),MATCH(CH_CostElements_Anytime!$C105,CostStackCalcs_RES_2[[#Headers],[Ausnet]:[Average]],0)),
IF($D$50="Small business",
INDEX(CostStackCalcs_SME_2[[Ausnet]:[Average]],MATCH(CH_CostElements_Anytime!K$52,CostStackCalcs_SME_2[[Labels]:[Labels]],0),MATCH(CH_CostElements_Anytime!$C105,CostStackCalcs_SME_2[[#Headers],[Ausnet]:[Average]],0)),
IF($D$50="All","-")))</f>
        <v>13.224681396481557</v>
      </c>
      <c r="L105" s="144">
        <f>IF($D$50="Residential",
INDEX(CostStackCalcs_RES_2[[Ausnet]:[Average]],MATCH(CH_CostElements_Anytime!L$52,CostStackCalcs_RES_2[[Labels]:[Labels]],0),MATCH(CH_CostElements_Anytime!$C105,CostStackCalcs_RES_2[[#Headers],[Ausnet]:[Average]],0)),
IF($D$50="Small business",
INDEX(CostStackCalcs_SME_2[[Ausnet]:[Average]],MATCH(CH_CostElements_Anytime!L$52,CostStackCalcs_SME_2[[Labels]:[Labels]],0),MATCH(CH_CostElements_Anytime!$C105,CostStackCalcs_SME_2[[#Headers],[Ausnet]:[Average]],0)),
IF($D$50="All","-")))</f>
        <v>13.337821545021233</v>
      </c>
      <c r="M105" s="144">
        <f>IF($D$50="Residential",
INDEX(CostStackCalcs_RES_2[[Ausnet]:[Average]],MATCH(CH_CostElements_Anytime!M$52,CostStackCalcs_RES_2[[Labels]:[Labels]],0),MATCH(CH_CostElements_Anytime!$C105,CostStackCalcs_RES_2[[#Headers],[Ausnet]:[Average]],0)),
IF($D$50="Small business",
INDEX(CostStackCalcs_SME_2[[Ausnet]:[Average]],MATCH(CH_CostElements_Anytime!M$52,CostStackCalcs_SME_2[[Labels]:[Labels]],0),MATCH(CH_CostElements_Anytime!$C105,CostStackCalcs_SME_2[[#Headers],[Ausnet]:[Average]],0)),
IF($D$50="All","-")))</f>
        <v>7.9000088300461737</v>
      </c>
      <c r="N105" s="144">
        <f>IF($D$50="Residential",
INDEX(CostStackCalcs_RES_2[[Ausnet]:[Average]],MATCH(CH_CostElements_Anytime!N$52,CostStackCalcs_RES_2[[Labels]:[Labels]],0),MATCH(CH_CostElements_Anytime!$C105,CostStackCalcs_RES_2[[#Headers],[Ausnet]:[Average]],0)),
IF($D$50="Small business",
INDEX(CostStackCalcs_SME_2[[Ausnet]:[Average]],MATCH(CH_CostElements_Anytime!N$52,CostStackCalcs_SME_2[[Labels]:[Labels]],0),MATCH(CH_CostElements_Anytime!$C105,CostStackCalcs_SME_2[[#Headers],[Ausnet]:[Average]],0)),
IF($D$50="All","-")))</f>
        <v>76.054816901426904</v>
      </c>
      <c r="O105" s="144">
        <f>IF($D$50="Residential",
INDEX(CostStackCalcs_RES_2[[Ausnet]:[Average]],MATCH(CH_CostElements_Anytime!O$52,CostStackCalcs_RES_2[[Labels]:[Labels]],0),MATCH(CH_CostElements_Anytime!$C105,CostStackCalcs_RES_2[[#Headers],[Ausnet]:[Average]],0)),
IF($D$50="Small business",
INDEX(CostStackCalcs_SME_2[[Ausnet]:[Average]],MATCH(CH_CostElements_Anytime!O$52,CostStackCalcs_SME_2[[Labels]:[Labels]],0),MATCH(CH_CostElements_Anytime!$C105,CostStackCalcs_SME_2[[#Headers],[Ausnet]:[Average]],0)),
IF($D$50="All","-")))</f>
        <v>133.52405271899519</v>
      </c>
      <c r="Q105" s="218">
        <f>IF(ROUND(E105,8)=ROUND(SUM(F105:O105),8),0,1)</f>
        <v>1</v>
      </c>
    </row>
    <row r="106" spans="3:19" x14ac:dyDescent="0.25">
      <c r="C106" t="s">
        <v>278</v>
      </c>
      <c r="D106" s="83" t="str">
        <f>Calc_Rates!$D$251</f>
        <v>VDO 2022 - Final</v>
      </c>
      <c r="E106" s="215">
        <f>IF($D$50="Residential",
INDEX(CostStackCalcs_RES_2[[Ausnet]:[Average]],MATCH(CH_CostElements_Anytime!E$52,CostStackCalcs_RES_2[[Labels]:[Labels]],0),MATCH(CH_CostElements_Anytime!$C106,CostStackCalcs_RES_2[[#Headers],[Ausnet]:[Average]],0)),
IF($D$50="Small business",
INDEX(CostStackCalcs_SME_2[[Ausnet]:[Average]],MATCH(CH_CostElements_Anytime!E$52,CostStackCalcs_SME_2[[Labels]:[Labels]],0),MATCH(CH_CostElements_Anytime!$C106,CostStackCalcs_SME_2[[#Headers],[Ausnet]:[Average]],0)),
IF($D$50="All","-")))</f>
        <v>1278</v>
      </c>
      <c r="F106" s="144">
        <f>IF($D$50="Residential",
INDEX(CostStackCalcs_RES_2[[Ausnet]:[Average]],MATCH(CH_CostElements_Anytime!F$52,CostStackCalcs_RES_2[[Labels]:[Labels]],0),MATCH(CH_CostElements_Anytime!$C106,CostStackCalcs_RES_2[[#Headers],[Ausnet]:[Average]],0)),
IF($D$50="Small business",
INDEX(CostStackCalcs_SME_2[[Ausnet]:[Average]],MATCH(CH_CostElements_Anytime!F$52,CostStackCalcs_SME_2[[Labels]:[Labels]],0),MATCH(CH_CostElements_Anytime!$C106,CostStackCalcs_SME_2[[#Headers],[Ausnet]:[Average]],0)),
IF($D$50="All","-")))</f>
        <v>285.3291802666667</v>
      </c>
      <c r="G106" s="144">
        <f>IF($D$50="Residential",
INDEX(CostStackCalcs_RES_2[[Ausnet]:[Average]],MATCH(CH_CostElements_Anytime!G$52,CostStackCalcs_RES_2[[Labels]:[Labels]],0),MATCH(CH_CostElements_Anytime!$C106,CostStackCalcs_RES_2[[#Headers],[Ausnet]:[Average]],0)),
IF($D$50="Small business",
INDEX(CostStackCalcs_SME_2[[Ausnet]:[Average]],MATCH(CH_CostElements_Anytime!G$52,CostStackCalcs_SME_2[[Labels]:[Labels]],0),MATCH(CH_CostElements_Anytime!$C106,CostStackCalcs_SME_2[[#Headers],[Ausnet]:[Average]],0)),
IF($D$50="All","-")))</f>
        <v>471.40899999999999</v>
      </c>
      <c r="H106" s="144">
        <f>IF($D$50="Residential",
INDEX(CostStackCalcs_RES_2[[Ausnet]:[Average]],MATCH(CH_CostElements_Anytime!H$52,CostStackCalcs_RES_2[[Labels]:[Labels]],0),MATCH(CH_CostElements_Anytime!$C106,CostStackCalcs_RES_2[[#Headers],[Ausnet]:[Average]],0)),
IF($D$50="Small business",
INDEX(CostStackCalcs_SME_2[[Ausnet]:[Average]],MATCH(CH_CostElements_Anytime!H$52,CostStackCalcs_SME_2[[Labels]:[Labels]],0),MATCH(CH_CostElements_Anytime!$C106,CostStackCalcs_SME_2[[#Headers],[Ausnet]:[Average]],0)),
IF($D$50="All","-")))</f>
        <v>16.187167340424587</v>
      </c>
      <c r="I106" s="144">
        <f>IF($D$50="Residential",
INDEX(CostStackCalcs_RES_2[[Ausnet]:[Average]],MATCH(CH_CostElements_Anytime!I$52,CostStackCalcs_RES_2[[Labels]:[Labels]],0),MATCH(CH_CostElements_Anytime!$C106,CostStackCalcs_RES_2[[#Headers],[Ausnet]:[Average]],0)),
IF($D$50="Small business",
INDEX(CostStackCalcs_SME_2[[Ausnet]:[Average]],MATCH(CH_CostElements_Anytime!I$52,CostStackCalcs_SME_2[[Labels]:[Labels]],0),MATCH(CH_CostElements_Anytime!$C106,CostStackCalcs_SME_2[[#Headers],[Ausnet]:[Average]],0)),
IF($D$50="All","-")))</f>
        <v>181.37562065040649</v>
      </c>
      <c r="J106" s="144">
        <f>IF($D$50="Residential",
INDEX(CostStackCalcs_RES_2[[Ausnet]:[Average]],MATCH(CH_CostElements_Anytime!J$52,CostStackCalcs_RES_2[[Labels]:[Labels]],0),MATCH(CH_CostElements_Anytime!$C106,CostStackCalcs_RES_2[[#Headers],[Ausnet]:[Average]],0)),
IF($D$50="Small business",
INDEX(CostStackCalcs_SME_2[[Ausnet]:[Average]],MATCH(CH_CostElements_Anytime!J$52,CostStackCalcs_SME_2[[Labels]:[Labels]],0),MATCH(CH_CostElements_Anytime!$C106,CostStackCalcs_SME_2[[#Headers],[Ausnet]:[Average]],0)),
IF($D$50="All","-")))</f>
        <v>110.85447438605942</v>
      </c>
      <c r="K106" s="146">
        <f>IF($D$50="Residential",
INDEX(CostStackCalcs_RES_2[[Ausnet]:[Average]],MATCH(CH_CostElements_Anytime!K$52,CostStackCalcs_RES_2[[Labels]:[Labels]],0),MATCH(CH_CostElements_Anytime!$C106,CostStackCalcs_RES_2[[#Headers],[Ausnet]:[Average]],0)),
IF($D$50="Small business",
INDEX(CostStackCalcs_SME_2[[Ausnet]:[Average]],MATCH(CH_CostElements_Anytime!K$52,CostStackCalcs_SME_2[[Labels]:[Labels]],0),MATCH(CH_CostElements_Anytime!$C106,CostStackCalcs_SME_2[[#Headers],[Ausnet]:[Average]],0)),
IF($D$50="All","-")))</f>
        <v>12.996094162452266</v>
      </c>
      <c r="L106" s="144">
        <f>IF($D$50="Residential",
INDEX(CostStackCalcs_RES_2[[Ausnet]:[Average]],MATCH(CH_CostElements_Anytime!L$52,CostStackCalcs_RES_2[[Labels]:[Labels]],0),MATCH(CH_CostElements_Anytime!$C106,CostStackCalcs_RES_2[[#Headers],[Ausnet]:[Average]],0)),
IF($D$50="Small business",
INDEX(CostStackCalcs_SME_2[[Ausnet]:[Average]],MATCH(CH_CostElements_Anytime!L$52,CostStackCalcs_SME_2[[Labels]:[Labels]],0),MATCH(CH_CostElements_Anytime!$C106,CostStackCalcs_SME_2[[#Headers],[Ausnet]:[Average]],0)),
IF($D$50="All","-")))</f>
        <v>13.337821545021233</v>
      </c>
      <c r="M106" s="144">
        <f>IF($D$50="Residential",
INDEX(CostStackCalcs_RES_2[[Ausnet]:[Average]],MATCH(CH_CostElements_Anytime!M$52,CostStackCalcs_RES_2[[Labels]:[Labels]],0),MATCH(CH_CostElements_Anytime!$C106,CostStackCalcs_RES_2[[#Headers],[Ausnet]:[Average]],0)),
IF($D$50="Small business",
INDEX(CostStackCalcs_SME_2[[Ausnet]:[Average]],MATCH(CH_CostElements_Anytime!M$52,CostStackCalcs_SME_2[[Labels]:[Labels]],0),MATCH(CH_CostElements_Anytime!$C106,CostStackCalcs_SME_2[[#Headers],[Ausnet]:[Average]],0)),
IF($D$50="All","-")))</f>
        <v>7.7890638143677391</v>
      </c>
      <c r="N106" s="144">
        <f>IF($D$50="Residential",
INDEX(CostStackCalcs_RES_2[[Ausnet]:[Average]],MATCH(CH_CostElements_Anytime!N$52,CostStackCalcs_RES_2[[Labels]:[Labels]],0),MATCH(CH_CostElements_Anytime!$C106,CostStackCalcs_RES_2[[#Headers],[Ausnet]:[Average]],0)),
IF($D$50="Small business",
INDEX(CostStackCalcs_SME_2[[Ausnet]:[Average]],MATCH(CH_CostElements_Anytime!N$52,CostStackCalcs_SME_2[[Labels]:[Labels]],0),MATCH(CH_CostElements_Anytime!$C106,CostStackCalcs_SME_2[[#Headers],[Ausnet]:[Average]],0)),
IF($D$50="All","-")))</f>
        <v>64.633747704016287</v>
      </c>
      <c r="O106" s="144">
        <f>IF($D$50="Residential",
INDEX(CostStackCalcs_RES_2[[Ausnet]:[Average]],MATCH(CH_CostElements_Anytime!O$52,CostStackCalcs_RES_2[[Labels]:[Labels]],0),MATCH(CH_CostElements_Anytime!$C106,CostStackCalcs_RES_2[[#Headers],[Ausnet]:[Average]],0)),
IF($D$50="Small business",
INDEX(CostStackCalcs_SME_2[[Ausnet]:[Average]],MATCH(CH_CostElements_Anytime!O$52,CostStackCalcs_SME_2[[Labels]:[Labels]],0),MATCH(CH_CostElements_Anytime!$C106,CostStackCalcs_SME_2[[#Headers],[Ausnet]:[Average]],0)),
IF($D$50="All","-")))</f>
        <v>113.47289083665376</v>
      </c>
      <c r="Q106" s="218">
        <f t="shared" ref="Q106:Q110" si="12">IF(ROUND(E106,8)=ROUND(SUM(F106:O106),8),0,1)</f>
        <v>1</v>
      </c>
    </row>
    <row r="107" spans="3:19" x14ac:dyDescent="0.25">
      <c r="C107" t="s">
        <v>279</v>
      </c>
      <c r="D107" s="83" t="str">
        <f>Calc_Rates!$D$251</f>
        <v>VDO 2022 - Final</v>
      </c>
      <c r="E107" s="215">
        <f>IF($D$50="Residential",
INDEX(CostStackCalcs_RES_2[[Ausnet]:[Average]],MATCH(CH_CostElements_Anytime!E$52,CostStackCalcs_RES_2[[Labels]:[Labels]],0),MATCH(CH_CostElements_Anytime!$C107,CostStackCalcs_RES_2[[#Headers],[Ausnet]:[Average]],0)),
IF($D$50="Small business",
INDEX(CostStackCalcs_SME_2[[Ausnet]:[Average]],MATCH(CH_CostElements_Anytime!E$52,CostStackCalcs_SME_2[[Labels]:[Labels]],0),MATCH(CH_CostElements_Anytime!$C107,CostStackCalcs_SME_2[[#Headers],[Ausnet]:[Average]],0)),
IF($D$50="All","-")))</f>
        <v>1315</v>
      </c>
      <c r="F107" s="144">
        <f>IF($D$50="Residential",
INDEX(CostStackCalcs_RES_2[[Ausnet]:[Average]],MATCH(CH_CostElements_Anytime!F$52,CostStackCalcs_RES_2[[Labels]:[Labels]],0),MATCH(CH_CostElements_Anytime!$C107,CostStackCalcs_RES_2[[#Headers],[Ausnet]:[Average]],0)),
IF($D$50="Small business",
INDEX(CostStackCalcs_SME_2[[Ausnet]:[Average]],MATCH(CH_CostElements_Anytime!F$52,CostStackCalcs_SME_2[[Labels]:[Labels]],0),MATCH(CH_CostElements_Anytime!$C107,CostStackCalcs_SME_2[[#Headers],[Ausnet]:[Average]],0)),
IF($D$50="All","-")))</f>
        <v>308.31114940500004</v>
      </c>
      <c r="G107" s="144">
        <f>IF($D$50="Residential",
INDEX(CostStackCalcs_RES_2[[Ausnet]:[Average]],MATCH(CH_CostElements_Anytime!G$52,CostStackCalcs_RES_2[[Labels]:[Labels]],0),MATCH(CH_CostElements_Anytime!$C107,CostStackCalcs_RES_2[[#Headers],[Ausnet]:[Average]],0)),
IF($D$50="Small business",
INDEX(CostStackCalcs_SME_2[[Ausnet]:[Average]],MATCH(CH_CostElements_Anytime!G$52,CostStackCalcs_SME_2[[Labels]:[Labels]],0),MATCH(CH_CostElements_Anytime!$C107,CostStackCalcs_SME_2[[#Headers],[Ausnet]:[Average]],0)),
IF($D$50="All","-")))</f>
        <v>483.18600000000004</v>
      </c>
      <c r="H107" s="144">
        <f>IF($D$50="Residential",
INDEX(CostStackCalcs_RES_2[[Ausnet]:[Average]],MATCH(CH_CostElements_Anytime!H$52,CostStackCalcs_RES_2[[Labels]:[Labels]],0),MATCH(CH_CostElements_Anytime!$C107,CostStackCalcs_RES_2[[#Headers],[Ausnet]:[Average]],0)),
IF($D$50="Small business",
INDEX(CostStackCalcs_SME_2[[Ausnet]:[Average]],MATCH(CH_CostElements_Anytime!H$52,CostStackCalcs_SME_2[[Labels]:[Labels]],0),MATCH(CH_CostElements_Anytime!$C107,CostStackCalcs_SME_2[[#Headers],[Ausnet]:[Average]],0)),
IF($D$50="All","-")))</f>
        <v>14.087579955431812</v>
      </c>
      <c r="I107" s="144">
        <f>IF($D$50="Residential",
INDEX(CostStackCalcs_RES_2[[Ausnet]:[Average]],MATCH(CH_CostElements_Anytime!I$52,CostStackCalcs_RES_2[[Labels]:[Labels]],0),MATCH(CH_CostElements_Anytime!$C107,CostStackCalcs_RES_2[[#Headers],[Ausnet]:[Average]],0)),
IF($D$50="Small business",
INDEX(CostStackCalcs_SME_2[[Ausnet]:[Average]],MATCH(CH_CostElements_Anytime!I$52,CostStackCalcs_SME_2[[Labels]:[Labels]],0),MATCH(CH_CostElements_Anytime!$C107,CostStackCalcs_SME_2[[#Headers],[Ausnet]:[Average]],0)),
IF($D$50="All","-")))</f>
        <v>181.37562065040649</v>
      </c>
      <c r="J107" s="144">
        <f>IF($D$50="Residential",
INDEX(CostStackCalcs_RES_2[[Ausnet]:[Average]],MATCH(CH_CostElements_Anytime!J$52,CostStackCalcs_RES_2[[Labels]:[Labels]],0),MATCH(CH_CostElements_Anytime!$C107,CostStackCalcs_RES_2[[#Headers],[Ausnet]:[Average]],0)),
IF($D$50="Small business",
INDEX(CostStackCalcs_SME_2[[Ausnet]:[Average]],MATCH(CH_CostElements_Anytime!J$52,CostStackCalcs_SME_2[[Labels]:[Labels]],0),MATCH(CH_CostElements_Anytime!$C107,CostStackCalcs_SME_2[[#Headers],[Ausnet]:[Average]],0)),
IF($D$50="All","-")))</f>
        <v>110.27514499501036</v>
      </c>
      <c r="K107" s="146">
        <f>IF($D$50="Residential",
INDEX(CostStackCalcs_RES_2[[Ausnet]:[Average]],MATCH(CH_CostElements_Anytime!K$52,CostStackCalcs_RES_2[[Labels]:[Labels]],0),MATCH(CH_CostElements_Anytime!$C107,CostStackCalcs_RES_2[[#Headers],[Ausnet]:[Average]],0)),
IF($D$50="Small business",
INDEX(CostStackCalcs_SME_2[[Ausnet]:[Average]],MATCH(CH_CostElements_Anytime!K$52,CostStackCalcs_SME_2[[Labels]:[Labels]],0),MATCH(CH_CostElements_Anytime!$C107,CostStackCalcs_SME_2[[#Headers],[Ausnet]:[Average]],0)),
IF($D$50="All","-")))</f>
        <v>12.860333246221057</v>
      </c>
      <c r="L107" s="144">
        <f>IF($D$50="Residential",
INDEX(CostStackCalcs_RES_2[[Ausnet]:[Average]],MATCH(CH_CostElements_Anytime!L$52,CostStackCalcs_RES_2[[Labels]:[Labels]],0),MATCH(CH_CostElements_Anytime!$C107,CostStackCalcs_RES_2[[#Headers],[Ausnet]:[Average]],0)),
IF($D$50="Small business",
INDEX(CostStackCalcs_SME_2[[Ausnet]:[Average]],MATCH(CH_CostElements_Anytime!L$52,CostStackCalcs_SME_2[[Labels]:[Labels]],0),MATCH(CH_CostElements_Anytime!$C107,CostStackCalcs_SME_2[[#Headers],[Ausnet]:[Average]],0)),
IF($D$50="All","-")))</f>
        <v>13.337821545021233</v>
      </c>
      <c r="M107" s="144">
        <f>IF($D$50="Residential",
INDEX(CostStackCalcs_RES_2[[Ausnet]:[Average]],MATCH(CH_CostElements_Anytime!M$52,CostStackCalcs_RES_2[[Labels]:[Labels]],0),MATCH(CH_CostElements_Anytime!$C107,CostStackCalcs_RES_2[[#Headers],[Ausnet]:[Average]],0)),
IF($D$50="Small business",
INDEX(CostStackCalcs_SME_2[[Ausnet]:[Average]],MATCH(CH_CostElements_Anytime!M$52,CostStackCalcs_SME_2[[Labels]:[Labels]],0),MATCH(CH_CostElements_Anytime!$C107,CostStackCalcs_SME_2[[#Headers],[Ausnet]:[Average]],0)),
IF($D$50="All","-")))</f>
        <v>7.7698883867215862</v>
      </c>
      <c r="N107" s="144">
        <f>IF($D$50="Residential",
INDEX(CostStackCalcs_RES_2[[Ausnet]:[Average]],MATCH(CH_CostElements_Anytime!N$52,CostStackCalcs_RES_2[[Labels]:[Labels]],0),MATCH(CH_CostElements_Anytime!$C107,CostStackCalcs_RES_2[[#Headers],[Ausnet]:[Average]],0)),
IF($D$50="Small business",
INDEX(CostStackCalcs_SME_2[[Ausnet]:[Average]],MATCH(CH_CostElements_Anytime!N$52,CostStackCalcs_SME_2[[Labels]:[Labels]],0),MATCH(CH_CostElements_Anytime!$C107,CostStackCalcs_SME_2[[#Headers],[Ausnet]:[Average]],0)),
IF($D$50="All","-")))</f>
        <v>66.697039748922435</v>
      </c>
      <c r="O107" s="144">
        <f>IF($D$50="Residential",
INDEX(CostStackCalcs_RES_2[[Ausnet]:[Average]],MATCH(CH_CostElements_Anytime!O$52,CostStackCalcs_RES_2[[Labels]:[Labels]],0),MATCH(CH_CostElements_Anytime!$C107,CostStackCalcs_RES_2[[#Headers],[Ausnet]:[Average]],0)),
IF($D$50="Small business",
INDEX(CostStackCalcs_SME_2[[Ausnet]:[Average]],MATCH(CH_CostElements_Anytime!O$52,CostStackCalcs_SME_2[[Labels]:[Labels]],0),MATCH(CH_CostElements_Anytime!$C107,CostStackCalcs_SME_2[[#Headers],[Ausnet]:[Average]],0)),
IF($D$50="All","-")))</f>
        <v>117.09526647310821</v>
      </c>
      <c r="Q107" s="218">
        <f t="shared" si="12"/>
        <v>1</v>
      </c>
    </row>
    <row r="108" spans="3:19" x14ac:dyDescent="0.25">
      <c r="C108" t="s">
        <v>280</v>
      </c>
      <c r="D108" s="83" t="str">
        <f>Calc_Rates!$D$251</f>
        <v>VDO 2022 - Final</v>
      </c>
      <c r="E108" s="215">
        <f>IF($D$50="Residential",
INDEX(CostStackCalcs_RES_2[[Ausnet]:[Average]],MATCH(CH_CostElements_Anytime!E$52,CostStackCalcs_RES_2[[Labels]:[Labels]],0),MATCH(CH_CostElements_Anytime!$C108,CostStackCalcs_RES_2[[#Headers],[Ausnet]:[Average]],0)),
IF($D$50="Small business",
INDEX(CostStackCalcs_SME_2[[Ausnet]:[Average]],MATCH(CH_CostElements_Anytime!E$52,CostStackCalcs_SME_2[[Labels]:[Labels]],0),MATCH(CH_CostElements_Anytime!$C108,CostStackCalcs_SME_2[[#Headers],[Ausnet]:[Average]],0)),
IF($D$50="All","-")))</f>
        <v>1358</v>
      </c>
      <c r="F108" s="144">
        <f>IF($D$50="Residential",
INDEX(CostStackCalcs_RES_2[[Ausnet]:[Average]],MATCH(CH_CostElements_Anytime!F$52,CostStackCalcs_RES_2[[Labels]:[Labels]],0),MATCH(CH_CostElements_Anytime!$C108,CostStackCalcs_RES_2[[#Headers],[Ausnet]:[Average]],0)),
IF($D$50="Small business",
INDEX(CostStackCalcs_SME_2[[Ausnet]:[Average]],MATCH(CH_CostElements_Anytime!F$52,CostStackCalcs_SME_2[[Labels]:[Labels]],0),MATCH(CH_CostElements_Anytime!$C108,CostStackCalcs_SME_2[[#Headers],[Ausnet]:[Average]],0)),
IF($D$50="All","-")))</f>
        <v>300.28489709751079</v>
      </c>
      <c r="G108" s="144">
        <f>IF($D$50="Residential",
INDEX(CostStackCalcs_RES_2[[Ausnet]:[Average]],MATCH(CH_CostElements_Anytime!G$52,CostStackCalcs_RES_2[[Labels]:[Labels]],0),MATCH(CH_CostElements_Anytime!$C108,CostStackCalcs_RES_2[[#Headers],[Ausnet]:[Average]],0)),
IF($D$50="Small business",
INDEX(CostStackCalcs_SME_2[[Ausnet]:[Average]],MATCH(CH_CostElements_Anytime!G$52,CostStackCalcs_SME_2[[Labels]:[Labels]],0),MATCH(CH_CostElements_Anytime!$C108,CostStackCalcs_SME_2[[#Headers],[Ausnet]:[Average]],0)),
IF($D$50="All","-")))</f>
        <v>523.97749999999996</v>
      </c>
      <c r="H108" s="144">
        <f>IF($D$50="Residential",
INDEX(CostStackCalcs_RES_2[[Ausnet]:[Average]],MATCH(CH_CostElements_Anytime!H$52,CostStackCalcs_RES_2[[Labels]:[Labels]],0),MATCH(CH_CostElements_Anytime!$C108,CostStackCalcs_RES_2[[#Headers],[Ausnet]:[Average]],0)),
IF($D$50="Small business",
INDEX(CostStackCalcs_SME_2[[Ausnet]:[Average]],MATCH(CH_CostElements_Anytime!H$52,CostStackCalcs_SME_2[[Labels]:[Labels]],0),MATCH(CH_CostElements_Anytime!$C108,CostStackCalcs_SME_2[[#Headers],[Ausnet]:[Average]],0)),
IF($D$50="All","-")))</f>
        <v>14.085074916598433</v>
      </c>
      <c r="I108" s="144">
        <f>IF($D$50="Residential",
INDEX(CostStackCalcs_RES_2[[Ausnet]:[Average]],MATCH(CH_CostElements_Anytime!I$52,CostStackCalcs_RES_2[[Labels]:[Labels]],0),MATCH(CH_CostElements_Anytime!$C108,CostStackCalcs_RES_2[[#Headers],[Ausnet]:[Average]],0)),
IF($D$50="Small business",
INDEX(CostStackCalcs_SME_2[[Ausnet]:[Average]],MATCH(CH_CostElements_Anytime!I$52,CostStackCalcs_SME_2[[Labels]:[Labels]],0),MATCH(CH_CostElements_Anytime!$C108,CostStackCalcs_SME_2[[#Headers],[Ausnet]:[Average]],0)),
IF($D$50="All","-")))</f>
        <v>181.37562065040649</v>
      </c>
      <c r="J108" s="144">
        <f>IF($D$50="Residential",
INDEX(CostStackCalcs_RES_2[[Ausnet]:[Average]],MATCH(CH_CostElements_Anytime!J$52,CostStackCalcs_RES_2[[Labels]:[Labels]],0),MATCH(CH_CostElements_Anytime!$C108,CostStackCalcs_RES_2[[#Headers],[Ausnet]:[Average]],0)),
IF($D$50="Small business",
INDEX(CostStackCalcs_SME_2[[Ausnet]:[Average]],MATCH(CH_CostElements_Anytime!J$52,CostStackCalcs_SME_2[[Labels]:[Labels]],0),MATCH(CH_CostElements_Anytime!$C108,CostStackCalcs_SME_2[[#Headers],[Ausnet]:[Average]],0)),
IF($D$50="All","-")))</f>
        <v>113.36785832784992</v>
      </c>
      <c r="K108" s="146">
        <f>IF($D$50="Residential",
INDEX(CostStackCalcs_RES_2[[Ausnet]:[Average]],MATCH(CH_CostElements_Anytime!K$52,CostStackCalcs_RES_2[[Labels]:[Labels]],0),MATCH(CH_CostElements_Anytime!$C108,CostStackCalcs_RES_2[[#Headers],[Ausnet]:[Average]],0)),
IF($D$50="Small business",
INDEX(CostStackCalcs_SME_2[[Ausnet]:[Average]],MATCH(CH_CostElements_Anytime!K$52,CostStackCalcs_SME_2[[Labels]:[Labels]],0),MATCH(CH_CostElements_Anytime!$C108,CostStackCalcs_SME_2[[#Headers],[Ausnet]:[Average]],0)),
IF($D$50="All","-")))</f>
        <v>13.274747413634611</v>
      </c>
      <c r="L108" s="144">
        <f>IF($D$50="Residential",
INDEX(CostStackCalcs_RES_2[[Ausnet]:[Average]],MATCH(CH_CostElements_Anytime!L$52,CostStackCalcs_RES_2[[Labels]:[Labels]],0),MATCH(CH_CostElements_Anytime!$C108,CostStackCalcs_RES_2[[#Headers],[Ausnet]:[Average]],0)),
IF($D$50="Small business",
INDEX(CostStackCalcs_SME_2[[Ausnet]:[Average]],MATCH(CH_CostElements_Anytime!L$52,CostStackCalcs_SME_2[[Labels]:[Labels]],0),MATCH(CH_CostElements_Anytime!$C108,CostStackCalcs_SME_2[[#Headers],[Ausnet]:[Average]],0)),
IF($D$50="All","-")))</f>
        <v>13.337821545021233</v>
      </c>
      <c r="M108" s="144">
        <f>IF($D$50="Residential",
INDEX(CostStackCalcs_RES_2[[Ausnet]:[Average]],MATCH(CH_CostElements_Anytime!M$52,CostStackCalcs_RES_2[[Labels]:[Labels]],0),MATCH(CH_CostElements_Anytime!$C108,CostStackCalcs_RES_2[[#Headers],[Ausnet]:[Average]],0)),
IF($D$50="Small business",
INDEX(CostStackCalcs_SME_2[[Ausnet]:[Average]],MATCH(CH_CostElements_Anytime!M$52,CostStackCalcs_SME_2[[Labels]:[Labels]],0),MATCH(CH_CostElements_Anytime!$C108,CostStackCalcs_SME_2[[#Headers],[Ausnet]:[Average]],0)),
IF($D$50="All","-")))</f>
        <v>7.8722551950700606</v>
      </c>
      <c r="N108" s="144">
        <f>IF($D$50="Residential",
INDEX(CostStackCalcs_RES_2[[Ausnet]:[Average]],MATCH(CH_CostElements_Anytime!N$52,CostStackCalcs_RES_2[[Labels]:[Labels]],0),MATCH(CH_CostElements_Anytime!$C108,CostStackCalcs_RES_2[[#Headers],[Ausnet]:[Average]],0)),
IF($D$50="Small business",
INDEX(CostStackCalcs_SME_2[[Ausnet]:[Average]],MATCH(CH_CostElements_Anytime!N$52,CostStackCalcs_SME_2[[Labels]:[Labels]],0),MATCH(CH_CostElements_Anytime!$C108,CostStackCalcs_SME_2[[#Headers],[Ausnet]:[Average]],0)),
IF($D$50="All","-")))</f>
        <v>68.869043550077848</v>
      </c>
      <c r="O108" s="144">
        <f>IF($D$50="Residential",
INDEX(CostStackCalcs_RES_2[[Ausnet]:[Average]],MATCH(CH_CostElements_Anytime!O$52,CostStackCalcs_RES_2[[Labels]:[Labels]],0),MATCH(CH_CostElements_Anytime!$C108,CostStackCalcs_RES_2[[#Headers],[Ausnet]:[Average]],0)),
IF($D$50="Small business",
INDEX(CostStackCalcs_SME_2[[Ausnet]:[Average]],MATCH(CH_CostElements_Anytime!O$52,CostStackCalcs_SME_2[[Labels]:[Labels]],0),MATCH(CH_CostElements_Anytime!$C108,CostStackCalcs_SME_2[[#Headers],[Ausnet]:[Average]],0)),
IF($D$50="All","-")))</f>
        <v>120.90849963659362</v>
      </c>
      <c r="Q108" s="218">
        <f t="shared" si="12"/>
        <v>1</v>
      </c>
    </row>
    <row r="109" spans="3:19" x14ac:dyDescent="0.25">
      <c r="C109" t="s">
        <v>281</v>
      </c>
      <c r="D109" s="83" t="str">
        <f>Calc_Rates!$D$251</f>
        <v>VDO 2022 - Final</v>
      </c>
      <c r="E109" s="215">
        <f>IF($D$50="Residential",
INDEX(CostStackCalcs_RES_2[[Ausnet]:[Average]],MATCH(CH_CostElements_Anytime!E$52,CostStackCalcs_RES_2[[Labels]:[Labels]],0),MATCH(CH_CostElements_Anytime!$C109,CostStackCalcs_RES_2[[#Headers],[Ausnet]:[Average]],0)),
IF($D$50="Small business",
INDEX(CostStackCalcs_SME_2[[Ausnet]:[Average]],MATCH(CH_CostElements_Anytime!E$52,CostStackCalcs_SME_2[[Labels]:[Labels]],0),MATCH(CH_CostElements_Anytime!$C109,CostStackCalcs_SME_2[[#Headers],[Ausnet]:[Average]],0)),
IF($D$50="All","-")))</f>
        <v>1266</v>
      </c>
      <c r="F109" s="144">
        <f>IF($D$50="Residential",
INDEX(CostStackCalcs_RES_2[[Ausnet]:[Average]],MATCH(CH_CostElements_Anytime!F$52,CostStackCalcs_RES_2[[Labels]:[Labels]],0),MATCH(CH_CostElements_Anytime!$C109,CostStackCalcs_RES_2[[#Headers],[Ausnet]:[Average]],0)),
IF($D$50="Small business",
INDEX(CostStackCalcs_SME_2[[Ausnet]:[Average]],MATCH(CH_CostElements_Anytime!F$52,CostStackCalcs_SME_2[[Labels]:[Labels]],0),MATCH(CH_CostElements_Anytime!$C109,CostStackCalcs_SME_2[[#Headers],[Ausnet]:[Average]],0)),
IF($D$50="All","-")))</f>
        <v>312.2430037881818</v>
      </c>
      <c r="G109" s="144">
        <f>IF($D$50="Residential",
INDEX(CostStackCalcs_RES_2[[Ausnet]:[Average]],MATCH(CH_CostElements_Anytime!G$52,CostStackCalcs_RES_2[[Labels]:[Labels]],0),MATCH(CH_CostElements_Anytime!$C109,CostStackCalcs_RES_2[[#Headers],[Ausnet]:[Average]],0)),
IF($D$50="Small business",
INDEX(CostStackCalcs_SME_2[[Ausnet]:[Average]],MATCH(CH_CostElements_Anytime!G$52,CostStackCalcs_SME_2[[Labels]:[Labels]],0),MATCH(CH_CostElements_Anytime!$C109,CostStackCalcs_SME_2[[#Headers],[Ausnet]:[Average]],0)),
IF($D$50="All","-")))</f>
        <v>442.52800000000002</v>
      </c>
      <c r="H109" s="144">
        <f>IF($D$50="Residential",
INDEX(CostStackCalcs_RES_2[[Ausnet]:[Average]],MATCH(CH_CostElements_Anytime!H$52,CostStackCalcs_RES_2[[Labels]:[Labels]],0),MATCH(CH_CostElements_Anytime!$C109,CostStackCalcs_RES_2[[#Headers],[Ausnet]:[Average]],0)),
IF($D$50="Small business",
INDEX(CostStackCalcs_SME_2[[Ausnet]:[Average]],MATCH(CH_CostElements_Anytime!H$52,CostStackCalcs_SME_2[[Labels]:[Labels]],0),MATCH(CH_CostElements_Anytime!$C109,CostStackCalcs_SME_2[[#Headers],[Ausnet]:[Average]],0)),
IF($D$50="All","-")))</f>
        <v>6.3579032626155501</v>
      </c>
      <c r="I109" s="144">
        <f>IF($D$50="Residential",
INDEX(CostStackCalcs_RES_2[[Ausnet]:[Average]],MATCH(CH_CostElements_Anytime!I$52,CostStackCalcs_RES_2[[Labels]:[Labels]],0),MATCH(CH_CostElements_Anytime!$C109,CostStackCalcs_RES_2[[#Headers],[Ausnet]:[Average]],0)),
IF($D$50="Small business",
INDEX(CostStackCalcs_SME_2[[Ausnet]:[Average]],MATCH(CH_CostElements_Anytime!I$52,CostStackCalcs_SME_2[[Labels]:[Labels]],0),MATCH(CH_CostElements_Anytime!$C109,CostStackCalcs_SME_2[[#Headers],[Ausnet]:[Average]],0)),
IF($D$50="All","-")))</f>
        <v>181.37562065040649</v>
      </c>
      <c r="J109" s="144">
        <f>IF($D$50="Residential",
INDEX(CostStackCalcs_RES_2[[Ausnet]:[Average]],MATCH(CH_CostElements_Anytime!J$52,CostStackCalcs_RES_2[[Labels]:[Labels]],0),MATCH(CH_CostElements_Anytime!$C109,CostStackCalcs_RES_2[[#Headers],[Ausnet]:[Average]],0)),
IF($D$50="Small business",
INDEX(CostStackCalcs_SME_2[[Ausnet]:[Average]],MATCH(CH_CostElements_Anytime!J$52,CostStackCalcs_SME_2[[Labels]:[Labels]],0),MATCH(CH_CostElements_Anytime!$C109,CostStackCalcs_SME_2[[#Headers],[Ausnet]:[Average]],0)),
IF($D$50="All","-")))</f>
        <v>110.87185848457094</v>
      </c>
      <c r="K109" s="146">
        <f>IF($D$50="Residential",
INDEX(CostStackCalcs_RES_2[[Ausnet]:[Average]],MATCH(CH_CostElements_Anytime!K$52,CostStackCalcs_RES_2[[Labels]:[Labels]],0),MATCH(CH_CostElements_Anytime!$C109,CostStackCalcs_RES_2[[#Headers],[Ausnet]:[Average]],0)),
IF($D$50="Small business",
INDEX(CostStackCalcs_SME_2[[Ausnet]:[Average]],MATCH(CH_CostElements_Anytime!K$52,CostStackCalcs_SME_2[[Labels]:[Labels]],0),MATCH(CH_CostElements_Anytime!$C109,CostStackCalcs_SME_2[[#Headers],[Ausnet]:[Average]],0)),
IF($D$50="All","-")))</f>
        <v>13.04349849250093</v>
      </c>
      <c r="L109" s="144">
        <f>IF($D$50="Residential",
INDEX(CostStackCalcs_RES_2[[Ausnet]:[Average]],MATCH(CH_CostElements_Anytime!L$52,CostStackCalcs_RES_2[[Labels]:[Labels]],0),MATCH(CH_CostElements_Anytime!$C109,CostStackCalcs_RES_2[[#Headers],[Ausnet]:[Average]],0)),
IF($D$50="Small business",
INDEX(CostStackCalcs_SME_2[[Ausnet]:[Average]],MATCH(CH_CostElements_Anytime!L$52,CostStackCalcs_SME_2[[Labels]:[Labels]],0),MATCH(CH_CostElements_Anytime!$C109,CostStackCalcs_SME_2[[#Headers],[Ausnet]:[Average]],0)),
IF($D$50="All","-")))</f>
        <v>13.337821545021233</v>
      </c>
      <c r="M109" s="144">
        <f>IF($D$50="Residential",
INDEX(CostStackCalcs_RES_2[[Ausnet]:[Average]],MATCH(CH_CostElements_Anytime!M$52,CostStackCalcs_RES_2[[Labels]:[Labels]],0),MATCH(CH_CostElements_Anytime!$C109,CostStackCalcs_RES_2[[#Headers],[Ausnet]:[Average]],0)),
IF($D$50="Small business",
INDEX(CostStackCalcs_SME_2[[Ausnet]:[Average]],MATCH(CH_CostElements_Anytime!M$52,CostStackCalcs_SME_2[[Labels]:[Labels]],0),MATCH(CH_CostElements_Anytime!$C109,CostStackCalcs_SME_2[[#Headers],[Ausnet]:[Average]],0)),
IF($D$50="All","-")))</f>
        <v>7.7896392167698121</v>
      </c>
      <c r="N109" s="144">
        <f>IF($D$50="Residential",
INDEX(CostStackCalcs_RES_2[[Ausnet]:[Average]],MATCH(CH_CostElements_Anytime!N$52,CostStackCalcs_RES_2[[Labels]:[Labels]],0),MATCH(CH_CostElements_Anytime!$C109,CostStackCalcs_RES_2[[#Headers],[Ausnet]:[Average]],0)),
IF($D$50="Small business",
INDEX(CostStackCalcs_SME_2[[Ausnet]:[Average]],MATCH(CH_CostElements_Anytime!N$52,CostStackCalcs_SME_2[[Labels]:[Labels]],0),MATCH(CH_CostElements_Anytime!$C109,CostStackCalcs_SME_2[[#Headers],[Ausnet]:[Average]],0)),
IF($D$50="All","-")))</f>
        <v>64.516014998570995</v>
      </c>
      <c r="O109" s="144">
        <f>IF($D$50="Residential",
INDEX(CostStackCalcs_RES_2[[Ausnet]:[Average]],MATCH(CH_CostElements_Anytime!O$52,CostStackCalcs_RES_2[[Labels]:[Labels]],0),MATCH(CH_CostElements_Anytime!$C109,CostStackCalcs_RES_2[[#Headers],[Ausnet]:[Average]],0)),
IF($D$50="Small business",
INDEX(CostStackCalcs_SME_2[[Ausnet]:[Average]],MATCH(CH_CostElements_Anytime!O$52,CostStackCalcs_SME_2[[Labels]:[Labels]],0),MATCH(CH_CostElements_Anytime!$C109,CostStackCalcs_SME_2[[#Headers],[Ausnet]:[Average]],0)),
IF($D$50="All","-")))</f>
        <v>113.26619586835214</v>
      </c>
      <c r="Q109" s="218">
        <f t="shared" si="12"/>
        <v>1</v>
      </c>
      <c r="R109" s="123"/>
      <c r="S109" s="123"/>
    </row>
    <row r="110" spans="3:19" x14ac:dyDescent="0.25">
      <c r="C110" t="s">
        <v>383</v>
      </c>
      <c r="D110" s="83" t="str">
        <f>Calc_Rates!$D$251</f>
        <v>VDO 2022 - Final</v>
      </c>
      <c r="E110" s="215">
        <f>IF($D$50="Residential",
INDEX(CostStackCalcs_RES_2[[Ausnet]:[Average]],MATCH(CH_CostElements_Anytime!E$52,CostStackCalcs_RES_2[[Labels]:[Labels]],0),MATCH(CH_CostElements_Anytime!$C110,CostStackCalcs_RES_2[[#Headers],[Ausnet]:[Average]],0)),
IF($D$50="Small business",
INDEX(CostStackCalcs_SME_2[[Ausnet]:[Average]],MATCH(CH_CostElements_Anytime!E$52,CostStackCalcs_SME_2[[Labels]:[Labels]],0),MATCH(CH_CostElements_Anytime!$C110,CostStackCalcs_SME_2[[#Headers],[Ausnet]:[Average]],0)),
IF($D$50="All","-")))</f>
        <v>1342</v>
      </c>
      <c r="F110" s="144">
        <f>IF($D$50="Residential",
INDEX(CostStackCalcs_RES_2[[Ausnet]:[Average]],MATCH(CH_CostElements_Anytime!F$52,CostStackCalcs_RES_2[[Labels]:[Labels]],0),MATCH(CH_CostElements_Anytime!$C110,CostStackCalcs_RES_2[[#Headers],[Ausnet]:[Average]],0)),
IF($D$50="Small business",
INDEX(CostStackCalcs_SME_2[[Ausnet]:[Average]],MATCH(CH_CostElements_Anytime!F$52,CostStackCalcs_SME_2[[Labels]:[Labels]],0),MATCH(CH_CostElements_Anytime!$C110,CostStackCalcs_SME_2[[#Headers],[Ausnet]:[Average]],0)),
IF($D$50="All","-")))</f>
        <v>303.14242733766685</v>
      </c>
      <c r="G110" s="144">
        <f>IF($D$50="Residential",
INDEX(CostStackCalcs_RES_2[[Ausnet]:[Average]],MATCH(CH_CostElements_Anytime!G$52,CostStackCalcs_RES_2[[Labels]:[Labels]],0),MATCH(CH_CostElements_Anytime!$C110,CostStackCalcs_RES_2[[#Headers],[Ausnet]:[Average]],0)),
IF($D$50="Small business",
INDEX(CostStackCalcs_SME_2[[Ausnet]:[Average]],MATCH(CH_CostElements_Anytime!G$52,CostStackCalcs_SME_2[[Labels]:[Labels]],0),MATCH(CH_CostElements_Anytime!$C110,CostStackCalcs_SME_2[[#Headers],[Ausnet]:[Average]],0)),
IF($D$50="All","-")))</f>
        <v>510.78450000000009</v>
      </c>
      <c r="H110" s="144">
        <f>IF($D$50="Residential",
INDEX(CostStackCalcs_RES_2[[Ausnet]:[Average]],MATCH(CH_CostElements_Anytime!H$52,CostStackCalcs_RES_2[[Labels]:[Labels]],0),MATCH(CH_CostElements_Anytime!$C110,CostStackCalcs_RES_2[[#Headers],[Ausnet]:[Average]],0)),
IF($D$50="Small business",
INDEX(CostStackCalcs_SME_2[[Ausnet]:[Average]],MATCH(CH_CostElements_Anytime!H$52,CostStackCalcs_SME_2[[Labels]:[Labels]],0),MATCH(CH_CostElements_Anytime!$C110,CostStackCalcs_SME_2[[#Headers],[Ausnet]:[Average]],0)),
IF($D$50="All","-")))</f>
        <v>12.530679555985406</v>
      </c>
      <c r="I110" s="144">
        <f>IF($D$50="Residential",
INDEX(CostStackCalcs_RES_2[[Ausnet]:[Average]],MATCH(CH_CostElements_Anytime!I$52,CostStackCalcs_RES_2[[Labels]:[Labels]],0),MATCH(CH_CostElements_Anytime!$C110,CostStackCalcs_RES_2[[#Headers],[Ausnet]:[Average]],0)),
IF($D$50="Small business",
INDEX(CostStackCalcs_SME_2[[Ausnet]:[Average]],MATCH(CH_CostElements_Anytime!I$52,CostStackCalcs_SME_2[[Labels]:[Labels]],0),MATCH(CH_CostElements_Anytime!$C110,CostStackCalcs_SME_2[[#Headers],[Ausnet]:[Average]],0)),
IF($D$50="All","-")))</f>
        <v>181.37562065040649</v>
      </c>
      <c r="J110" s="144">
        <f>IF($D$50="Residential",
INDEX(CostStackCalcs_RES_2[[Ausnet]:[Average]],MATCH(CH_CostElements_Anytime!J$52,CostStackCalcs_RES_2[[Labels]:[Labels]],0),MATCH(CH_CostElements_Anytime!$C110,CostStackCalcs_RES_2[[#Headers],[Ausnet]:[Average]],0)),
IF($D$50="Small business",
INDEX(CostStackCalcs_SME_2[[Ausnet]:[Average]],MATCH(CH_CostElements_Anytime!J$52,CostStackCalcs_SME_2[[Labels]:[Labels]],0),MATCH(CH_CostElements_Anytime!$C110,CostStackCalcs_SME_2[[#Headers],[Ausnet]:[Average]],0)),
IF($D$50="All","-")))</f>
        <v>111.91513786511329</v>
      </c>
      <c r="K110" s="146">
        <f>IF($D$50="Residential",
INDEX(CostStackCalcs_RES_2[[Ausnet]:[Average]],MATCH(CH_CostElements_Anytime!K$52,CostStackCalcs_RES_2[[Labels]:[Labels]],0),MATCH(CH_CostElements_Anytime!$C110,CostStackCalcs_RES_2[[#Headers],[Ausnet]:[Average]],0)),
IF($D$50="Small business",
INDEX(CostStackCalcs_SME_2[[Ausnet]:[Average]],MATCH(CH_CostElements_Anytime!K$52,CostStackCalcs_SME_2[[Labels]:[Labels]],0),MATCH(CH_CostElements_Anytime!$C110,CostStackCalcs_SME_2[[#Headers],[Ausnet]:[Average]],0)),
IF($D$50="All","-")))</f>
        <v>13.079870942258086</v>
      </c>
      <c r="L110" s="144">
        <f>IF($D$50="Residential",
INDEX(CostStackCalcs_RES_2[[Ausnet]:[Average]],MATCH(CH_CostElements_Anytime!L$52,CostStackCalcs_RES_2[[Labels]:[Labels]],0),MATCH(CH_CostElements_Anytime!$C110,CostStackCalcs_RES_2[[#Headers],[Ausnet]:[Average]],0)),
IF($D$50="Small business",
INDEX(CostStackCalcs_SME_2[[Ausnet]:[Average]],MATCH(CH_CostElements_Anytime!L$52,CostStackCalcs_SME_2[[Labels]:[Labels]],0),MATCH(CH_CostElements_Anytime!$C110,CostStackCalcs_SME_2[[#Headers],[Ausnet]:[Average]],0)),
IF($D$50="All","-")))</f>
        <v>13.337821545021233</v>
      </c>
      <c r="M110" s="144">
        <f>IF($D$50="Residential",
INDEX(CostStackCalcs_RES_2[[Ausnet]:[Average]],MATCH(CH_CostElements_Anytime!M$52,CostStackCalcs_RES_2[[Labels]:[Labels]],0),MATCH(CH_CostElements_Anytime!$C110,CostStackCalcs_RES_2[[#Headers],[Ausnet]:[Average]],0)),
IF($D$50="Small business",
INDEX(CostStackCalcs_SME_2[[Ausnet]:[Average]],MATCH(CH_CostElements_Anytime!M$52,CostStackCalcs_SME_2[[Labels]:[Labels]],0),MATCH(CH_CostElements_Anytime!$C110,CostStackCalcs_SME_2[[#Headers],[Ausnet]:[Average]],0)),
IF($D$50="All","-")))</f>
        <v>7.8241710885950742</v>
      </c>
      <c r="N110" s="144">
        <f>IF($D$50="Residential",
INDEX(CostStackCalcs_RES_2[[Ausnet]:[Average]],MATCH(CH_CostElements_Anytime!N$52,CostStackCalcs_RES_2[[Labels]:[Labels]],0),MATCH(CH_CostElements_Anytime!$C110,CostStackCalcs_RES_2[[#Headers],[Ausnet]:[Average]],0)),
IF($D$50="Small business",
INDEX(CostStackCalcs_SME_2[[Ausnet]:[Average]],MATCH(CH_CostElements_Anytime!N$52,CostStackCalcs_SME_2[[Labels]:[Labels]],0),MATCH(CH_CostElements_Anytime!$C110,CostStackCalcs_SME_2[[#Headers],[Ausnet]:[Average]],0)),
IF($D$50="All","-")))</f>
        <v>68.154132580602891</v>
      </c>
      <c r="O110" s="144">
        <f>IF($D$50="Residential",
INDEX(CostStackCalcs_RES_2[[Ausnet]:[Average]],MATCH(CH_CostElements_Anytime!O$52,CostStackCalcs_RES_2[[Labels]:[Labels]],0),MATCH(CH_CostElements_Anytime!$C110,CostStackCalcs_RES_2[[#Headers],[Ausnet]:[Average]],0)),
IF($D$50="Small business",
INDEX(CostStackCalcs_SME_2[[Ausnet]:[Average]],MATCH(CH_CostElements_Anytime!O$52,CostStackCalcs_SME_2[[Labels]:[Labels]],0),MATCH(CH_CostElements_Anytime!$C110,CostStackCalcs_SME_2[[#Headers],[Ausnet]:[Average]],0)),
IF($D$50="All","-")))</f>
        <v>119.65338110674058</v>
      </c>
      <c r="Q110" s="218">
        <f t="shared" si="12"/>
        <v>1</v>
      </c>
    </row>
    <row r="111" spans="3:19" x14ac:dyDescent="0.25">
      <c r="E111" s="214"/>
      <c r="Q111" s="138"/>
    </row>
    <row r="112" spans="3:19" x14ac:dyDescent="0.25">
      <c r="E112" s="214"/>
      <c r="Q112" s="138"/>
    </row>
    <row r="113" spans="3:19" x14ac:dyDescent="0.25">
      <c r="C113" t="s">
        <v>277</v>
      </c>
      <c r="D113" t="s">
        <v>616</v>
      </c>
      <c r="E113" s="216">
        <f>IFERROR(
(E105-E97)/E97,"-")</f>
        <v>-4.2050891639594488E-2</v>
      </c>
      <c r="F113" s="217">
        <f>IFERROR(
(F105-F97)/$E97,"-")</f>
        <v>-6.0143085282766802E-2</v>
      </c>
      <c r="G113" s="217">
        <f t="shared" ref="G113:O113" si="13">IFERROR(
(G105-G97)/$E97,"-")</f>
        <v>0</v>
      </c>
      <c r="H113" s="217">
        <f t="shared" si="13"/>
        <v>7.6531235891026889E-3</v>
      </c>
      <c r="I113" s="217">
        <f t="shared" si="13"/>
        <v>-2.4568143925946781E-4</v>
      </c>
      <c r="J113" s="217">
        <f t="shared" si="13"/>
        <v>9.7424026921388834E-3</v>
      </c>
      <c r="K113" s="217">
        <f t="shared" si="13"/>
        <v>8.4796330335407972E-3</v>
      </c>
      <c r="L113" s="217">
        <f t="shared" si="13"/>
        <v>1.595667086617293E-3</v>
      </c>
      <c r="M113" s="217">
        <f t="shared" si="13"/>
        <v>-8.7195715452818953E-4</v>
      </c>
      <c r="N113" s="217">
        <f t="shared" si="13"/>
        <v>-3.0153283075070154E-3</v>
      </c>
      <c r="O113" s="217">
        <f t="shared" si="13"/>
        <v>-5.2937982405305232E-3</v>
      </c>
      <c r="Q113" s="218">
        <f t="shared" ref="Q113:Q118" si="14">IF(ROUND(E113,8)=ROUND(SUM(F113:O113),8),0,1)</f>
        <v>1</v>
      </c>
      <c r="S113" s="120"/>
    </row>
    <row r="114" spans="3:19" x14ac:dyDescent="0.25">
      <c r="C114" t="s">
        <v>278</v>
      </c>
      <c r="D114" t="s">
        <v>616</v>
      </c>
      <c r="E114" s="216">
        <f t="shared" ref="E114:E118" si="15">IFERROR(
(E106-E98)/E98,"-")</f>
        <v>-4.3212341464912138E-2</v>
      </c>
      <c r="F114" s="217">
        <f t="shared" ref="F114:O118" si="16">IFERROR(
(F106-F98)/$E98,"-")</f>
        <v>-6.6834506454152232E-2</v>
      </c>
      <c r="G114" s="217">
        <f t="shared" si="16"/>
        <v>0</v>
      </c>
      <c r="H114" s="217">
        <f t="shared" si="16"/>
        <v>1.2118686962410396E-2</v>
      </c>
      <c r="I114" s="217">
        <f t="shared" si="16"/>
        <v>-2.8685684568630564E-4</v>
      </c>
      <c r="J114" s="217">
        <f t="shared" si="16"/>
        <v>1.0147049142032336E-2</v>
      </c>
      <c r="K114" s="217">
        <f t="shared" si="16"/>
        <v>9.7296576712004902E-3</v>
      </c>
      <c r="L114" s="217">
        <f t="shared" si="16"/>
        <v>1.8630956763041444E-3</v>
      </c>
      <c r="M114" s="217">
        <f t="shared" si="16"/>
        <v>-1.0606091617749538E-3</v>
      </c>
      <c r="N114" s="217">
        <f t="shared" si="16"/>
        <v>-3.3927783896539479E-3</v>
      </c>
      <c r="O114" s="217">
        <f t="shared" si="16"/>
        <v>-5.9564606032931223E-3</v>
      </c>
      <c r="Q114" s="218">
        <f t="shared" si="14"/>
        <v>1</v>
      </c>
    </row>
    <row r="115" spans="3:19" x14ac:dyDescent="0.25">
      <c r="C115" t="s">
        <v>279</v>
      </c>
      <c r="D115" t="s">
        <v>616</v>
      </c>
      <c r="E115" s="216">
        <f t="shared" si="15"/>
        <v>-5.1877256522044786E-2</v>
      </c>
      <c r="F115" s="217">
        <f t="shared" si="16"/>
        <v>-7.1727948621592069E-2</v>
      </c>
      <c r="G115" s="217">
        <f t="shared" si="16"/>
        <v>0</v>
      </c>
      <c r="H115" s="217">
        <f t="shared" si="16"/>
        <v>1.015722810365708E-2</v>
      </c>
      <c r="I115" s="217">
        <f t="shared" si="16"/>
        <v>-2.7626083445751607E-4</v>
      </c>
      <c r="J115" s="217">
        <f t="shared" si="16"/>
        <v>1.0087388160436764E-2</v>
      </c>
      <c r="K115" s="217">
        <f t="shared" si="16"/>
        <v>9.2723759995801264E-3</v>
      </c>
      <c r="L115" s="217">
        <f t="shared" si="16"/>
        <v>1.7942760437825755E-3</v>
      </c>
      <c r="M115" s="217">
        <f t="shared" si="16"/>
        <v>-1.0120667583369586E-3</v>
      </c>
      <c r="N115" s="217">
        <f t="shared" si="16"/>
        <v>-3.6925305654141177E-3</v>
      </c>
      <c r="O115" s="217">
        <f t="shared" si="16"/>
        <v>-6.482714257558142E-3</v>
      </c>
      <c r="Q115" s="218">
        <f t="shared" si="14"/>
        <v>1</v>
      </c>
    </row>
    <row r="116" spans="3:19" x14ac:dyDescent="0.25">
      <c r="C116" t="s">
        <v>280</v>
      </c>
      <c r="D116" t="s">
        <v>616</v>
      </c>
      <c r="E116" s="216">
        <f t="shared" si="15"/>
        <v>-4.6755800951655345E-2</v>
      </c>
      <c r="F116" s="217">
        <f>IFERROR(
(F108-F100)/$E100,"-")</f>
        <v>-6.7247357459523455E-2</v>
      </c>
      <c r="G116" s="217">
        <f t="shared" si="16"/>
        <v>0</v>
      </c>
      <c r="H116" s="217">
        <f t="shared" si="16"/>
        <v>9.8869778773260711E-3</v>
      </c>
      <c r="I116" s="217">
        <f t="shared" si="16"/>
        <v>-2.6895827376865789E-4</v>
      </c>
      <c r="J116" s="217">
        <f t="shared" si="16"/>
        <v>9.8137391260549947E-3</v>
      </c>
      <c r="K116" s="217">
        <f t="shared" si="16"/>
        <v>9.3181708143440425E-3</v>
      </c>
      <c r="L116" s="217">
        <f t="shared" si="16"/>
        <v>1.7468469185936352E-3</v>
      </c>
      <c r="M116" s="217">
        <f t="shared" si="16"/>
        <v>-9.8237769965201882E-4</v>
      </c>
      <c r="N116" s="217">
        <f t="shared" si="16"/>
        <v>-3.4390616862530429E-3</v>
      </c>
      <c r="O116" s="217">
        <f t="shared" si="16"/>
        <v>-6.0377169074548693E-3</v>
      </c>
      <c r="Q116" s="218">
        <f t="shared" si="14"/>
        <v>1</v>
      </c>
    </row>
    <row r="117" spans="3:19" x14ac:dyDescent="0.25">
      <c r="C117" t="s">
        <v>281</v>
      </c>
      <c r="D117" t="s">
        <v>616</v>
      </c>
      <c r="E117" s="216">
        <f t="shared" si="15"/>
        <v>-6.2231554584354538E-2</v>
      </c>
      <c r="F117" s="217">
        <f t="shared" si="16"/>
        <v>-7.6389947522477061E-2</v>
      </c>
      <c r="G117" s="217">
        <f t="shared" si="16"/>
        <v>0</v>
      </c>
      <c r="H117" s="217">
        <f t="shared" si="16"/>
        <v>4.7095111048073022E-3</v>
      </c>
      <c r="I117" s="217">
        <f t="shared" si="16"/>
        <v>-2.838196219057381E-4</v>
      </c>
      <c r="J117" s="217">
        <f t="shared" si="16"/>
        <v>9.7895938819995334E-3</v>
      </c>
      <c r="K117" s="217">
        <f t="shared" si="16"/>
        <v>9.6617545845923483E-3</v>
      </c>
      <c r="L117" s="217">
        <f t="shared" si="16"/>
        <v>1.843369326458788E-3</v>
      </c>
      <c r="M117" s="217">
        <f t="shared" si="16"/>
        <v>-1.0572725097915809E-3</v>
      </c>
      <c r="N117" s="217">
        <f t="shared" si="16"/>
        <v>-3.9923238173212488E-3</v>
      </c>
      <c r="O117" s="217">
        <f t="shared" si="16"/>
        <v>-7.0090400263037094E-3</v>
      </c>
      <c r="Q117" s="218">
        <f t="shared" si="14"/>
        <v>1</v>
      </c>
    </row>
    <row r="118" spans="3:19" x14ac:dyDescent="0.25">
      <c r="C118" t="s">
        <v>383</v>
      </c>
      <c r="D118" t="s">
        <v>616</v>
      </c>
      <c r="E118" s="216">
        <f t="shared" si="15"/>
        <v>-4.9154160825216175E-2</v>
      </c>
      <c r="F118" s="217">
        <f t="shared" si="16"/>
        <v>-6.8228788228106879E-2</v>
      </c>
      <c r="G118" s="217">
        <f t="shared" si="16"/>
        <v>0</v>
      </c>
      <c r="H118" s="217">
        <f t="shared" si="16"/>
        <v>8.8783491191067442E-3</v>
      </c>
      <c r="I118" s="217">
        <f t="shared" si="16"/>
        <v>-2.7148016354910053E-4</v>
      </c>
      <c r="J118" s="217">
        <f t="shared" si="16"/>
        <v>9.9102259123149978E-3</v>
      </c>
      <c r="K118" s="217">
        <f t="shared" si="16"/>
        <v>9.2674671105732187E-3</v>
      </c>
      <c r="L118" s="217">
        <f t="shared" si="16"/>
        <v>1.763226245134778E-3</v>
      </c>
      <c r="M118" s="217">
        <f t="shared" si="16"/>
        <v>-9.9294494089971356E-4</v>
      </c>
      <c r="N118" s="217">
        <f t="shared" si="16"/>
        <v>-3.492313574976395E-3</v>
      </c>
      <c r="O118" s="217">
        <f t="shared" si="16"/>
        <v>-6.1312074750082468E-3</v>
      </c>
      <c r="Q118" s="218">
        <f t="shared" si="14"/>
        <v>1</v>
      </c>
    </row>
    <row r="119" spans="3:19" x14ac:dyDescent="0.25">
      <c r="Q119" s="138"/>
    </row>
    <row r="120" spans="3:19" x14ac:dyDescent="0.25">
      <c r="C120" t="s">
        <v>277</v>
      </c>
      <c r="D120" t="s">
        <v>614</v>
      </c>
      <c r="E120" s="220">
        <f>IFERROR((E105-E97)/E97,"-")</f>
        <v>-4.2050891639594488E-2</v>
      </c>
      <c r="F120" s="217">
        <f t="shared" ref="F120:O120" si="17">IFERROR((F105-F97)/F97,"-")</f>
        <v>-0.23255219901126159</v>
      </c>
      <c r="G120" s="217">
        <f t="shared" si="17"/>
        <v>0</v>
      </c>
      <c r="H120" s="221" t="str">
        <f t="shared" si="17"/>
        <v>-</v>
      </c>
      <c r="I120" s="217">
        <f t="shared" si="17"/>
        <v>-2.1080703810327835E-3</v>
      </c>
      <c r="J120" s="217">
        <f t="shared" si="17"/>
        <v>0.15345646126707357</v>
      </c>
      <c r="K120" s="221" t="str">
        <f t="shared" si="17"/>
        <v>-</v>
      </c>
      <c r="L120" s="217">
        <f t="shared" si="17"/>
        <v>0.22937749349645117</v>
      </c>
      <c r="M120" s="217">
        <f t="shared" si="17"/>
        <v>-0.14685783901786514</v>
      </c>
      <c r="N120" s="217">
        <f t="shared" si="17"/>
        <v>-5.8231780645835812E-2</v>
      </c>
      <c r="O120" s="217">
        <f t="shared" si="17"/>
        <v>-5.823178064583575E-2</v>
      </c>
    </row>
    <row r="121" spans="3:19" x14ac:dyDescent="0.25">
      <c r="C121" t="s">
        <v>278</v>
      </c>
      <c r="D121" t="s">
        <v>614</v>
      </c>
      <c r="E121" s="220">
        <f t="shared" ref="E121:O121" si="18">IFERROR((E106-E98)/E98,"-")</f>
        <v>-4.3212341464912138E-2</v>
      </c>
      <c r="F121" s="217">
        <f t="shared" si="18"/>
        <v>-0.23831243793941442</v>
      </c>
      <c r="G121" s="217">
        <f t="shared" si="18"/>
        <v>0</v>
      </c>
      <c r="H121" s="221" t="str">
        <f t="shared" si="18"/>
        <v>-</v>
      </c>
      <c r="I121" s="217">
        <f t="shared" si="18"/>
        <v>-2.1080703810327835E-3</v>
      </c>
      <c r="J121" s="217">
        <f t="shared" si="18"/>
        <v>0.1392959096414613</v>
      </c>
      <c r="K121" s="221" t="str">
        <f t="shared" si="18"/>
        <v>-</v>
      </c>
      <c r="L121" s="217">
        <f t="shared" si="18"/>
        <v>0.22937749349645117</v>
      </c>
      <c r="M121" s="217">
        <f t="shared" si="18"/>
        <v>-0.15389054856937515</v>
      </c>
      <c r="N121" s="217">
        <f t="shared" si="18"/>
        <v>-6.5521066636224354E-2</v>
      </c>
      <c r="O121" s="217">
        <f t="shared" si="18"/>
        <v>-6.552106663622434E-2</v>
      </c>
    </row>
    <row r="122" spans="3:19" x14ac:dyDescent="0.25">
      <c r="C122" t="s">
        <v>279</v>
      </c>
      <c r="D122" t="s">
        <v>614</v>
      </c>
      <c r="E122" s="220">
        <f t="shared" ref="E122:O122" si="19">IFERROR((E107-E99)/E99,"-")</f>
        <v>-5.1877256522044786E-2</v>
      </c>
      <c r="F122" s="217">
        <f t="shared" si="19"/>
        <v>-0.2439542739296556</v>
      </c>
      <c r="G122" s="217">
        <f t="shared" si="19"/>
        <v>0</v>
      </c>
      <c r="H122" s="221" t="str">
        <f t="shared" si="19"/>
        <v>-</v>
      </c>
      <c r="I122" s="217">
        <f t="shared" si="19"/>
        <v>-2.1080703810327835E-3</v>
      </c>
      <c r="J122" s="217">
        <f t="shared" si="19"/>
        <v>0.14530610415202783</v>
      </c>
      <c r="K122" s="221" t="str">
        <f t="shared" si="19"/>
        <v>-</v>
      </c>
      <c r="L122" s="217">
        <f t="shared" si="19"/>
        <v>0.22937749349645117</v>
      </c>
      <c r="M122" s="217">
        <f t="shared" si="19"/>
        <v>-0.15301418862146843</v>
      </c>
      <c r="N122" s="217">
        <f t="shared" si="19"/>
        <v>-7.1309856833139784E-2</v>
      </c>
      <c r="O122" s="217">
        <f t="shared" si="19"/>
        <v>-7.1309856833139562E-2</v>
      </c>
    </row>
    <row r="123" spans="3:19" x14ac:dyDescent="0.25">
      <c r="C123" t="s">
        <v>280</v>
      </c>
      <c r="D123" t="s">
        <v>614</v>
      </c>
      <c r="E123" s="220">
        <f t="shared" ref="E123:O123" si="20">IFERROR((E108-E100)/E100,"-")</f>
        <v>-4.6755800951655345E-2</v>
      </c>
      <c r="F123" s="217">
        <f t="shared" si="20"/>
        <v>-0.24186958199685452</v>
      </c>
      <c r="G123" s="217">
        <f t="shared" si="20"/>
        <v>0</v>
      </c>
      <c r="H123" s="221" t="str">
        <f t="shared" si="20"/>
        <v>-</v>
      </c>
      <c r="I123" s="217">
        <f t="shared" si="20"/>
        <v>-2.1080703810327835E-3</v>
      </c>
      <c r="J123" s="217">
        <f t="shared" si="20"/>
        <v>0.14066951891015544</v>
      </c>
      <c r="K123" s="221" t="str">
        <f t="shared" si="20"/>
        <v>-</v>
      </c>
      <c r="L123" s="217">
        <f t="shared" si="20"/>
        <v>0.22937749349645117</v>
      </c>
      <c r="M123" s="217">
        <f t="shared" si="20"/>
        <v>-0.15094264571654509</v>
      </c>
      <c r="N123" s="217">
        <f t="shared" si="20"/>
        <v>-6.6414885982003305E-2</v>
      </c>
      <c r="O123" s="217">
        <f t="shared" si="20"/>
        <v>-6.6414885982003555E-2</v>
      </c>
    </row>
    <row r="124" spans="3:19" x14ac:dyDescent="0.25">
      <c r="C124" t="s">
        <v>281</v>
      </c>
      <c r="D124" t="s">
        <v>614</v>
      </c>
      <c r="E124" s="220">
        <f t="shared" ref="E124:O124" si="21">IFERROR((E109-E101)/E101,"-")</f>
        <v>-6.2231554584354538E-2</v>
      </c>
      <c r="F124" s="217">
        <f t="shared" si="21"/>
        <v>-0.2482782613579976</v>
      </c>
      <c r="G124" s="217">
        <f t="shared" si="21"/>
        <v>0</v>
      </c>
      <c r="H124" s="221" t="str">
        <f t="shared" si="21"/>
        <v>-</v>
      </c>
      <c r="I124" s="217">
        <f t="shared" si="21"/>
        <v>-2.1080703810327835E-3</v>
      </c>
      <c r="J124" s="217">
        <f t="shared" si="21"/>
        <v>0.13533335054992857</v>
      </c>
      <c r="K124" s="221" t="str">
        <f t="shared" si="21"/>
        <v>-</v>
      </c>
      <c r="L124" s="217">
        <f t="shared" si="21"/>
        <v>0.22937749349645117</v>
      </c>
      <c r="M124" s="217">
        <f t="shared" si="21"/>
        <v>-0.15485912286532652</v>
      </c>
      <c r="N124" s="217">
        <f t="shared" si="21"/>
        <v>-7.7099440289341015E-2</v>
      </c>
      <c r="O124" s="217">
        <f t="shared" si="21"/>
        <v>-7.7099440289340807E-2</v>
      </c>
    </row>
    <row r="125" spans="3:19" x14ac:dyDescent="0.25">
      <c r="C125" t="s">
        <v>383</v>
      </c>
      <c r="D125" t="s">
        <v>614</v>
      </c>
      <c r="E125" s="220">
        <f t="shared" ref="E125:O125" si="22">IFERROR((E110-E102)/E102,"-")</f>
        <v>-4.9154160825216175E-2</v>
      </c>
      <c r="F125" s="217">
        <f t="shared" si="22"/>
        <v>-0.24107922273064852</v>
      </c>
      <c r="G125" s="217">
        <f t="shared" si="22"/>
        <v>0</v>
      </c>
      <c r="H125" s="221" t="str">
        <f t="shared" si="22"/>
        <v>-</v>
      </c>
      <c r="I125" s="217">
        <f t="shared" si="22"/>
        <v>-2.1080703810327835E-3</v>
      </c>
      <c r="J125" s="217">
        <f t="shared" si="22"/>
        <v>0.14282974528094095</v>
      </c>
      <c r="K125" s="221" t="str">
        <f t="shared" si="22"/>
        <v>-</v>
      </c>
      <c r="L125" s="217">
        <f t="shared" si="22"/>
        <v>0.22937749349645117</v>
      </c>
      <c r="M125" s="217">
        <f t="shared" si="22"/>
        <v>-0.15190549484393956</v>
      </c>
      <c r="N125" s="217">
        <f t="shared" si="22"/>
        <v>-6.7443282225090495E-2</v>
      </c>
      <c r="O125" s="217">
        <f t="shared" si="22"/>
        <v>-6.7443282225090689E-2</v>
      </c>
    </row>
  </sheetData>
  <mergeCells count="1">
    <mergeCell ref="A2:A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D823BA2-70E1-432A-82C2-59009DA36C2D}">
          <x14:formula1>
            <xm:f>'Lookup refs'!$G$8:$G$10</xm:f>
          </x14:formula1>
          <xm:sqref>D50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7AEF0-E3B4-430B-9D34-4B8EDDBD05A4}">
  <sheetPr>
    <tabColor rgb="FF4986A0"/>
  </sheetPr>
  <dimension ref="A1:Z133"/>
  <sheetViews>
    <sheetView showGridLines="0" topLeftCell="B1" zoomScale="85" zoomScaleNormal="85" workbookViewId="0">
      <pane ySplit="3" topLeftCell="A4" activePane="bottomLeft" state="frozen"/>
      <selection pane="bottomLeft" activeCell="M12" sqref="M12"/>
    </sheetView>
  </sheetViews>
  <sheetFormatPr defaultColWidth="9.140625" defaultRowHeight="15" outlineLevelCol="1" x14ac:dyDescent="0.25"/>
  <cols>
    <col min="1" max="1" width="100.7109375" hidden="1" customWidth="1" outlineLevel="1"/>
    <col min="2" max="2" width="10.7109375" style="6" customWidth="1" collapsed="1"/>
    <col min="3" max="3" width="41.140625" bestFit="1" customWidth="1"/>
    <col min="4" max="26" width="25.7109375" customWidth="1"/>
  </cols>
  <sheetData>
    <row r="1" spans="1:26" ht="15" customHeight="1" x14ac:dyDescent="0.25">
      <c r="A1" s="1" t="s">
        <v>27</v>
      </c>
      <c r="B1" s="22"/>
      <c r="C1" s="23"/>
      <c r="D1" s="23"/>
      <c r="E1" s="23"/>
      <c r="F1" s="23"/>
      <c r="G1" s="23"/>
      <c r="H1" s="23"/>
      <c r="I1" s="23"/>
      <c r="J1" s="23"/>
      <c r="K1" s="23"/>
      <c r="L1" s="23"/>
      <c r="M1" s="23"/>
      <c r="N1" s="23"/>
      <c r="O1" s="23"/>
      <c r="P1" s="23"/>
      <c r="Q1" s="23"/>
      <c r="R1" s="23"/>
      <c r="S1" s="23"/>
      <c r="T1" s="23"/>
      <c r="U1" s="23"/>
      <c r="V1" s="23"/>
      <c r="W1" s="23"/>
      <c r="X1" s="23"/>
      <c r="Y1" s="23"/>
      <c r="Z1" s="23"/>
    </row>
    <row r="2" spans="1:26" s="4" customFormat="1" ht="50.1" customHeight="1" x14ac:dyDescent="0.25">
      <c r="A2" s="293" t="s">
        <v>28</v>
      </c>
      <c r="B2" s="26"/>
      <c r="C2" s="26" t="str">
        <f>Disclaimer!$B$1</f>
        <v>VDO calculation model</v>
      </c>
      <c r="D2" s="26"/>
      <c r="E2" s="26"/>
      <c r="F2" s="26"/>
      <c r="G2" s="26"/>
      <c r="H2" s="26"/>
      <c r="I2" s="26"/>
      <c r="J2" s="26"/>
      <c r="K2" s="26"/>
      <c r="L2" s="26"/>
      <c r="M2" s="26"/>
      <c r="N2" s="26"/>
      <c r="O2" s="26"/>
      <c r="P2" s="26"/>
      <c r="Q2" s="26"/>
      <c r="R2" s="26"/>
      <c r="S2" s="26"/>
      <c r="T2" s="26"/>
      <c r="U2" s="26"/>
      <c r="V2" s="26"/>
      <c r="W2" s="26"/>
      <c r="X2" s="26"/>
      <c r="Y2" s="26"/>
      <c r="Z2" s="26"/>
    </row>
    <row r="3" spans="1:26" s="4" customFormat="1" ht="30" customHeight="1" x14ac:dyDescent="0.25">
      <c r="A3" s="294"/>
      <c r="B3" s="28">
        <f ca="1">_xlfn.SHEET()</f>
        <v>22</v>
      </c>
      <c r="C3" s="27" t="s">
        <v>345</v>
      </c>
      <c r="D3" s="27"/>
      <c r="E3" s="27"/>
      <c r="F3" s="27"/>
      <c r="G3" s="27"/>
      <c r="H3" s="27"/>
      <c r="I3" s="27"/>
      <c r="J3" s="27"/>
      <c r="K3" s="27"/>
      <c r="L3" s="27"/>
      <c r="M3" s="27"/>
      <c r="N3" s="27"/>
      <c r="O3" s="27"/>
      <c r="P3" s="27"/>
      <c r="Q3" s="27"/>
      <c r="R3" s="27"/>
      <c r="S3" s="27"/>
      <c r="T3" s="27"/>
      <c r="U3" s="27"/>
      <c r="V3" s="27"/>
      <c r="W3" s="27"/>
      <c r="X3" s="27"/>
      <c r="Y3" s="27"/>
      <c r="Z3" s="27"/>
    </row>
    <row r="4" spans="1:26" x14ac:dyDescent="0.25">
      <c r="B4"/>
    </row>
    <row r="5" spans="1:26" ht="16.5" thickBot="1" x14ac:dyDescent="0.3">
      <c r="A5" s="1" t="s">
        <v>30</v>
      </c>
      <c r="B5" s="9">
        <f ca="1">MAX(B$3:B4)+0.1</f>
        <v>22.1</v>
      </c>
      <c r="C5" s="29" t="s">
        <v>52</v>
      </c>
      <c r="D5" s="29"/>
      <c r="E5" s="29"/>
      <c r="F5" s="29"/>
      <c r="G5" s="29"/>
      <c r="H5" s="29"/>
      <c r="I5" s="29"/>
      <c r="J5" s="29"/>
      <c r="K5" s="29"/>
      <c r="L5" s="29"/>
      <c r="M5" s="29"/>
      <c r="N5" s="29"/>
      <c r="O5" s="29"/>
      <c r="P5" s="29"/>
      <c r="Q5" s="29"/>
      <c r="R5" s="29"/>
      <c r="S5" s="29"/>
      <c r="T5" s="29"/>
      <c r="U5" s="29"/>
      <c r="V5" s="29"/>
      <c r="W5" s="29"/>
      <c r="X5" s="29"/>
      <c r="Y5" s="29"/>
      <c r="Z5" s="29"/>
    </row>
    <row r="7" spans="1:26" ht="15.75" x14ac:dyDescent="0.25">
      <c r="C7" s="53" t="s">
        <v>110</v>
      </c>
      <c r="E7" s="53" t="s">
        <v>346</v>
      </c>
      <c r="G7" s="53" t="s">
        <v>99</v>
      </c>
      <c r="I7" s="53" t="s">
        <v>347</v>
      </c>
      <c r="K7" s="43" t="s">
        <v>679</v>
      </c>
      <c r="M7" s="43" t="s">
        <v>746</v>
      </c>
    </row>
    <row r="8" spans="1:26" x14ac:dyDescent="0.25">
      <c r="C8" s="52" t="s">
        <v>11</v>
      </c>
      <c r="E8" s="52" t="s">
        <v>291</v>
      </c>
      <c r="G8" s="52" t="s">
        <v>119</v>
      </c>
      <c r="I8" s="52" t="s">
        <v>229</v>
      </c>
      <c r="K8" s="18" t="s">
        <v>570</v>
      </c>
      <c r="M8" s="18" t="s">
        <v>570</v>
      </c>
    </row>
    <row r="9" spans="1:26" x14ac:dyDescent="0.25">
      <c r="C9" s="54" t="s">
        <v>117</v>
      </c>
      <c r="E9" s="52" t="s">
        <v>140</v>
      </c>
      <c r="G9" s="52" t="s">
        <v>100</v>
      </c>
      <c r="I9" s="52" t="s">
        <v>232</v>
      </c>
      <c r="K9" s="18" t="s">
        <v>326</v>
      </c>
      <c r="M9" s="18" t="s">
        <v>326</v>
      </c>
    </row>
    <row r="10" spans="1:26" x14ac:dyDescent="0.25">
      <c r="C10" s="54" t="s">
        <v>139</v>
      </c>
      <c r="E10" s="52" t="s">
        <v>118</v>
      </c>
      <c r="G10" s="54" t="s">
        <v>101</v>
      </c>
      <c r="I10" s="52" t="s">
        <v>233</v>
      </c>
      <c r="K10" s="18" t="s">
        <v>680</v>
      </c>
    </row>
    <row r="11" spans="1:26" x14ac:dyDescent="0.25">
      <c r="E11" s="52" t="s">
        <v>128</v>
      </c>
      <c r="I11" s="52" t="s">
        <v>234</v>
      </c>
    </row>
    <row r="12" spans="1:26" x14ac:dyDescent="0.25">
      <c r="E12" s="52" t="s">
        <v>162</v>
      </c>
      <c r="I12" s="52" t="s">
        <v>235</v>
      </c>
    </row>
    <row r="13" spans="1:26" x14ac:dyDescent="0.25">
      <c r="E13" s="52" t="s">
        <v>231</v>
      </c>
      <c r="I13" s="54" t="s">
        <v>236</v>
      </c>
    </row>
    <row r="14" spans="1:26" x14ac:dyDescent="0.25">
      <c r="E14" s="52" t="s">
        <v>174</v>
      </c>
    </row>
    <row r="15" spans="1:26" x14ac:dyDescent="0.25">
      <c r="E15" s="52" t="s">
        <v>213</v>
      </c>
    </row>
    <row r="16" spans="1:26" x14ac:dyDescent="0.25">
      <c r="E16" s="54" t="s">
        <v>564</v>
      </c>
    </row>
    <row r="17" spans="1:26" x14ac:dyDescent="0.25">
      <c r="E17" s="54" t="s">
        <v>261</v>
      </c>
    </row>
    <row r="18" spans="1:26" x14ac:dyDescent="0.25">
      <c r="E18" s="54" t="s">
        <v>348</v>
      </c>
    </row>
    <row r="19" spans="1:26" x14ac:dyDescent="0.25">
      <c r="E19" s="54" t="s">
        <v>132</v>
      </c>
    </row>
    <row r="20" spans="1:26" x14ac:dyDescent="0.25">
      <c r="E20" s="54" t="s">
        <v>166</v>
      </c>
    </row>
    <row r="23" spans="1:26" ht="16.5" thickBot="1" x14ac:dyDescent="0.3">
      <c r="A23" s="1" t="s">
        <v>30</v>
      </c>
      <c r="B23" s="9">
        <f ca="1">MAX(B$3:B22)+0.1</f>
        <v>22.200000000000003</v>
      </c>
      <c r="C23" s="29" t="s">
        <v>349</v>
      </c>
      <c r="D23" s="29"/>
      <c r="E23" s="29"/>
      <c r="F23" s="29"/>
      <c r="G23" s="29"/>
      <c r="H23" s="29"/>
      <c r="I23" s="29"/>
      <c r="J23" s="29"/>
      <c r="K23" s="29"/>
      <c r="L23" s="29"/>
      <c r="M23" s="29"/>
      <c r="N23" s="29"/>
      <c r="O23" s="29"/>
      <c r="P23" s="29"/>
      <c r="Q23" s="29"/>
      <c r="R23" s="29"/>
      <c r="S23" s="29"/>
      <c r="T23" s="29"/>
      <c r="U23" s="29"/>
      <c r="V23" s="29"/>
      <c r="W23" s="29"/>
      <c r="X23" s="29"/>
      <c r="Y23" s="29"/>
      <c r="Z23" s="29"/>
    </row>
    <row r="25" spans="1:26" ht="15.75" x14ac:dyDescent="0.25">
      <c r="C25" s="43" t="s">
        <v>109</v>
      </c>
      <c r="D25" s="18" t="s">
        <v>266</v>
      </c>
    </row>
    <row r="27" spans="1:26" ht="15.75" x14ac:dyDescent="0.25">
      <c r="C27" s="44" t="s">
        <v>350</v>
      </c>
      <c r="D27" s="61" t="s">
        <v>277</v>
      </c>
      <c r="E27" s="61" t="s">
        <v>278</v>
      </c>
      <c r="F27" s="61" t="s">
        <v>279</v>
      </c>
      <c r="G27" s="61" t="s">
        <v>280</v>
      </c>
      <c r="H27" s="86" t="s">
        <v>281</v>
      </c>
    </row>
    <row r="28" spans="1:26" x14ac:dyDescent="0.25">
      <c r="C28" s="24" t="s">
        <v>419</v>
      </c>
      <c r="D28" s="84">
        <v>1.1643139530913376</v>
      </c>
      <c r="E28" s="84">
        <v>1.1329958380228444</v>
      </c>
      <c r="F28" s="84">
        <v>1.0675154117214745</v>
      </c>
      <c r="G28" s="84">
        <v>1.2918234215844884</v>
      </c>
      <c r="H28" s="85">
        <v>0.98241322761188543</v>
      </c>
    </row>
    <row r="29" spans="1:26" x14ac:dyDescent="0.25">
      <c r="C29" s="24" t="s">
        <v>351</v>
      </c>
      <c r="D29" s="84" t="s">
        <v>11</v>
      </c>
      <c r="E29" s="84" t="s">
        <v>11</v>
      </c>
      <c r="F29" s="84" t="s">
        <v>11</v>
      </c>
      <c r="G29" s="84" t="s">
        <v>11</v>
      </c>
      <c r="H29" s="84" t="s">
        <v>11</v>
      </c>
    </row>
    <row r="30" spans="1:26" x14ac:dyDescent="0.25">
      <c r="C30" s="24" t="s">
        <v>352</v>
      </c>
      <c r="D30" s="84" t="s">
        <v>11</v>
      </c>
      <c r="E30" s="84" t="s">
        <v>11</v>
      </c>
      <c r="F30" s="84" t="s">
        <v>11</v>
      </c>
      <c r="G30" s="84" t="s">
        <v>11</v>
      </c>
      <c r="H30" s="84" t="s">
        <v>11</v>
      </c>
    </row>
    <row r="31" spans="1:26" x14ac:dyDescent="0.25">
      <c r="C31" s="24" t="s">
        <v>353</v>
      </c>
      <c r="D31" s="84">
        <v>0.27028964973702402</v>
      </c>
      <c r="E31" s="84" t="s">
        <v>11</v>
      </c>
      <c r="F31" s="84" t="s">
        <v>11</v>
      </c>
      <c r="G31" s="84" t="s">
        <v>11</v>
      </c>
      <c r="H31" s="85" t="s">
        <v>11</v>
      </c>
    </row>
    <row r="32" spans="1:26" x14ac:dyDescent="0.25">
      <c r="C32" s="24" t="s">
        <v>354</v>
      </c>
      <c r="D32" s="84">
        <v>0.288237662017024</v>
      </c>
      <c r="E32" s="84" t="s">
        <v>11</v>
      </c>
      <c r="F32" s="84" t="s">
        <v>11</v>
      </c>
      <c r="G32" s="84" t="s">
        <v>11</v>
      </c>
      <c r="H32" s="85" t="s">
        <v>11</v>
      </c>
    </row>
    <row r="33" spans="1:26" x14ac:dyDescent="0.25">
      <c r="C33" s="24" t="s">
        <v>355</v>
      </c>
      <c r="D33" s="84" t="s">
        <v>11</v>
      </c>
      <c r="E33" s="84">
        <v>0.21397794983227572</v>
      </c>
      <c r="F33" s="84">
        <v>0.23436276603406417</v>
      </c>
      <c r="G33" s="84">
        <v>0.22402012546340738</v>
      </c>
      <c r="H33" s="85">
        <v>0.23997068438905028</v>
      </c>
    </row>
    <row r="34" spans="1:26" x14ac:dyDescent="0.25">
      <c r="C34" s="24" t="s">
        <v>356</v>
      </c>
      <c r="D34" s="84">
        <v>0.192443777017024</v>
      </c>
      <c r="E34" s="84">
        <v>0.16288787783227573</v>
      </c>
      <c r="F34" s="84">
        <v>0.18189629483406419</v>
      </c>
      <c r="G34" s="84">
        <v>0.17036388546340739</v>
      </c>
      <c r="H34" s="85">
        <v>0.17068414838905027</v>
      </c>
    </row>
    <row r="35" spans="1:26" x14ac:dyDescent="0.25">
      <c r="C35" s="24" t="s">
        <v>420</v>
      </c>
      <c r="D35" s="84">
        <v>1.1643139530913376</v>
      </c>
      <c r="E35" s="84">
        <v>1.3566966599406525</v>
      </c>
      <c r="F35" s="84">
        <v>1.2263781482694198</v>
      </c>
      <c r="G35" s="84">
        <v>1.4196524626803786</v>
      </c>
      <c r="H35" s="85">
        <v>1.0463341396118855</v>
      </c>
    </row>
    <row r="36" spans="1:26" x14ac:dyDescent="0.25">
      <c r="C36" s="24" t="s">
        <v>357</v>
      </c>
      <c r="D36" s="84" t="s">
        <v>11</v>
      </c>
      <c r="E36" s="84" t="s">
        <v>11</v>
      </c>
      <c r="F36" s="84" t="s">
        <v>11</v>
      </c>
      <c r="G36" s="84" t="s">
        <v>11</v>
      </c>
      <c r="H36" s="84" t="s">
        <v>11</v>
      </c>
    </row>
    <row r="37" spans="1:26" x14ac:dyDescent="0.25">
      <c r="C37" s="24" t="s">
        <v>358</v>
      </c>
      <c r="D37" s="84" t="s">
        <v>11</v>
      </c>
      <c r="E37" s="84" t="s">
        <v>11</v>
      </c>
      <c r="F37" s="84" t="s">
        <v>11</v>
      </c>
      <c r="G37" s="84" t="s">
        <v>11</v>
      </c>
      <c r="H37" s="84" t="s">
        <v>11</v>
      </c>
    </row>
    <row r="38" spans="1:26" x14ac:dyDescent="0.25">
      <c r="C38" s="24" t="s">
        <v>359</v>
      </c>
      <c r="D38" s="84">
        <v>0.29545622046732462</v>
      </c>
      <c r="E38" s="84" t="s">
        <v>11</v>
      </c>
      <c r="F38" s="84" t="s">
        <v>11</v>
      </c>
      <c r="G38" s="84" t="s">
        <v>11</v>
      </c>
      <c r="H38" s="85" t="s">
        <v>11</v>
      </c>
    </row>
    <row r="39" spans="1:26" x14ac:dyDescent="0.25">
      <c r="C39" s="24" t="s">
        <v>360</v>
      </c>
      <c r="D39" s="84">
        <v>0.33015431114732463</v>
      </c>
      <c r="E39" s="84" t="s">
        <v>11</v>
      </c>
      <c r="F39" s="84" t="s">
        <v>11</v>
      </c>
      <c r="G39" s="84" t="s">
        <v>11</v>
      </c>
      <c r="H39" s="85" t="s">
        <v>11</v>
      </c>
    </row>
    <row r="40" spans="1:26" x14ac:dyDescent="0.25">
      <c r="C40" s="24" t="s">
        <v>361</v>
      </c>
      <c r="D40" s="84" t="s">
        <v>11</v>
      </c>
      <c r="E40" s="84">
        <v>0.22177428039519706</v>
      </c>
      <c r="F40" s="84">
        <v>0.24047061408215717</v>
      </c>
      <c r="G40" s="84">
        <v>0.22881989228956526</v>
      </c>
      <c r="H40" s="85">
        <v>0.24435686750333541</v>
      </c>
    </row>
    <row r="43" spans="1:26" ht="16.5" thickBot="1" x14ac:dyDescent="0.3">
      <c r="A43" s="1" t="s">
        <v>30</v>
      </c>
      <c r="B43" s="9">
        <f ca="1">MAX(B$3:B42)+0.1</f>
        <v>22.300000000000004</v>
      </c>
      <c r="C43" s="29" t="s">
        <v>606</v>
      </c>
      <c r="D43" s="29"/>
      <c r="E43" s="29"/>
      <c r="F43" s="29"/>
      <c r="G43" s="29"/>
      <c r="H43" s="29"/>
      <c r="I43" s="29"/>
      <c r="J43" s="29"/>
      <c r="K43" s="29"/>
      <c r="L43" s="29"/>
      <c r="M43" s="29"/>
      <c r="N43" s="29"/>
      <c r="O43" s="29"/>
      <c r="P43" s="29"/>
      <c r="Q43" s="29"/>
      <c r="R43" s="29"/>
      <c r="S43" s="29"/>
      <c r="T43" s="29"/>
      <c r="U43" s="29"/>
      <c r="V43" s="29"/>
      <c r="W43" s="29"/>
      <c r="X43" s="29"/>
      <c r="Y43" s="29"/>
      <c r="Z43" s="29"/>
    </row>
    <row r="45" spans="1:26" ht="15.75" x14ac:dyDescent="0.25">
      <c r="C45" s="44" t="s">
        <v>109</v>
      </c>
      <c r="D45" s="44" t="s">
        <v>99</v>
      </c>
      <c r="E45" s="44" t="s">
        <v>53</v>
      </c>
      <c r="F45" s="142" t="s">
        <v>277</v>
      </c>
      <c r="G45" s="142" t="s">
        <v>278</v>
      </c>
      <c r="H45" s="142" t="s">
        <v>279</v>
      </c>
      <c r="I45" s="142" t="s">
        <v>280</v>
      </c>
      <c r="J45" s="142" t="s">
        <v>281</v>
      </c>
      <c r="K45" s="174" t="s">
        <v>383</v>
      </c>
    </row>
    <row r="46" spans="1:26" x14ac:dyDescent="0.25">
      <c r="C46" t="s">
        <v>605</v>
      </c>
      <c r="D46" s="24" t="s">
        <v>100</v>
      </c>
      <c r="E46" s="24" t="s">
        <v>384</v>
      </c>
      <c r="F46" s="206">
        <v>1527.8509585118993</v>
      </c>
      <c r="G46" s="206">
        <v>1333.6293965975781</v>
      </c>
      <c r="H46" s="206">
        <v>1385.2863289060126</v>
      </c>
      <c r="I46" s="206">
        <v>1411.2558006237807</v>
      </c>
      <c r="J46" s="206">
        <v>1380.4973533747207</v>
      </c>
      <c r="K46" s="207">
        <v>1407.7039676027982</v>
      </c>
      <c r="M46" s="123" t="s">
        <v>552</v>
      </c>
      <c r="N46" t="s">
        <v>553</v>
      </c>
    </row>
    <row r="47" spans="1:26" x14ac:dyDescent="0.25">
      <c r="C47" t="s">
        <v>605</v>
      </c>
      <c r="D47" s="24" t="s">
        <v>100</v>
      </c>
      <c r="E47" s="24" t="s">
        <v>137</v>
      </c>
      <c r="F47" s="206">
        <v>442.60601471400008</v>
      </c>
      <c r="G47" s="206">
        <v>431.59282379135993</v>
      </c>
      <c r="H47" s="206">
        <v>452.93898497377774</v>
      </c>
      <c r="I47" s="206">
        <v>433.07596988040001</v>
      </c>
      <c r="J47" s="206">
        <v>459.59114697999991</v>
      </c>
      <c r="K47" s="207">
        <v>443.96098806790752</v>
      </c>
    </row>
    <row r="48" spans="1:26" x14ac:dyDescent="0.25">
      <c r="C48" t="s">
        <v>605</v>
      </c>
      <c r="D48" s="24" t="s">
        <v>100</v>
      </c>
      <c r="E48" s="24" t="s">
        <v>130</v>
      </c>
      <c r="F48" s="206">
        <v>581.69329600000003</v>
      </c>
      <c r="G48" s="206">
        <v>426.6</v>
      </c>
      <c r="H48" s="206">
        <v>449.94799999999998</v>
      </c>
      <c r="I48" s="206">
        <v>491.8</v>
      </c>
      <c r="J48" s="206">
        <v>438.00741333713455</v>
      </c>
      <c r="K48" s="207">
        <v>477.60974186742698</v>
      </c>
    </row>
    <row r="49" spans="3:15" x14ac:dyDescent="0.25">
      <c r="C49" t="s">
        <v>605</v>
      </c>
      <c r="D49" s="24" t="s">
        <v>100</v>
      </c>
      <c r="E49" s="24" t="s">
        <v>115</v>
      </c>
      <c r="F49" s="206">
        <v>172</v>
      </c>
      <c r="G49" s="206">
        <v>172</v>
      </c>
      <c r="H49" s="206">
        <v>172</v>
      </c>
      <c r="I49" s="206">
        <v>172</v>
      </c>
      <c r="J49" s="206">
        <v>172</v>
      </c>
      <c r="K49" s="207">
        <v>172</v>
      </c>
    </row>
    <row r="50" spans="3:15" x14ac:dyDescent="0.25">
      <c r="C50" t="s">
        <v>605</v>
      </c>
      <c r="D50" s="24" t="s">
        <v>100</v>
      </c>
      <c r="E50" s="24" t="s">
        <v>611</v>
      </c>
      <c r="F50" s="206">
        <v>98.570398528509571</v>
      </c>
      <c r="G50" s="206">
        <v>98.184757703722909</v>
      </c>
      <c r="H50" s="206">
        <v>97.79268247929005</v>
      </c>
      <c r="I50" s="206">
        <v>98.05672038494086</v>
      </c>
      <c r="J50" s="206">
        <v>98.928788098814238</v>
      </c>
      <c r="K50" s="207">
        <v>98.306669439055526</v>
      </c>
      <c r="M50" t="s">
        <v>605</v>
      </c>
      <c r="N50" t="s">
        <v>100</v>
      </c>
      <c r="O50" s="123" t="s">
        <v>552</v>
      </c>
    </row>
    <row r="51" spans="3:15" x14ac:dyDescent="0.25">
      <c r="C51" t="s">
        <v>605</v>
      </c>
      <c r="D51" s="24" t="s">
        <v>100</v>
      </c>
      <c r="E51" s="24" t="s">
        <v>607</v>
      </c>
      <c r="F51" s="206">
        <v>6.6485375744689605</v>
      </c>
      <c r="G51" s="206">
        <v>6.6485375744689605</v>
      </c>
      <c r="H51" s="206">
        <v>6.6485375744689605</v>
      </c>
      <c r="I51" s="206">
        <v>6.6485375744689605</v>
      </c>
      <c r="J51" s="206">
        <v>6.6485375744689605</v>
      </c>
      <c r="K51" s="207">
        <v>6.6485375744689605</v>
      </c>
      <c r="M51" t="s">
        <v>604</v>
      </c>
      <c r="N51" t="s">
        <v>100</v>
      </c>
      <c r="O51" s="123" t="s">
        <v>552</v>
      </c>
    </row>
    <row r="52" spans="3:15" x14ac:dyDescent="0.25">
      <c r="C52" t="s">
        <v>605</v>
      </c>
      <c r="D52" s="24" t="s">
        <v>100</v>
      </c>
      <c r="E52" s="24" t="s">
        <v>282</v>
      </c>
      <c r="F52" s="206">
        <v>8.3227724483924597</v>
      </c>
      <c r="G52" s="206">
        <v>8.3069255770466981</v>
      </c>
      <c r="H52" s="206">
        <v>8.2908143013722828</v>
      </c>
      <c r="I52" s="206">
        <v>8.3016642281754596</v>
      </c>
      <c r="J52" s="206">
        <v>8.3374995028100578</v>
      </c>
      <c r="K52" s="207">
        <v>8.3119352115593923</v>
      </c>
      <c r="M52" t="s">
        <v>266</v>
      </c>
      <c r="N52" t="s">
        <v>100</v>
      </c>
      <c r="O52" s="123" t="s">
        <v>552</v>
      </c>
    </row>
    <row r="53" spans="3:15" x14ac:dyDescent="0.25">
      <c r="C53" t="s">
        <v>605</v>
      </c>
      <c r="D53" s="24" t="s">
        <v>100</v>
      </c>
      <c r="E53" s="24" t="s">
        <v>211</v>
      </c>
      <c r="F53" s="206">
        <v>79.114397563628415</v>
      </c>
      <c r="G53" s="206">
        <v>69.057315896654544</v>
      </c>
      <c r="H53" s="206">
        <v>71.732188767466099</v>
      </c>
      <c r="I53" s="206">
        <v>73.076926680906311</v>
      </c>
      <c r="J53" s="206">
        <v>71.484208483790965</v>
      </c>
      <c r="K53" s="207">
        <v>72.893007478489253</v>
      </c>
      <c r="M53" t="s">
        <v>605</v>
      </c>
      <c r="N53" t="s">
        <v>101</v>
      </c>
      <c r="O53" s="123" t="s">
        <v>552</v>
      </c>
    </row>
    <row r="54" spans="3:15" x14ac:dyDescent="0.25">
      <c r="C54" t="s">
        <v>605</v>
      </c>
      <c r="D54" s="24" t="s">
        <v>100</v>
      </c>
      <c r="E54" s="24" t="s">
        <v>286</v>
      </c>
      <c r="F54" s="206">
        <v>138.89554168289996</v>
      </c>
      <c r="G54" s="206">
        <v>121.2390360543253</v>
      </c>
      <c r="H54" s="206">
        <v>125.93512080963751</v>
      </c>
      <c r="I54" s="206">
        <v>128.29598187488918</v>
      </c>
      <c r="J54" s="206">
        <v>125.49975939770189</v>
      </c>
      <c r="K54" s="207">
        <v>127.97308796389075</v>
      </c>
      <c r="M54" t="s">
        <v>604</v>
      </c>
      <c r="N54" t="s">
        <v>101</v>
      </c>
      <c r="O54" s="123" t="s">
        <v>552</v>
      </c>
    </row>
    <row r="55" spans="3:15" x14ac:dyDescent="0.25">
      <c r="C55" t="s">
        <v>604</v>
      </c>
      <c r="D55" s="24" t="s">
        <v>100</v>
      </c>
      <c r="E55" s="24" t="s">
        <v>384</v>
      </c>
      <c r="F55" s="206">
        <v>1645.0868307368989</v>
      </c>
      <c r="G55" s="206">
        <v>1419.6034655693966</v>
      </c>
      <c r="H55" s="206">
        <v>1495.4373770266125</v>
      </c>
      <c r="I55" s="206">
        <v>1516.7903773165822</v>
      </c>
      <c r="J55" s="206">
        <v>1507.7246825417187</v>
      </c>
      <c r="K55" s="207">
        <v>1516.9285466382419</v>
      </c>
      <c r="M55" t="s">
        <v>266</v>
      </c>
      <c r="N55" t="s">
        <v>101</v>
      </c>
      <c r="O55" s="123" t="s">
        <v>552</v>
      </c>
    </row>
    <row r="56" spans="3:15" x14ac:dyDescent="0.25">
      <c r="C56" t="s">
        <v>604</v>
      </c>
      <c r="D56" s="24" t="s">
        <v>100</v>
      </c>
      <c r="E56" s="24" t="s">
        <v>137</v>
      </c>
      <c r="F56" s="206">
        <v>512.16903559111108</v>
      </c>
      <c r="G56" s="206">
        <v>494.81347888639999</v>
      </c>
      <c r="H56" s="206">
        <v>526.88983326719995</v>
      </c>
      <c r="I56" s="206">
        <v>500.20962878879993</v>
      </c>
      <c r="J56" s="206">
        <v>537.39101088680002</v>
      </c>
      <c r="K56" s="207">
        <v>514.29459748406214</v>
      </c>
      <c r="M56" t="s">
        <v>608</v>
      </c>
      <c r="N56" t="s">
        <v>100</v>
      </c>
      <c r="O56" s="123" t="s">
        <v>552</v>
      </c>
    </row>
    <row r="57" spans="3:15" x14ac:dyDescent="0.25">
      <c r="C57" t="s">
        <v>604</v>
      </c>
      <c r="D57" s="24" t="s">
        <v>100</v>
      </c>
      <c r="E57" s="24" t="s">
        <v>130</v>
      </c>
      <c r="F57" s="206">
        <v>623.98</v>
      </c>
      <c r="G57" s="206">
        <v>448.7</v>
      </c>
      <c r="H57" s="206">
        <v>482.02</v>
      </c>
      <c r="I57" s="206">
        <v>526.5</v>
      </c>
      <c r="J57" s="206">
        <v>481.02449999999999</v>
      </c>
      <c r="K57" s="207">
        <v>512.44489999999996</v>
      </c>
      <c r="M57" t="s">
        <v>608</v>
      </c>
      <c r="N57" t="s">
        <v>101</v>
      </c>
      <c r="O57" s="123" t="s">
        <v>552</v>
      </c>
    </row>
    <row r="58" spans="3:15" x14ac:dyDescent="0.25">
      <c r="C58" t="s">
        <v>604</v>
      </c>
      <c r="D58" s="24" t="s">
        <v>100</v>
      </c>
      <c r="E58" s="24" t="s">
        <v>115</v>
      </c>
      <c r="F58" s="206">
        <v>174.40888630791068</v>
      </c>
      <c r="G58" s="206">
        <v>174.40888630791068</v>
      </c>
      <c r="H58" s="206">
        <v>174.40888630791068</v>
      </c>
      <c r="I58" s="206">
        <v>174.40888630791068</v>
      </c>
      <c r="J58" s="206">
        <v>174.40888630791068</v>
      </c>
      <c r="K58" s="207">
        <v>174.40888630791068</v>
      </c>
    </row>
    <row r="59" spans="3:15" x14ac:dyDescent="0.25">
      <c r="C59" t="s">
        <v>604</v>
      </c>
      <c r="D59" s="24" t="s">
        <v>100</v>
      </c>
      <c r="E59" s="24" t="s">
        <v>611</v>
      </c>
      <c r="F59" s="206">
        <v>82.266793890124106</v>
      </c>
      <c r="G59" s="206">
        <v>81.627152672234246</v>
      </c>
      <c r="H59" s="206">
        <v>81.263167308449624</v>
      </c>
      <c r="I59" s="206">
        <v>81.744076458604852</v>
      </c>
      <c r="J59" s="206">
        <v>82.239877912772613</v>
      </c>
      <c r="K59" s="207">
        <v>81.828213648437085</v>
      </c>
      <c r="M59" t="s">
        <v>605</v>
      </c>
      <c r="N59" t="s">
        <v>100</v>
      </c>
      <c r="O59" t="s">
        <v>553</v>
      </c>
    </row>
    <row r="60" spans="3:15" x14ac:dyDescent="0.25">
      <c r="C60" t="s">
        <v>604</v>
      </c>
      <c r="D60" s="24" t="s">
        <v>100</v>
      </c>
      <c r="E60" s="24" t="s">
        <v>607</v>
      </c>
      <c r="F60" s="206">
        <v>8.392848052444899</v>
      </c>
      <c r="G60" s="206">
        <v>8.392848052444899</v>
      </c>
      <c r="H60" s="206">
        <v>8.392848052444899</v>
      </c>
      <c r="I60" s="206">
        <v>8.392848052444899</v>
      </c>
      <c r="J60" s="206">
        <v>8.392848052444899</v>
      </c>
      <c r="K60" s="207">
        <v>8.392848052444899</v>
      </c>
      <c r="M60" t="s">
        <v>604</v>
      </c>
      <c r="N60" t="s">
        <v>100</v>
      </c>
      <c r="O60" t="s">
        <v>553</v>
      </c>
    </row>
    <row r="61" spans="3:15" x14ac:dyDescent="0.25">
      <c r="C61" t="s">
        <v>604</v>
      </c>
      <c r="D61" s="24" t="s">
        <v>100</v>
      </c>
      <c r="E61" s="24" t="s">
        <v>282</v>
      </c>
      <c r="F61" s="206">
        <v>9.1308730577774266</v>
      </c>
      <c r="G61" s="206">
        <v>9.097057942843227</v>
      </c>
      <c r="H61" s="206">
        <v>9.0778155823347095</v>
      </c>
      <c r="I61" s="206">
        <v>9.1032392069082722</v>
      </c>
      <c r="J61" s="206">
        <v>9.12945012435436</v>
      </c>
      <c r="K61" s="207">
        <v>9.1076871828436001</v>
      </c>
      <c r="M61" t="s">
        <v>266</v>
      </c>
      <c r="N61" t="s">
        <v>100</v>
      </c>
      <c r="O61" t="s">
        <v>553</v>
      </c>
    </row>
    <row r="62" spans="3:15" x14ac:dyDescent="0.25">
      <c r="C62" t="s">
        <v>604</v>
      </c>
      <c r="D62" s="24" t="s">
        <v>100</v>
      </c>
      <c r="E62" s="24" t="s">
        <v>211</v>
      </c>
      <c r="F62" s="206">
        <v>85.185045588721835</v>
      </c>
      <c r="G62" s="206">
        <v>73.509181201254719</v>
      </c>
      <c r="H62" s="206">
        <v>77.435974051307738</v>
      </c>
      <c r="I62" s="206">
        <v>78.54166420040599</v>
      </c>
      <c r="J62" s="206">
        <v>78.072229026370678</v>
      </c>
      <c r="K62" s="207">
        <v>78.548818813612186</v>
      </c>
      <c r="M62" t="s">
        <v>605</v>
      </c>
      <c r="N62" t="s">
        <v>101</v>
      </c>
      <c r="O62" t="s">
        <v>553</v>
      </c>
    </row>
    <row r="63" spans="3:15" x14ac:dyDescent="0.25">
      <c r="C63" t="s">
        <v>604</v>
      </c>
      <c r="D63" s="24" t="s">
        <v>100</v>
      </c>
      <c r="E63" s="24" t="s">
        <v>286</v>
      </c>
      <c r="F63" s="206">
        <v>149.55334824880899</v>
      </c>
      <c r="G63" s="206">
        <v>129.05486050630878</v>
      </c>
      <c r="H63" s="206">
        <v>135.94885245696477</v>
      </c>
      <c r="I63" s="206">
        <v>137.89003430150748</v>
      </c>
      <c r="J63" s="206">
        <v>137.06588023106534</v>
      </c>
      <c r="K63" s="207">
        <v>137.90259514893108</v>
      </c>
      <c r="M63" t="s">
        <v>604</v>
      </c>
      <c r="N63" t="s">
        <v>101</v>
      </c>
      <c r="O63" t="s">
        <v>553</v>
      </c>
    </row>
    <row r="64" spans="3:15" x14ac:dyDescent="0.25">
      <c r="C64" t="s">
        <v>266</v>
      </c>
      <c r="D64" s="24" t="s">
        <v>100</v>
      </c>
      <c r="E64" s="24" t="s">
        <v>384</v>
      </c>
      <c r="F64" s="206">
        <v>1506.1331918264343</v>
      </c>
      <c r="G64" s="206">
        <v>1269.4552802074409</v>
      </c>
      <c r="H64" s="206">
        <v>1327.0941894145951</v>
      </c>
      <c r="I64" s="206">
        <v>1367.5960507319678</v>
      </c>
      <c r="J64" s="206">
        <v>1318.4635656345395</v>
      </c>
      <c r="K64" s="207">
        <v>1357.7484555629956</v>
      </c>
      <c r="M64" t="s">
        <v>266</v>
      </c>
      <c r="N64" t="s">
        <v>101</v>
      </c>
      <c r="O64" t="s">
        <v>553</v>
      </c>
    </row>
    <row r="65" spans="3:15" x14ac:dyDescent="0.25">
      <c r="C65" t="s">
        <v>266</v>
      </c>
      <c r="D65" s="24" t="s">
        <v>100</v>
      </c>
      <c r="E65" s="24" t="s">
        <v>137</v>
      </c>
      <c r="F65" s="206">
        <v>403.34196766499997</v>
      </c>
      <c r="G65" s="206">
        <v>374.60133849995998</v>
      </c>
      <c r="H65" s="206">
        <v>407.79431557333345</v>
      </c>
      <c r="I65" s="206">
        <v>396.08606905449994</v>
      </c>
      <c r="J65" s="206">
        <v>415.37045922372005</v>
      </c>
      <c r="K65" s="207">
        <v>399.43883000330271</v>
      </c>
      <c r="M65" t="s">
        <v>608</v>
      </c>
      <c r="N65" t="s">
        <v>100</v>
      </c>
      <c r="O65" t="s">
        <v>553</v>
      </c>
    </row>
    <row r="66" spans="3:15" x14ac:dyDescent="0.25">
      <c r="C66" t="s">
        <v>266</v>
      </c>
      <c r="D66" s="24" t="s">
        <v>100</v>
      </c>
      <c r="E66" s="24" t="s">
        <v>130</v>
      </c>
      <c r="F66" s="206">
        <v>587</v>
      </c>
      <c r="G66" s="206">
        <v>414.59999999999997</v>
      </c>
      <c r="H66" s="206">
        <v>431.87</v>
      </c>
      <c r="I66" s="206">
        <v>475.1</v>
      </c>
      <c r="J66" s="206">
        <v>415.48</v>
      </c>
      <c r="K66" s="207">
        <v>464.80999999999995</v>
      </c>
      <c r="M66" t="s">
        <v>608</v>
      </c>
      <c r="N66" t="s">
        <v>101</v>
      </c>
      <c r="O66" t="s">
        <v>553</v>
      </c>
    </row>
    <row r="67" spans="3:15" x14ac:dyDescent="0.25">
      <c r="C67" t="s">
        <v>266</v>
      </c>
      <c r="D67" s="24" t="s">
        <v>100</v>
      </c>
      <c r="E67" s="24" t="s">
        <v>115</v>
      </c>
      <c r="F67" s="206">
        <v>181.75878095302622</v>
      </c>
      <c r="G67" s="206">
        <v>181.75878095302622</v>
      </c>
      <c r="H67" s="206">
        <v>181.75878095302622</v>
      </c>
      <c r="I67" s="206">
        <v>181.75878095302622</v>
      </c>
      <c r="J67" s="206">
        <v>181.75878095302622</v>
      </c>
      <c r="K67" s="207">
        <v>181.75878095302622</v>
      </c>
    </row>
    <row r="68" spans="3:15" x14ac:dyDescent="0.25">
      <c r="C68" t="s">
        <v>266</v>
      </c>
      <c r="D68" s="24" t="s">
        <v>100</v>
      </c>
      <c r="E68" s="24" t="s">
        <v>611</v>
      </c>
      <c r="F68" s="206">
        <v>99.012279151499143</v>
      </c>
      <c r="G68" s="206">
        <v>97.300862267596088</v>
      </c>
      <c r="H68" s="206">
        <v>96.284429634343809</v>
      </c>
      <c r="I68" s="206">
        <v>99.387119975088353</v>
      </c>
      <c r="J68" s="206">
        <v>97.655775223080738</v>
      </c>
      <c r="K68" s="207">
        <v>97.928093250321638</v>
      </c>
    </row>
    <row r="69" spans="3:15" x14ac:dyDescent="0.25">
      <c r="C69" t="s">
        <v>266</v>
      </c>
      <c r="D69" s="24" t="s">
        <v>100</v>
      </c>
      <c r="E69" s="24" t="s">
        <v>607</v>
      </c>
      <c r="F69" s="206">
        <v>10.849248189087444</v>
      </c>
      <c r="G69" s="206">
        <v>10.849248189087444</v>
      </c>
      <c r="H69" s="206">
        <v>10.849248189087444</v>
      </c>
      <c r="I69" s="206">
        <v>10.849248189087444</v>
      </c>
      <c r="J69" s="206">
        <v>10.849248189087444</v>
      </c>
      <c r="K69" s="207">
        <v>10.849248189087444</v>
      </c>
    </row>
    <row r="70" spans="3:15" x14ac:dyDescent="0.25">
      <c r="C70" t="s">
        <v>266</v>
      </c>
      <c r="D70" s="24" t="s">
        <v>100</v>
      </c>
      <c r="E70" s="24" t="s">
        <v>282</v>
      </c>
      <c r="F70" s="206">
        <v>9.2598973434295004</v>
      </c>
      <c r="G70" s="206">
        <v>9.2057402280494305</v>
      </c>
      <c r="H70" s="206">
        <v>9.1735756164268238</v>
      </c>
      <c r="I70" s="206">
        <v>9.2717590341275518</v>
      </c>
      <c r="J70" s="206">
        <v>9.2169713091850962</v>
      </c>
      <c r="K70" s="207">
        <v>9.2255887062436805</v>
      </c>
    </row>
    <row r="71" spans="3:15" x14ac:dyDescent="0.25">
      <c r="C71" t="s">
        <v>266</v>
      </c>
      <c r="D71" s="24" t="s">
        <v>100</v>
      </c>
      <c r="E71" s="24" t="s">
        <v>211</v>
      </c>
      <c r="F71" s="206">
        <v>77.989819267443366</v>
      </c>
      <c r="G71" s="206">
        <v>65.734284596318233</v>
      </c>
      <c r="H71" s="206">
        <v>68.718913137959561</v>
      </c>
      <c r="I71" s="206">
        <v>70.816159823232098</v>
      </c>
      <c r="J71" s="206">
        <v>68.272006587845226</v>
      </c>
      <c r="K71" s="207">
        <v>70.3062366825597</v>
      </c>
    </row>
    <row r="72" spans="3:15" x14ac:dyDescent="0.25">
      <c r="C72" t="s">
        <v>266</v>
      </c>
      <c r="D72" s="24" t="s">
        <v>100</v>
      </c>
      <c r="E72" s="24" t="s">
        <v>286</v>
      </c>
      <c r="F72" s="206">
        <v>136.9211992569486</v>
      </c>
      <c r="G72" s="206">
        <v>115.40502547340373</v>
      </c>
      <c r="H72" s="206">
        <v>120.64492631041774</v>
      </c>
      <c r="I72" s="206">
        <v>124.32691370290615</v>
      </c>
      <c r="J72" s="206">
        <v>119.86032414859449</v>
      </c>
      <c r="K72" s="207">
        <v>123.43167777845414</v>
      </c>
    </row>
    <row r="73" spans="3:15" x14ac:dyDescent="0.25">
      <c r="C73" t="s">
        <v>605</v>
      </c>
      <c r="D73" s="24" t="s">
        <v>101</v>
      </c>
      <c r="E73" s="24" t="s">
        <v>384</v>
      </c>
      <c r="F73" s="206">
        <v>7440.7041857101312</v>
      </c>
      <c r="G73" s="206">
        <v>5400.9046660759795</v>
      </c>
      <c r="H73" s="206">
        <v>5781.9132070721316</v>
      </c>
      <c r="I73" s="206">
        <v>5285.1373174630971</v>
      </c>
      <c r="J73" s="206">
        <v>5788.2998878791041</v>
      </c>
      <c r="K73" s="207">
        <v>5939.3918528400882</v>
      </c>
    </row>
    <row r="74" spans="3:15" x14ac:dyDescent="0.25">
      <c r="C74" t="s">
        <v>605</v>
      </c>
      <c r="D74" s="24" t="s">
        <v>101</v>
      </c>
      <c r="E74" s="24" t="s">
        <v>137</v>
      </c>
      <c r="F74" s="206">
        <v>2091.0983075440004</v>
      </c>
      <c r="G74" s="206">
        <v>2113.2286426944002</v>
      </c>
      <c r="H74" s="206">
        <v>2108.5377865355554</v>
      </c>
      <c r="I74" s="206">
        <v>2014.6466975250003</v>
      </c>
      <c r="J74" s="206">
        <v>2155.9922000399993</v>
      </c>
      <c r="K74" s="207">
        <v>2096.7007268677908</v>
      </c>
    </row>
    <row r="75" spans="3:15" x14ac:dyDescent="0.25">
      <c r="C75" t="s">
        <v>605</v>
      </c>
      <c r="D75" s="24" t="s">
        <v>101</v>
      </c>
      <c r="E75" s="24" t="s">
        <v>130</v>
      </c>
      <c r="F75" s="206">
        <v>3591.8622399999999</v>
      </c>
      <c r="G75" s="206">
        <v>1823</v>
      </c>
      <c r="H75" s="206">
        <v>2156.3739999999998</v>
      </c>
      <c r="I75" s="206">
        <v>1823</v>
      </c>
      <c r="J75" s="206">
        <v>2108.480994009838</v>
      </c>
      <c r="K75" s="207">
        <v>2300.5434468019675</v>
      </c>
    </row>
    <row r="76" spans="3:15" x14ac:dyDescent="0.25">
      <c r="C76" t="s">
        <v>605</v>
      </c>
      <c r="D76" s="24" t="s">
        <v>101</v>
      </c>
      <c r="E76" s="24" t="s">
        <v>115</v>
      </c>
      <c r="F76" s="206">
        <v>172</v>
      </c>
      <c r="G76" s="206">
        <v>172</v>
      </c>
      <c r="H76" s="206">
        <v>172</v>
      </c>
      <c r="I76" s="206">
        <v>172</v>
      </c>
      <c r="J76" s="206">
        <v>172</v>
      </c>
      <c r="K76" s="207">
        <v>172</v>
      </c>
    </row>
    <row r="77" spans="3:15" x14ac:dyDescent="0.25">
      <c r="C77" t="s">
        <v>605</v>
      </c>
      <c r="D77" s="24" t="s">
        <v>101</v>
      </c>
      <c r="E77" s="24" t="s">
        <v>611</v>
      </c>
      <c r="F77" s="206">
        <v>492.85199264254777</v>
      </c>
      <c r="G77" s="206">
        <v>490.92378851861451</v>
      </c>
      <c r="H77" s="206">
        <v>488.96341239645028</v>
      </c>
      <c r="I77" s="206">
        <v>490.28360192470427</v>
      </c>
      <c r="J77" s="206">
        <v>494.6439404940711</v>
      </c>
      <c r="K77" s="207">
        <v>491.53334719527754</v>
      </c>
    </row>
    <row r="78" spans="3:15" x14ac:dyDescent="0.25">
      <c r="C78" t="s">
        <v>605</v>
      </c>
      <c r="D78" s="24" t="s">
        <v>101</v>
      </c>
      <c r="E78" s="24" t="s">
        <v>607</v>
      </c>
      <c r="F78" s="206">
        <v>6.6485375744689605</v>
      </c>
      <c r="G78" s="206">
        <v>6.6485375744689605</v>
      </c>
      <c r="H78" s="206">
        <v>6.6485375744689605</v>
      </c>
      <c r="I78" s="206">
        <v>6.6485375744689605</v>
      </c>
      <c r="J78" s="206">
        <v>6.6485375744689605</v>
      </c>
      <c r="K78" s="207">
        <v>6.6485375744689605</v>
      </c>
    </row>
    <row r="79" spans="3:15" x14ac:dyDescent="0.25">
      <c r="C79" t="s">
        <v>605</v>
      </c>
      <c r="D79" s="24" t="s">
        <v>101</v>
      </c>
      <c r="E79" s="24" t="s">
        <v>282</v>
      </c>
      <c r="F79" s="206">
        <v>24.52471294414606</v>
      </c>
      <c r="G79" s="206">
        <v>24.445478587417256</v>
      </c>
      <c r="H79" s="206">
        <v>24.364922209045169</v>
      </c>
      <c r="I79" s="206">
        <v>24.419171843061061</v>
      </c>
      <c r="J79" s="206">
        <v>24.598348216234054</v>
      </c>
      <c r="K79" s="207">
        <v>24.470526759980721</v>
      </c>
    </row>
    <row r="80" spans="3:15" x14ac:dyDescent="0.25">
      <c r="C80" t="s">
        <v>605</v>
      </c>
      <c r="D80" s="24" t="s">
        <v>101</v>
      </c>
      <c r="E80" s="24" t="s">
        <v>211</v>
      </c>
      <c r="F80" s="206">
        <v>385.29074175859188</v>
      </c>
      <c r="G80" s="206">
        <v>279.66688542144408</v>
      </c>
      <c r="H80" s="206">
        <v>299.39607498641743</v>
      </c>
      <c r="I80" s="206">
        <v>273.67227973558096</v>
      </c>
      <c r="J80" s="206">
        <v>299.72678682821055</v>
      </c>
      <c r="K80" s="207">
        <v>307.55055374604899</v>
      </c>
    </row>
    <row r="81" spans="3:11" x14ac:dyDescent="0.25">
      <c r="C81" t="s">
        <v>605</v>
      </c>
      <c r="D81" s="24" t="s">
        <v>101</v>
      </c>
      <c r="E81" s="24" t="s">
        <v>286</v>
      </c>
      <c r="F81" s="206">
        <v>676.4276532463756</v>
      </c>
      <c r="G81" s="206">
        <v>490.99133327963455</v>
      </c>
      <c r="H81" s="206">
        <v>525.62847337019377</v>
      </c>
      <c r="I81" s="206">
        <v>480.46702886028152</v>
      </c>
      <c r="J81" s="206">
        <v>526.20908071628219</v>
      </c>
      <c r="K81" s="207">
        <v>539.9447138945535</v>
      </c>
    </row>
    <row r="82" spans="3:11" x14ac:dyDescent="0.25">
      <c r="C82" t="s">
        <v>604</v>
      </c>
      <c r="D82" s="24" t="s">
        <v>101</v>
      </c>
      <c r="E82" s="24" t="s">
        <v>384</v>
      </c>
      <c r="F82" s="206">
        <v>7848.1593170074084</v>
      </c>
      <c r="G82" s="206">
        <v>5821.8302682619278</v>
      </c>
      <c r="H82" s="206">
        <v>6238.5177829380591</v>
      </c>
      <c r="I82" s="206">
        <v>5745.446695964928</v>
      </c>
      <c r="J82" s="206">
        <v>6368.5295238992685</v>
      </c>
      <c r="K82" s="207">
        <v>6404.4967176143191</v>
      </c>
    </row>
    <row r="83" spans="3:11" x14ac:dyDescent="0.25">
      <c r="C83" t="s">
        <v>604</v>
      </c>
      <c r="D83" s="24" t="s">
        <v>101</v>
      </c>
      <c r="E83" s="24" t="s">
        <v>137</v>
      </c>
      <c r="F83" s="206">
        <v>2370.6771519938884</v>
      </c>
      <c r="G83" s="206">
        <v>2414.5142519139999</v>
      </c>
      <c r="H83" s="206">
        <v>2395.0105221119998</v>
      </c>
      <c r="I83" s="206">
        <v>2310.4143705894999</v>
      </c>
      <c r="J83" s="206">
        <v>2468.2175866319999</v>
      </c>
      <c r="K83" s="207">
        <v>2391.7667766482778</v>
      </c>
    </row>
    <row r="84" spans="3:11" x14ac:dyDescent="0.25">
      <c r="C84" t="s">
        <v>604</v>
      </c>
      <c r="D84" s="24" t="s">
        <v>101</v>
      </c>
      <c r="E84" s="24" t="s">
        <v>130</v>
      </c>
      <c r="F84" s="206">
        <v>3736.9608000000003</v>
      </c>
      <c r="G84" s="206">
        <v>1959.3</v>
      </c>
      <c r="H84" s="206">
        <v>2337.9499999999998</v>
      </c>
      <c r="I84" s="206">
        <v>1997.3</v>
      </c>
      <c r="J84" s="206">
        <v>2371.0614999999998</v>
      </c>
      <c r="K84" s="207">
        <v>2480.5144599999999</v>
      </c>
    </row>
    <row r="85" spans="3:11" x14ac:dyDescent="0.25">
      <c r="C85" t="s">
        <v>604</v>
      </c>
      <c r="D85" s="24" t="s">
        <v>101</v>
      </c>
      <c r="E85" s="24" t="s">
        <v>115</v>
      </c>
      <c r="F85" s="206">
        <v>174.40888630791068</v>
      </c>
      <c r="G85" s="206">
        <v>174.40888630791068</v>
      </c>
      <c r="H85" s="206">
        <v>174.40888630791068</v>
      </c>
      <c r="I85" s="206">
        <v>174.40888630791068</v>
      </c>
      <c r="J85" s="206">
        <v>174.40888630791068</v>
      </c>
      <c r="K85" s="207">
        <v>174.40888630791068</v>
      </c>
    </row>
    <row r="86" spans="3:11" x14ac:dyDescent="0.25">
      <c r="C86" t="s">
        <v>604</v>
      </c>
      <c r="D86" s="24" t="s">
        <v>101</v>
      </c>
      <c r="E86" s="24" t="s">
        <v>611</v>
      </c>
      <c r="F86" s="206">
        <v>411.33396945062043</v>
      </c>
      <c r="G86" s="206">
        <v>408.13576336117114</v>
      </c>
      <c r="H86" s="206">
        <v>406.31583654224801</v>
      </c>
      <c r="I86" s="206">
        <v>408.72038229302427</v>
      </c>
      <c r="J86" s="206">
        <v>411.19938956386306</v>
      </c>
      <c r="K86" s="207">
        <v>409.14106824218533</v>
      </c>
    </row>
    <row r="87" spans="3:11" x14ac:dyDescent="0.25">
      <c r="C87" t="s">
        <v>604</v>
      </c>
      <c r="D87" s="24" t="s">
        <v>101</v>
      </c>
      <c r="E87" s="24" t="s">
        <v>607</v>
      </c>
      <c r="F87" s="206">
        <v>8.392848052444899</v>
      </c>
      <c r="G87" s="206">
        <v>8.392848052444899</v>
      </c>
      <c r="H87" s="206">
        <v>8.392848052444899</v>
      </c>
      <c r="I87" s="206">
        <v>8.392848052444899</v>
      </c>
      <c r="J87" s="206">
        <v>8.392848052444899</v>
      </c>
      <c r="K87" s="207">
        <v>8.392848052444899</v>
      </c>
    </row>
    <row r="88" spans="3:11" x14ac:dyDescent="0.25">
      <c r="C88" t="s">
        <v>604</v>
      </c>
      <c r="D88" s="24" t="s">
        <v>101</v>
      </c>
      <c r="E88" s="24" t="s">
        <v>282</v>
      </c>
      <c r="F88" s="206">
        <v>26.527257236019459</v>
      </c>
      <c r="G88" s="206">
        <v>26.358181661348464</v>
      </c>
      <c r="H88" s="206">
        <v>26.261969858805877</v>
      </c>
      <c r="I88" s="206">
        <v>26.38908798167369</v>
      </c>
      <c r="J88" s="206">
        <v>26.520142568904127</v>
      </c>
      <c r="K88" s="207">
        <v>26.411327861350326</v>
      </c>
    </row>
    <row r="89" spans="3:11" x14ac:dyDescent="0.25">
      <c r="C89" t="s">
        <v>604</v>
      </c>
      <c r="D89" s="24" t="s">
        <v>101</v>
      </c>
      <c r="E89" s="24" t="s">
        <v>211</v>
      </c>
      <c r="F89" s="206">
        <v>406.3893751476694</v>
      </c>
      <c r="G89" s="206">
        <v>301.46303985033131</v>
      </c>
      <c r="H89" s="206">
        <v>323.03973979755392</v>
      </c>
      <c r="I89" s="206">
        <v>297.50778474356304</v>
      </c>
      <c r="J89" s="206">
        <v>329.77194132875741</v>
      </c>
      <c r="K89" s="207">
        <v>331.63437617357505</v>
      </c>
    </row>
    <row r="90" spans="3:11" x14ac:dyDescent="0.25">
      <c r="C90" t="s">
        <v>604</v>
      </c>
      <c r="D90" s="24" t="s">
        <v>101</v>
      </c>
      <c r="E90" s="24" t="s">
        <v>286</v>
      </c>
      <c r="F90" s="206">
        <v>713.46902881885535</v>
      </c>
      <c r="G90" s="206">
        <v>529.2572971147207</v>
      </c>
      <c r="H90" s="206">
        <v>567.13798026709628</v>
      </c>
      <c r="I90" s="206">
        <v>522.3133359968117</v>
      </c>
      <c r="J90" s="206">
        <v>578.95722944538807</v>
      </c>
      <c r="K90" s="207">
        <v>582.22697432857444</v>
      </c>
    </row>
    <row r="91" spans="3:11" x14ac:dyDescent="0.25">
      <c r="C91" t="s">
        <v>266</v>
      </c>
      <c r="D91" s="24" t="s">
        <v>101</v>
      </c>
      <c r="E91" s="24" t="s">
        <v>384</v>
      </c>
      <c r="F91" s="206">
        <v>6886.4926058504307</v>
      </c>
      <c r="G91" s="206">
        <v>4930.6798887822788</v>
      </c>
      <c r="H91" s="206">
        <v>5257.0403057614812</v>
      </c>
      <c r="I91" s="206">
        <v>5094.5709946696434</v>
      </c>
      <c r="J91" s="206">
        <v>5269.0493110250463</v>
      </c>
      <c r="K91" s="207">
        <v>5487.5666212177766</v>
      </c>
    </row>
    <row r="92" spans="3:11" x14ac:dyDescent="0.25">
      <c r="C92" t="s">
        <v>266</v>
      </c>
      <c r="D92" s="24" t="s">
        <v>101</v>
      </c>
      <c r="E92" s="24" t="s">
        <v>137</v>
      </c>
      <c r="F92" s="206">
        <v>1763.1806015069999</v>
      </c>
      <c r="G92" s="206">
        <v>1792.6840451783999</v>
      </c>
      <c r="H92" s="206">
        <v>1761.2978912320004</v>
      </c>
      <c r="I92" s="206">
        <v>1722.7280515609996</v>
      </c>
      <c r="J92" s="206">
        <v>1832.0586181632002</v>
      </c>
      <c r="K92" s="207">
        <v>1774.3898415283202</v>
      </c>
    </row>
    <row r="93" spans="3:11" x14ac:dyDescent="0.25">
      <c r="C93" t="s">
        <v>266</v>
      </c>
      <c r="D93" s="24" t="s">
        <v>101</v>
      </c>
      <c r="E93" s="24" t="s">
        <v>130</v>
      </c>
      <c r="F93" s="206">
        <v>3431.2122399999998</v>
      </c>
      <c r="G93" s="206">
        <v>1733.8</v>
      </c>
      <c r="H93" s="206">
        <v>2050.2210000000005</v>
      </c>
      <c r="I93" s="206">
        <v>1933.4999999999998</v>
      </c>
      <c r="J93" s="206">
        <v>1982.6819999999998</v>
      </c>
      <c r="K93" s="207">
        <v>2226.2830479999998</v>
      </c>
    </row>
    <row r="94" spans="3:11" x14ac:dyDescent="0.25">
      <c r="C94" t="s">
        <v>266</v>
      </c>
      <c r="D94" s="24" t="s">
        <v>101</v>
      </c>
      <c r="E94" s="24" t="s">
        <v>115</v>
      </c>
      <c r="F94" s="206">
        <v>181.75878095302622</v>
      </c>
      <c r="G94" s="206">
        <v>181.75878095302622</v>
      </c>
      <c r="H94" s="206">
        <v>181.75878095302622</v>
      </c>
      <c r="I94" s="206">
        <v>181.75878095302622</v>
      </c>
      <c r="J94" s="206">
        <v>181.75878095302622</v>
      </c>
      <c r="K94" s="207">
        <v>181.75878095302622</v>
      </c>
    </row>
    <row r="95" spans="3:11" x14ac:dyDescent="0.25">
      <c r="C95" t="s">
        <v>266</v>
      </c>
      <c r="D95" s="24" t="s">
        <v>101</v>
      </c>
      <c r="E95" s="24" t="s">
        <v>611</v>
      </c>
      <c r="F95" s="206">
        <v>495.06139575749569</v>
      </c>
      <c r="G95" s="206">
        <v>486.50431133798043</v>
      </c>
      <c r="H95" s="206">
        <v>481.42214817171907</v>
      </c>
      <c r="I95" s="206">
        <v>496.93559987544177</v>
      </c>
      <c r="J95" s="206">
        <v>488.2788761154037</v>
      </c>
      <c r="K95" s="207">
        <v>489.64046625160819</v>
      </c>
    </row>
    <row r="96" spans="3:11" x14ac:dyDescent="0.25">
      <c r="C96" t="s">
        <v>266</v>
      </c>
      <c r="D96" s="24" t="s">
        <v>101</v>
      </c>
      <c r="E96" s="24" t="s">
        <v>607</v>
      </c>
      <c r="F96" s="206">
        <v>10.849248189087444</v>
      </c>
      <c r="G96" s="206">
        <v>10.849248189087444</v>
      </c>
      <c r="H96" s="206">
        <v>10.849248189087444</v>
      </c>
      <c r="I96" s="206">
        <v>10.849248189087444</v>
      </c>
      <c r="J96" s="206">
        <v>10.849248189087444</v>
      </c>
      <c r="K96" s="207">
        <v>10.849248189087444</v>
      </c>
    </row>
    <row r="97" spans="3:11" x14ac:dyDescent="0.25">
      <c r="C97" t="s">
        <v>266</v>
      </c>
      <c r="D97" s="24" t="s">
        <v>101</v>
      </c>
      <c r="E97" s="24" t="s">
        <v>282</v>
      </c>
      <c r="F97" s="206">
        <v>21.792716147512866</v>
      </c>
      <c r="G97" s="206">
        <v>21.521930570612515</v>
      </c>
      <c r="H97" s="206">
        <v>21.361107512499487</v>
      </c>
      <c r="I97" s="206">
        <v>21.852024601003123</v>
      </c>
      <c r="J97" s="206">
        <v>21.578085976290847</v>
      </c>
      <c r="K97" s="207">
        <v>21.62117296158377</v>
      </c>
    </row>
    <row r="98" spans="3:11" x14ac:dyDescent="0.25">
      <c r="C98" t="s">
        <v>266</v>
      </c>
      <c r="D98" s="24" t="s">
        <v>101</v>
      </c>
      <c r="E98" s="24" t="s">
        <v>211</v>
      </c>
      <c r="F98" s="206">
        <v>356.59284094626901</v>
      </c>
      <c r="G98" s="206">
        <v>255.31794630023802</v>
      </c>
      <c r="H98" s="206">
        <v>272.21737463392327</v>
      </c>
      <c r="I98" s="206">
        <v>263.80447179284533</v>
      </c>
      <c r="J98" s="206">
        <v>272.8392188075793</v>
      </c>
      <c r="K98" s="207">
        <v>284.154370496171</v>
      </c>
    </row>
    <row r="99" spans="3:11" x14ac:dyDescent="0.25">
      <c r="C99" t="s">
        <v>266</v>
      </c>
      <c r="D99" s="24" t="s">
        <v>101</v>
      </c>
      <c r="E99" s="24" t="s">
        <v>286</v>
      </c>
      <c r="F99" s="206">
        <v>626.04478235003921</v>
      </c>
      <c r="G99" s="206">
        <v>448.24362625293446</v>
      </c>
      <c r="H99" s="206">
        <v>477.91275506922557</v>
      </c>
      <c r="I99" s="206">
        <v>463.14281769724033</v>
      </c>
      <c r="J99" s="206">
        <v>479.00448282045875</v>
      </c>
      <c r="K99" s="207">
        <v>498.8696928379797</v>
      </c>
    </row>
    <row r="100" spans="3:11" x14ac:dyDescent="0.25">
      <c r="C100" t="s">
        <v>608</v>
      </c>
      <c r="D100" s="24" t="s">
        <v>100</v>
      </c>
      <c r="E100" s="24" t="s">
        <v>384</v>
      </c>
      <c r="F100" s="206">
        <v>1559.5818055064342</v>
      </c>
      <c r="G100" s="206">
        <v>1335.7195701674411</v>
      </c>
      <c r="H100" s="206">
        <v>1386.9512244545951</v>
      </c>
      <c r="I100" s="206">
        <v>1424.6087218319676</v>
      </c>
      <c r="J100" s="206">
        <v>1350.013434754539</v>
      </c>
      <c r="K100" s="206">
        <v>1411.3749513429952</v>
      </c>
    </row>
    <row r="101" spans="3:11" x14ac:dyDescent="0.25">
      <c r="C101" t="s">
        <v>608</v>
      </c>
      <c r="D101" s="24" t="s">
        <v>100</v>
      </c>
      <c r="E101" s="24" t="s">
        <v>137</v>
      </c>
      <c r="F101" s="206">
        <v>403.34196766499991</v>
      </c>
      <c r="G101" s="206">
        <v>374.60133849995998</v>
      </c>
      <c r="H101" s="206">
        <v>407.79431557333345</v>
      </c>
      <c r="I101" s="206">
        <v>396.08606905449994</v>
      </c>
      <c r="J101" s="206">
        <v>415.37045922372005</v>
      </c>
      <c r="K101" s="206">
        <v>399.43883000330271</v>
      </c>
    </row>
    <row r="102" spans="3:11" x14ac:dyDescent="0.25">
      <c r="C102" t="s">
        <v>608</v>
      </c>
      <c r="D102" s="24" t="s">
        <v>100</v>
      </c>
      <c r="E102" s="24" t="s">
        <v>130</v>
      </c>
      <c r="F102" s="206">
        <v>632.82200000000012</v>
      </c>
      <c r="G102" s="206">
        <v>471.40899999999999</v>
      </c>
      <c r="H102" s="206">
        <v>483.18600000000004</v>
      </c>
      <c r="I102" s="206">
        <v>523.97749999999996</v>
      </c>
      <c r="J102" s="206">
        <v>442.52800000000002</v>
      </c>
      <c r="K102" s="206">
        <v>510.78450000000009</v>
      </c>
    </row>
    <row r="103" spans="3:11" x14ac:dyDescent="0.25">
      <c r="C103" t="s">
        <v>608</v>
      </c>
      <c r="D103" s="24" t="s">
        <v>100</v>
      </c>
      <c r="E103" s="24" t="s">
        <v>115</v>
      </c>
      <c r="F103" s="206">
        <v>181.75878095302619</v>
      </c>
      <c r="G103" s="206">
        <v>181.75878095302619</v>
      </c>
      <c r="H103" s="206">
        <v>181.75878095302619</v>
      </c>
      <c r="I103" s="206">
        <v>181.75878095302619</v>
      </c>
      <c r="J103" s="206">
        <v>181.75878095302619</v>
      </c>
      <c r="K103" s="206">
        <v>181.75878095302619</v>
      </c>
    </row>
    <row r="104" spans="3:11" x14ac:dyDescent="0.25">
      <c r="C104" t="s">
        <v>608</v>
      </c>
      <c r="D104" s="24" t="s">
        <v>100</v>
      </c>
      <c r="E104" s="24" t="s">
        <v>611</v>
      </c>
      <c r="F104" s="206">
        <v>99.012279151499143</v>
      </c>
      <c r="G104" s="206">
        <v>97.300862267596088</v>
      </c>
      <c r="H104" s="206">
        <v>96.284429634343809</v>
      </c>
      <c r="I104" s="206">
        <v>99.387119975088339</v>
      </c>
      <c r="J104" s="206">
        <v>97.655775223080724</v>
      </c>
      <c r="K104" s="206">
        <v>97.928093250321623</v>
      </c>
    </row>
    <row r="105" spans="3:11" x14ac:dyDescent="0.25">
      <c r="C105" t="s">
        <v>608</v>
      </c>
      <c r="D105" s="24" t="s">
        <v>100</v>
      </c>
      <c r="E105" s="24" t="s">
        <v>607</v>
      </c>
      <c r="F105" s="206">
        <v>10.849248189087444</v>
      </c>
      <c r="G105" s="206">
        <v>10.849248189087444</v>
      </c>
      <c r="H105" s="206">
        <v>10.849248189087444</v>
      </c>
      <c r="I105" s="206">
        <v>10.849248189087444</v>
      </c>
      <c r="J105" s="206">
        <v>10.849248189087444</v>
      </c>
      <c r="K105" s="206">
        <v>10.849248189087444</v>
      </c>
    </row>
    <row r="106" spans="3:11" x14ac:dyDescent="0.25">
      <c r="C106" t="s">
        <v>608</v>
      </c>
      <c r="D106" s="24" t="s">
        <v>100</v>
      </c>
      <c r="E106" s="24" t="s">
        <v>282</v>
      </c>
      <c r="F106" s="206">
        <v>9.2598973434295004</v>
      </c>
      <c r="G106" s="206">
        <v>9.2057402280494305</v>
      </c>
      <c r="H106" s="206">
        <v>9.1735756164268238</v>
      </c>
      <c r="I106" s="206">
        <v>9.2717590341275518</v>
      </c>
      <c r="J106" s="206">
        <v>9.2169713091850962</v>
      </c>
      <c r="K106" s="206">
        <v>9.2255887062436805</v>
      </c>
    </row>
    <row r="107" spans="3:11" x14ac:dyDescent="0.25">
      <c r="C107" t="s">
        <v>608</v>
      </c>
      <c r="D107" s="24" t="s">
        <v>100</v>
      </c>
      <c r="E107" s="24" t="s">
        <v>211</v>
      </c>
      <c r="F107" s="206">
        <v>80.757468067443355</v>
      </c>
      <c r="G107" s="206">
        <v>69.165548196318241</v>
      </c>
      <c r="H107" s="206">
        <v>71.818399537959564</v>
      </c>
      <c r="I107" s="206">
        <v>73.768360823232086</v>
      </c>
      <c r="J107" s="206">
        <v>69.905705787845207</v>
      </c>
      <c r="K107" s="206">
        <v>73.083096482559682</v>
      </c>
    </row>
    <row r="108" spans="3:11" x14ac:dyDescent="0.25">
      <c r="C108" t="s">
        <v>608</v>
      </c>
      <c r="D108" s="24" t="s">
        <v>100</v>
      </c>
      <c r="E108" s="24" t="s">
        <v>286</v>
      </c>
      <c r="F108" s="206">
        <v>141.78016413694857</v>
      </c>
      <c r="G108" s="206">
        <v>121.42905183340375</v>
      </c>
      <c r="H108" s="206">
        <v>126.08647495041774</v>
      </c>
      <c r="I108" s="206">
        <v>129.50988380290616</v>
      </c>
      <c r="J108" s="206">
        <v>122.72849406859446</v>
      </c>
      <c r="K108" s="206">
        <v>128.30681375845415</v>
      </c>
    </row>
    <row r="109" spans="3:11" x14ac:dyDescent="0.25">
      <c r="C109" t="s">
        <v>608</v>
      </c>
      <c r="D109" s="24" t="s">
        <v>101</v>
      </c>
      <c r="E109" s="24" t="s">
        <v>384</v>
      </c>
      <c r="F109" s="206">
        <v>7219.6643560936291</v>
      </c>
      <c r="G109" s="206">
        <v>5079.5362958222786</v>
      </c>
      <c r="H109" s="206">
        <v>5645.5056511614821</v>
      </c>
      <c r="I109" s="206">
        <v>5284.0959155296432</v>
      </c>
      <c r="J109" s="206">
        <v>5197.0216410250468</v>
      </c>
      <c r="K109" s="206">
        <v>5685.1647719264165</v>
      </c>
    </row>
    <row r="110" spans="3:11" x14ac:dyDescent="0.25">
      <c r="C110" t="s">
        <v>608</v>
      </c>
      <c r="D110" s="24" t="s">
        <v>101</v>
      </c>
      <c r="E110" s="24" t="s">
        <v>137</v>
      </c>
      <c r="F110" s="206">
        <v>1763.1806015069999</v>
      </c>
      <c r="G110" s="206">
        <v>1792.6840451783999</v>
      </c>
      <c r="H110" s="206">
        <v>1761.2978912320004</v>
      </c>
      <c r="I110" s="206">
        <v>1722.7280515609996</v>
      </c>
      <c r="J110" s="206">
        <v>1832.0586181632002</v>
      </c>
      <c r="K110" s="206">
        <v>1774.3898415283202</v>
      </c>
    </row>
    <row r="111" spans="3:11" x14ac:dyDescent="0.25">
      <c r="C111" t="s">
        <v>608</v>
      </c>
      <c r="D111" s="24" t="s">
        <v>101</v>
      </c>
      <c r="E111" s="24" t="s">
        <v>130</v>
      </c>
      <c r="F111" s="206">
        <v>3716.8435199999994</v>
      </c>
      <c r="G111" s="206">
        <v>1861.4160000000002</v>
      </c>
      <c r="H111" s="206">
        <v>2383.2560000000003</v>
      </c>
      <c r="I111" s="206">
        <v>2095.9814999999999</v>
      </c>
      <c r="J111" s="206">
        <v>1920.9319999999998</v>
      </c>
      <c r="K111" s="206">
        <v>2395.6858039999997</v>
      </c>
    </row>
    <row r="112" spans="3:11" x14ac:dyDescent="0.25">
      <c r="C112" t="s">
        <v>608</v>
      </c>
      <c r="D112" s="24" t="s">
        <v>101</v>
      </c>
      <c r="E112" s="24" t="s">
        <v>115</v>
      </c>
      <c r="F112" s="206">
        <v>181.75878095302619</v>
      </c>
      <c r="G112" s="206">
        <v>181.75878095302619</v>
      </c>
      <c r="H112" s="206">
        <v>181.75878095302619</v>
      </c>
      <c r="I112" s="206">
        <v>181.75878095302619</v>
      </c>
      <c r="J112" s="206">
        <v>181.75878095302619</v>
      </c>
      <c r="K112" s="206">
        <v>181.75878095302619</v>
      </c>
    </row>
    <row r="113" spans="3:11" x14ac:dyDescent="0.25">
      <c r="C113" t="s">
        <v>608</v>
      </c>
      <c r="D113" s="24" t="s">
        <v>101</v>
      </c>
      <c r="E113" s="24" t="s">
        <v>611</v>
      </c>
      <c r="F113" s="206">
        <v>495.06139575749569</v>
      </c>
      <c r="G113" s="206">
        <v>486.50431133798043</v>
      </c>
      <c r="H113" s="206">
        <v>481.42214817171907</v>
      </c>
      <c r="I113" s="206">
        <v>496.93559987544171</v>
      </c>
      <c r="J113" s="206">
        <v>488.2788761154037</v>
      </c>
      <c r="K113" s="206">
        <v>489.64046625160819</v>
      </c>
    </row>
    <row r="114" spans="3:11" x14ac:dyDescent="0.25">
      <c r="C114" t="s">
        <v>608</v>
      </c>
      <c r="D114" s="24" t="s">
        <v>101</v>
      </c>
      <c r="E114" s="24" t="s">
        <v>607</v>
      </c>
      <c r="F114" s="206">
        <v>10.849248189087444</v>
      </c>
      <c r="G114" s="206">
        <v>10.849248189087444</v>
      </c>
      <c r="H114" s="206">
        <v>10.849248189087444</v>
      </c>
      <c r="I114" s="206">
        <v>10.849248189087444</v>
      </c>
      <c r="J114" s="206">
        <v>10.849248189087444</v>
      </c>
      <c r="K114" s="206">
        <v>10.849248189087444</v>
      </c>
    </row>
    <row r="115" spans="3:11" x14ac:dyDescent="0.25">
      <c r="C115" t="s">
        <v>608</v>
      </c>
      <c r="D115" s="24" t="s">
        <v>101</v>
      </c>
      <c r="E115" s="24" t="s">
        <v>282</v>
      </c>
      <c r="F115" s="206">
        <v>21.79271614751287</v>
      </c>
      <c r="G115" s="206">
        <v>21.521930570612515</v>
      </c>
      <c r="H115" s="206">
        <v>21.361107512499487</v>
      </c>
      <c r="I115" s="206">
        <v>21.852024601003126</v>
      </c>
      <c r="J115" s="206">
        <v>21.578085976290847</v>
      </c>
      <c r="K115" s="206">
        <v>21.62117296158377</v>
      </c>
    </row>
    <row r="116" spans="3:11" x14ac:dyDescent="0.25">
      <c r="C116" t="s">
        <v>608</v>
      </c>
      <c r="D116" s="24" t="s">
        <v>101</v>
      </c>
      <c r="E116" s="24" t="s">
        <v>211</v>
      </c>
      <c r="F116" s="206">
        <v>373.84497025826892</v>
      </c>
      <c r="G116" s="206">
        <v>263.02595270023801</v>
      </c>
      <c r="H116" s="206">
        <v>292.33268863392328</v>
      </c>
      <c r="I116" s="206">
        <v>273.61835439284528</v>
      </c>
      <c r="J116" s="206">
        <v>269.10951880757932</v>
      </c>
      <c r="K116" s="206">
        <v>294.38629695857099</v>
      </c>
    </row>
    <row r="117" spans="3:11" x14ac:dyDescent="0.25">
      <c r="C117" t="s">
        <v>608</v>
      </c>
      <c r="D117" s="24" t="s">
        <v>101</v>
      </c>
      <c r="E117" s="24" t="s">
        <v>286</v>
      </c>
      <c r="F117" s="206">
        <v>656.33312328123907</v>
      </c>
      <c r="G117" s="206">
        <v>461.77602689293445</v>
      </c>
      <c r="H117" s="206">
        <v>513.22778646922563</v>
      </c>
      <c r="I117" s="206">
        <v>480.37235595724036</v>
      </c>
      <c r="J117" s="206">
        <v>472.45651282045884</v>
      </c>
      <c r="K117" s="206">
        <v>516.83316108421968</v>
      </c>
    </row>
    <row r="118" spans="3:11" x14ac:dyDescent="0.25">
      <c r="C118" t="s">
        <v>605</v>
      </c>
      <c r="D118" s="24" t="s">
        <v>100</v>
      </c>
      <c r="E118" s="24" t="s">
        <v>552</v>
      </c>
      <c r="F118" s="206">
        <v>0</v>
      </c>
      <c r="G118" s="206">
        <v>0</v>
      </c>
      <c r="H118" s="206">
        <v>0</v>
      </c>
      <c r="I118" s="206">
        <v>0</v>
      </c>
      <c r="J118" s="206">
        <v>0</v>
      </c>
      <c r="K118" s="206">
        <v>0</v>
      </c>
    </row>
    <row r="119" spans="3:11" x14ac:dyDescent="0.25">
      <c r="C119" t="s">
        <v>604</v>
      </c>
      <c r="D119" s="24" t="s">
        <v>100</v>
      </c>
      <c r="E119" s="24" t="s">
        <v>552</v>
      </c>
      <c r="F119" s="206">
        <v>0</v>
      </c>
      <c r="G119" s="206">
        <v>0</v>
      </c>
      <c r="H119" s="206">
        <v>0</v>
      </c>
      <c r="I119" s="206">
        <v>0</v>
      </c>
      <c r="J119" s="206">
        <v>0</v>
      </c>
      <c r="K119" s="206">
        <v>0</v>
      </c>
    </row>
    <row r="120" spans="3:11" x14ac:dyDescent="0.25">
      <c r="C120" t="s">
        <v>266</v>
      </c>
      <c r="D120" s="24" t="s">
        <v>100</v>
      </c>
      <c r="E120" s="24" t="s">
        <v>552</v>
      </c>
      <c r="F120" s="206">
        <v>0</v>
      </c>
      <c r="G120" s="206">
        <v>0</v>
      </c>
      <c r="H120" s="206">
        <v>0</v>
      </c>
      <c r="I120" s="206">
        <v>0</v>
      </c>
      <c r="J120" s="206">
        <v>0</v>
      </c>
      <c r="K120" s="206">
        <v>0</v>
      </c>
    </row>
    <row r="121" spans="3:11" x14ac:dyDescent="0.25">
      <c r="C121" t="s">
        <v>605</v>
      </c>
      <c r="D121" s="24" t="s">
        <v>101</v>
      </c>
      <c r="E121" s="24" t="s">
        <v>552</v>
      </c>
      <c r="F121" s="206">
        <v>0</v>
      </c>
      <c r="G121" s="206">
        <v>0</v>
      </c>
      <c r="H121" s="206">
        <v>0</v>
      </c>
      <c r="I121" s="206">
        <v>0</v>
      </c>
      <c r="J121" s="206">
        <v>0</v>
      </c>
      <c r="K121" s="206">
        <v>0</v>
      </c>
    </row>
    <row r="122" spans="3:11" x14ac:dyDescent="0.25">
      <c r="C122" t="s">
        <v>604</v>
      </c>
      <c r="D122" s="24" t="s">
        <v>101</v>
      </c>
      <c r="E122" s="24" t="s">
        <v>552</v>
      </c>
      <c r="F122" s="206">
        <v>0</v>
      </c>
      <c r="G122" s="206">
        <v>0</v>
      </c>
      <c r="H122" s="206">
        <v>0</v>
      </c>
      <c r="I122" s="206">
        <v>0</v>
      </c>
      <c r="J122" s="206">
        <v>0</v>
      </c>
      <c r="K122" s="206">
        <v>0</v>
      </c>
    </row>
    <row r="123" spans="3:11" x14ac:dyDescent="0.25">
      <c r="C123" t="s">
        <v>266</v>
      </c>
      <c r="D123" s="24" t="s">
        <v>101</v>
      </c>
      <c r="E123" s="24" t="s">
        <v>552</v>
      </c>
      <c r="F123" s="206">
        <v>0</v>
      </c>
      <c r="G123" s="206">
        <v>0</v>
      </c>
      <c r="H123" s="206">
        <v>0</v>
      </c>
      <c r="I123" s="206">
        <v>0</v>
      </c>
      <c r="J123" s="206">
        <v>0</v>
      </c>
      <c r="K123" s="206">
        <v>0</v>
      </c>
    </row>
    <row r="124" spans="3:11" x14ac:dyDescent="0.25">
      <c r="C124" t="s">
        <v>608</v>
      </c>
      <c r="D124" s="24" t="s">
        <v>100</v>
      </c>
      <c r="E124" s="24" t="s">
        <v>552</v>
      </c>
      <c r="F124" s="206">
        <v>0</v>
      </c>
      <c r="G124" s="206">
        <v>0</v>
      </c>
      <c r="H124" s="206">
        <v>0</v>
      </c>
      <c r="I124" s="206">
        <v>0</v>
      </c>
      <c r="J124" s="206">
        <v>0</v>
      </c>
      <c r="K124" s="206">
        <v>0</v>
      </c>
    </row>
    <row r="125" spans="3:11" x14ac:dyDescent="0.25">
      <c r="C125" t="s">
        <v>608</v>
      </c>
      <c r="D125" s="24" t="s">
        <v>101</v>
      </c>
      <c r="E125" s="24" t="s">
        <v>552</v>
      </c>
      <c r="F125" s="206">
        <v>0</v>
      </c>
      <c r="G125" s="206">
        <v>0</v>
      </c>
      <c r="H125" s="206">
        <v>0</v>
      </c>
      <c r="I125" s="206">
        <v>0</v>
      </c>
      <c r="J125" s="206">
        <v>0</v>
      </c>
      <c r="K125" s="206">
        <v>0</v>
      </c>
    </row>
    <row r="126" spans="3:11" x14ac:dyDescent="0.25">
      <c r="C126" t="s">
        <v>605</v>
      </c>
      <c r="D126" s="24" t="s">
        <v>100</v>
      </c>
      <c r="E126" s="24" t="s">
        <v>553</v>
      </c>
      <c r="F126" s="206">
        <v>0</v>
      </c>
      <c r="G126" s="206">
        <v>0</v>
      </c>
      <c r="H126" s="206">
        <v>0</v>
      </c>
      <c r="I126" s="206">
        <v>0</v>
      </c>
      <c r="J126" s="206">
        <v>0</v>
      </c>
      <c r="K126" s="206">
        <v>0</v>
      </c>
    </row>
    <row r="127" spans="3:11" x14ac:dyDescent="0.25">
      <c r="C127" t="s">
        <v>604</v>
      </c>
      <c r="D127" s="24" t="s">
        <v>100</v>
      </c>
      <c r="E127" s="24" t="s">
        <v>553</v>
      </c>
      <c r="F127" s="206">
        <v>0</v>
      </c>
      <c r="G127" s="206">
        <v>0</v>
      </c>
      <c r="H127" s="206">
        <v>0</v>
      </c>
      <c r="I127" s="206">
        <v>0</v>
      </c>
      <c r="J127" s="206">
        <v>0</v>
      </c>
      <c r="K127" s="206">
        <v>0</v>
      </c>
    </row>
    <row r="128" spans="3:11" x14ac:dyDescent="0.25">
      <c r="C128" t="s">
        <v>266</v>
      </c>
      <c r="D128" s="24" t="s">
        <v>100</v>
      </c>
      <c r="E128" s="24" t="s">
        <v>553</v>
      </c>
      <c r="F128" s="206">
        <v>0</v>
      </c>
      <c r="G128" s="206">
        <v>0</v>
      </c>
      <c r="H128" s="206">
        <v>0</v>
      </c>
      <c r="I128" s="206">
        <v>0</v>
      </c>
      <c r="J128" s="206">
        <v>0</v>
      </c>
      <c r="K128" s="206">
        <v>0</v>
      </c>
    </row>
    <row r="129" spans="3:11" x14ac:dyDescent="0.25">
      <c r="C129" t="s">
        <v>605</v>
      </c>
      <c r="D129" s="24" t="s">
        <v>101</v>
      </c>
      <c r="E129" s="24" t="s">
        <v>553</v>
      </c>
      <c r="F129" s="206">
        <v>0</v>
      </c>
      <c r="G129" s="206">
        <v>0</v>
      </c>
      <c r="H129" s="206">
        <v>0</v>
      </c>
      <c r="I129" s="206">
        <v>0</v>
      </c>
      <c r="J129" s="206">
        <v>0</v>
      </c>
      <c r="K129" s="206">
        <v>0</v>
      </c>
    </row>
    <row r="130" spans="3:11" x14ac:dyDescent="0.25">
      <c r="C130" t="s">
        <v>604</v>
      </c>
      <c r="D130" s="24" t="s">
        <v>101</v>
      </c>
      <c r="E130" s="24" t="s">
        <v>553</v>
      </c>
      <c r="F130" s="206">
        <v>0</v>
      </c>
      <c r="G130" s="206">
        <v>0</v>
      </c>
      <c r="H130" s="206">
        <v>0</v>
      </c>
      <c r="I130" s="206">
        <v>0</v>
      </c>
      <c r="J130" s="206">
        <v>0</v>
      </c>
      <c r="K130" s="206">
        <v>0</v>
      </c>
    </row>
    <row r="131" spans="3:11" x14ac:dyDescent="0.25">
      <c r="C131" t="s">
        <v>266</v>
      </c>
      <c r="D131" s="24" t="s">
        <v>101</v>
      </c>
      <c r="E131" s="24" t="s">
        <v>553</v>
      </c>
      <c r="F131" s="206">
        <v>0</v>
      </c>
      <c r="G131" s="206">
        <v>0</v>
      </c>
      <c r="H131" s="206">
        <v>0</v>
      </c>
      <c r="I131" s="206">
        <v>0</v>
      </c>
      <c r="J131" s="206">
        <v>0</v>
      </c>
      <c r="K131" s="206">
        <v>0</v>
      </c>
    </row>
    <row r="132" spans="3:11" x14ac:dyDescent="0.25">
      <c r="C132" t="s">
        <v>608</v>
      </c>
      <c r="D132" s="24" t="s">
        <v>100</v>
      </c>
      <c r="E132" s="24" t="s">
        <v>553</v>
      </c>
      <c r="F132" s="206">
        <v>0</v>
      </c>
      <c r="G132" s="206">
        <v>0</v>
      </c>
      <c r="H132" s="206">
        <v>0</v>
      </c>
      <c r="I132" s="206">
        <v>0</v>
      </c>
      <c r="J132" s="206">
        <v>0</v>
      </c>
      <c r="K132" s="206">
        <v>0</v>
      </c>
    </row>
    <row r="133" spans="3:11" x14ac:dyDescent="0.25">
      <c r="C133" t="s">
        <v>608</v>
      </c>
      <c r="D133" s="24" t="s">
        <v>101</v>
      </c>
      <c r="E133" s="24" t="s">
        <v>553</v>
      </c>
      <c r="F133" s="206">
        <v>0</v>
      </c>
      <c r="G133" s="206">
        <v>0</v>
      </c>
      <c r="H133" s="206">
        <v>0</v>
      </c>
      <c r="I133" s="206">
        <v>0</v>
      </c>
      <c r="J133" s="206">
        <v>0</v>
      </c>
      <c r="K133" s="206">
        <v>0</v>
      </c>
    </row>
  </sheetData>
  <mergeCells count="1">
    <mergeCell ref="A2:A3"/>
  </mergeCells>
  <dataValidations count="1">
    <dataValidation type="list" allowBlank="1" showInputMessage="1" showErrorMessage="1" sqref="D46:D133" xr:uid="{110F9B32-7622-4195-ACDA-144419B02CE4}">
      <formula1>$G$8:$G$10</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BCF60-72B6-49A1-8E4C-68668F8F6B52}">
  <sheetPr codeName="Sheet10"/>
  <dimension ref="A1:Z22"/>
  <sheetViews>
    <sheetView showGridLines="0" zoomScale="85" zoomScaleNormal="85" workbookViewId="0">
      <pane ySplit="3" topLeftCell="A4" activePane="bottomLeft" state="frozen"/>
      <selection pane="bottomLeft" activeCell="C23" sqref="C23"/>
    </sheetView>
  </sheetViews>
  <sheetFormatPr defaultRowHeight="15" outlineLevelCol="1" x14ac:dyDescent="0.25"/>
  <cols>
    <col min="1" max="1" width="100.7109375" customWidth="1" outlineLevel="1"/>
    <col min="2" max="2" width="10.7109375" style="6" customWidth="1"/>
    <col min="3" max="3" width="50.7109375" customWidth="1"/>
    <col min="4" max="26" width="25.7109375" customWidth="1"/>
  </cols>
  <sheetData>
    <row r="1" spans="1:26" ht="15" customHeight="1" x14ac:dyDescent="0.25">
      <c r="A1" s="1" t="s">
        <v>27</v>
      </c>
      <c r="B1" s="22"/>
      <c r="C1" s="23"/>
      <c r="D1" s="23"/>
      <c r="E1" s="23"/>
      <c r="F1" s="23"/>
      <c r="G1" s="23"/>
      <c r="H1" s="23"/>
      <c r="I1" s="23"/>
      <c r="J1" s="23"/>
      <c r="K1" s="23"/>
      <c r="L1" s="23"/>
      <c r="M1" s="23"/>
      <c r="N1" s="23"/>
      <c r="O1" s="23"/>
      <c r="P1" s="23"/>
      <c r="Q1" s="23"/>
      <c r="R1" s="23"/>
      <c r="S1" s="23"/>
      <c r="T1" s="23"/>
      <c r="U1" s="23"/>
      <c r="V1" s="23"/>
      <c r="W1" s="23"/>
      <c r="X1" s="23"/>
      <c r="Y1" s="23"/>
      <c r="Z1" s="23"/>
    </row>
    <row r="2" spans="1:26" s="4" customFormat="1" ht="50.1" customHeight="1" x14ac:dyDescent="0.25">
      <c r="A2" s="293" t="s">
        <v>28</v>
      </c>
      <c r="B2" s="26"/>
      <c r="C2" s="26" t="str">
        <f>Disclaimer!$B$1</f>
        <v>VDO calculation model</v>
      </c>
      <c r="D2" s="26"/>
      <c r="E2" s="26"/>
      <c r="F2" s="26"/>
      <c r="G2" s="26"/>
      <c r="H2" s="26"/>
      <c r="I2" s="26"/>
      <c r="J2" s="26"/>
      <c r="K2" s="26"/>
      <c r="L2" s="26"/>
      <c r="M2" s="26"/>
      <c r="N2" s="26"/>
      <c r="O2" s="26"/>
      <c r="P2" s="26"/>
      <c r="Q2" s="26"/>
      <c r="R2" s="26"/>
      <c r="S2" s="26"/>
      <c r="T2" s="26"/>
      <c r="U2" s="26"/>
      <c r="V2" s="26"/>
      <c r="W2" s="26"/>
      <c r="X2" s="26"/>
      <c r="Y2" s="26"/>
      <c r="Z2" s="26"/>
    </row>
    <row r="3" spans="1:26" s="4" customFormat="1" ht="30" customHeight="1" x14ac:dyDescent="0.25">
      <c r="A3" s="294"/>
      <c r="B3" s="28">
        <f ca="1">_xlfn.SHEET()</f>
        <v>23</v>
      </c>
      <c r="C3" s="27" t="s">
        <v>336</v>
      </c>
      <c r="D3" s="27"/>
      <c r="E3" s="27"/>
      <c r="F3" s="27"/>
      <c r="G3" s="27"/>
      <c r="H3" s="27"/>
      <c r="I3" s="27"/>
      <c r="J3" s="27"/>
      <c r="K3" s="27"/>
      <c r="L3" s="27"/>
      <c r="M3" s="27"/>
      <c r="N3" s="27"/>
      <c r="O3" s="27"/>
      <c r="P3" s="27"/>
      <c r="Q3" s="27"/>
      <c r="R3" s="27"/>
      <c r="S3" s="27"/>
      <c r="T3" s="27"/>
      <c r="U3" s="27"/>
      <c r="V3" s="27"/>
      <c r="W3" s="27"/>
      <c r="X3" s="27"/>
      <c r="Y3" s="27"/>
      <c r="Z3" s="27"/>
    </row>
    <row r="4" spans="1:26" x14ac:dyDescent="0.25">
      <c r="B4"/>
    </row>
    <row r="5" spans="1:26" ht="16.5" thickBot="1" x14ac:dyDescent="0.3">
      <c r="A5" s="1" t="s">
        <v>30</v>
      </c>
      <c r="B5" s="9">
        <f ca="1">MAX(B$3:B4)+0.1</f>
        <v>23.1</v>
      </c>
      <c r="C5" s="29" t="s">
        <v>337</v>
      </c>
      <c r="D5" s="29"/>
      <c r="E5" s="29"/>
      <c r="F5" s="29"/>
      <c r="G5" s="29"/>
      <c r="H5" s="29"/>
      <c r="I5" s="29"/>
      <c r="J5" s="29"/>
      <c r="K5" s="29"/>
      <c r="L5" s="29"/>
      <c r="M5" s="29"/>
      <c r="N5" s="29"/>
      <c r="O5" s="29"/>
      <c r="P5" s="29"/>
      <c r="Q5" s="29"/>
      <c r="R5" s="29"/>
      <c r="S5" s="29"/>
      <c r="T5" s="29"/>
      <c r="U5" s="29"/>
      <c r="V5" s="29"/>
      <c r="W5" s="29"/>
      <c r="X5" s="29"/>
      <c r="Y5" s="29"/>
      <c r="Z5" s="29"/>
    </row>
    <row r="7" spans="1:26" ht="15.75" x14ac:dyDescent="0.25">
      <c r="C7" s="30" t="s">
        <v>338</v>
      </c>
    </row>
    <row r="8" spans="1:26" ht="15.75" x14ac:dyDescent="0.25">
      <c r="C8" s="43" t="s">
        <v>339</v>
      </c>
      <c r="D8" s="43" t="s">
        <v>339</v>
      </c>
      <c r="E8" s="43" t="s">
        <v>339</v>
      </c>
      <c r="F8" s="43" t="s">
        <v>339</v>
      </c>
    </row>
    <row r="9" spans="1:26" x14ac:dyDescent="0.25">
      <c r="C9" s="24"/>
      <c r="D9" s="24"/>
      <c r="E9" s="24"/>
      <c r="F9" s="24"/>
    </row>
    <row r="10" spans="1:26" x14ac:dyDescent="0.25">
      <c r="C10" s="24"/>
      <c r="D10" s="24"/>
      <c r="E10" s="24"/>
      <c r="F10" s="24"/>
    </row>
    <row r="11" spans="1:26" x14ac:dyDescent="0.25">
      <c r="C11" s="24"/>
      <c r="D11" s="24"/>
      <c r="E11" s="24"/>
      <c r="F11" s="24"/>
    </row>
    <row r="12" spans="1:26" x14ac:dyDescent="0.25">
      <c r="C12" s="24"/>
      <c r="D12" s="24"/>
      <c r="E12" s="24"/>
      <c r="F12" s="24"/>
    </row>
    <row r="13" spans="1:26" x14ac:dyDescent="0.25">
      <c r="C13" s="24"/>
      <c r="D13" s="24"/>
      <c r="E13" s="24"/>
      <c r="F13" s="24"/>
    </row>
    <row r="14" spans="1:26" x14ac:dyDescent="0.25">
      <c r="C14" s="24"/>
      <c r="D14" s="24"/>
      <c r="E14" s="24"/>
      <c r="F14" s="24"/>
    </row>
    <row r="15" spans="1:26" x14ac:dyDescent="0.25">
      <c r="C15" s="24"/>
      <c r="D15" s="24"/>
      <c r="E15" s="24"/>
      <c r="F15" s="24"/>
    </row>
    <row r="16" spans="1:26" x14ac:dyDescent="0.25">
      <c r="C16" s="24"/>
      <c r="D16" s="24"/>
      <c r="E16" s="24"/>
      <c r="F16" s="24"/>
    </row>
    <row r="17" spans="3:6" x14ac:dyDescent="0.25">
      <c r="C17" s="24"/>
      <c r="D17" s="24"/>
      <c r="E17" s="24"/>
      <c r="F17" s="24"/>
    </row>
    <row r="18" spans="3:6" x14ac:dyDescent="0.25">
      <c r="C18" s="24"/>
      <c r="D18" s="24"/>
      <c r="E18" s="24"/>
      <c r="F18" s="24"/>
    </row>
    <row r="19" spans="3:6" x14ac:dyDescent="0.25">
      <c r="C19" s="24"/>
      <c r="D19" s="24"/>
      <c r="E19" s="24"/>
      <c r="F19" s="24"/>
    </row>
    <row r="20" spans="3:6" x14ac:dyDescent="0.25">
      <c r="C20" s="24"/>
      <c r="D20" s="24"/>
      <c r="E20" s="24"/>
      <c r="F20" s="24"/>
    </row>
    <row r="21" spans="3:6" x14ac:dyDescent="0.25">
      <c r="C21" s="24"/>
      <c r="D21" s="24"/>
      <c r="E21" s="24"/>
      <c r="F21" s="24"/>
    </row>
    <row r="22" spans="3:6" x14ac:dyDescent="0.25">
      <c r="C22" s="24"/>
      <c r="D22" s="24"/>
      <c r="E22" s="24"/>
      <c r="F22" s="24"/>
    </row>
  </sheetData>
  <mergeCells count="1">
    <mergeCell ref="A2:A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60545575D9E03F4492DD3C4DA6FC0DC0" ma:contentTypeVersion="5" ma:contentTypeDescription="Create a new document." ma:contentTypeScope="" ma:versionID="7d95e092565c731f4ad071a2de3b31ba">
  <xsd:schema xmlns:xsd="http://www.w3.org/2001/XMLSchema" xmlns:xs="http://www.w3.org/2001/XMLSchema" xmlns:p="http://schemas.microsoft.com/office/2006/metadata/properties" xmlns:ns3="7e14ee29-ff38-48b8-9fe1-bb9ec2179f19" xmlns:ns4="e8cbbe4c-1ec4-4b8c-a95b-d171fe90b0f4" targetNamespace="http://schemas.microsoft.com/office/2006/metadata/properties" ma:root="true" ma:fieldsID="bbf50bbe4bdd64e324b0554ec052d2f7" ns3:_="" ns4:_="">
    <xsd:import namespace="7e14ee29-ff38-48b8-9fe1-bb9ec2179f19"/>
    <xsd:import namespace="e8cbbe4c-1ec4-4b8c-a95b-d171fe90b0f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14ee29-ff38-48b8-9fe1-bb9ec2179f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cbbe4c-1ec4-4b8c-a95b-d171fe90b0f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139258F-1C21-4DD8-9213-AB97CD8302AB}">
  <ds:schemaRefs>
    <ds:schemaRef ds:uri="http://schemas.microsoft.com/DataMashup"/>
  </ds:schemaRefs>
</ds:datastoreItem>
</file>

<file path=customXml/itemProps2.xml><?xml version="1.0" encoding="utf-8"?>
<ds:datastoreItem xmlns:ds="http://schemas.openxmlformats.org/officeDocument/2006/customXml" ds:itemID="{EC50ABAC-58D2-4E79-80F1-117C47AA00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14ee29-ff38-48b8-9fe1-bb9ec2179f19"/>
    <ds:schemaRef ds:uri="e8cbbe4c-1ec4-4b8c-a95b-d171fe90b0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774C02-8D8E-4FC3-9D41-C33DCB6683EB}">
  <ds:schemaRefs>
    <ds:schemaRef ds:uri="http://schemas.microsoft.com/sharepoint/v3/contenttype/forms"/>
  </ds:schemaRefs>
</ds:datastoreItem>
</file>

<file path=customXml/itemProps4.xml><?xml version="1.0" encoding="utf-8"?>
<ds:datastoreItem xmlns:ds="http://schemas.openxmlformats.org/officeDocument/2006/customXml" ds:itemID="{F5F5AD19-D35C-4D0A-B8E2-C3C781D0CC4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e14ee29-ff38-48b8-9fe1-bb9ec2179f19"/>
    <ds:schemaRef ds:uri="e8cbbe4c-1ec4-4b8c-a95b-d171fe90b0f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13</vt:i4>
      </vt:variant>
    </vt:vector>
  </HeadingPairs>
  <TitlesOfParts>
    <vt:vector size="36" baseType="lpstr">
      <vt:lpstr>Disclaimer</vt:lpstr>
      <vt:lpstr>Contents</vt:lpstr>
      <vt:lpstr>User Guide</vt:lpstr>
      <vt:lpstr>Information</vt:lpstr>
      <vt:lpstr>Sources</vt:lpstr>
      <vt:lpstr>Version control</vt:lpstr>
      <vt:lpstr>Checks</vt:lpstr>
      <vt:lpstr>Change Log</vt:lpstr>
      <vt:lpstr>Inputs</vt:lpstr>
      <vt:lpstr>General Assumptions</vt:lpstr>
      <vt:lpstr>CPI</vt:lpstr>
      <vt:lpstr>Calc_Rates</vt:lpstr>
      <vt:lpstr>Calc_TU_values</vt:lpstr>
      <vt:lpstr>Calc_TU_rates</vt:lpstr>
      <vt:lpstr>OP_Rates</vt:lpstr>
      <vt:lpstr>OP_CMAB</vt:lpstr>
      <vt:lpstr>CH_CostStack_RES</vt:lpstr>
      <vt:lpstr>CH_CostStack_SME</vt:lpstr>
      <vt:lpstr>CH_CostItems_Anytime</vt:lpstr>
      <vt:lpstr>TBL_Comparison</vt:lpstr>
      <vt:lpstr>CH_CostElements_Anytime</vt:lpstr>
      <vt:lpstr>Lookup refs</vt:lpstr>
      <vt:lpstr>Blank_WkSheet</vt:lpstr>
      <vt:lpstr>AUD</vt:lpstr>
      <vt:lpstr>DiY</vt:lpstr>
      <vt:lpstr>GST</vt:lpstr>
      <vt:lpstr>MiQ</vt:lpstr>
      <vt:lpstr>MiY</vt:lpstr>
      <vt:lpstr>TUProp_CLLoad_1</vt:lpstr>
      <vt:lpstr>TUProp_CLLoad_2</vt:lpstr>
      <vt:lpstr>TUProp_Days_1</vt:lpstr>
      <vt:lpstr>TUProp_Days_2</vt:lpstr>
      <vt:lpstr>WACC</vt:lpstr>
      <vt:lpstr>WACC_adj_1</vt:lpstr>
      <vt:lpstr>WACC_adj_2</vt:lpstr>
      <vt:lpstr>WiY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Murry Greasley (ESC)</dc:creator>
  <cp:keywords/>
  <dc:description/>
  <cp:lastModifiedBy>Sonia Madamba (ESC)</cp:lastModifiedBy>
  <cp:revision/>
  <cp:lastPrinted>2021-07-14T00:19:01Z</cp:lastPrinted>
  <dcterms:created xsi:type="dcterms:W3CDTF">2020-01-15T04:05:27Z</dcterms:created>
  <dcterms:modified xsi:type="dcterms:W3CDTF">2021-11-24T05:43:11Z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0x01010060545575D9E03F4492DD3C4DA6FC0DC0</vt:lpwstr>
  </property>
</Properties>
</file>