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20730" windowHeight="6405" tabRatio="956"/>
  </bookViews>
  <sheets>
    <sheet name="Explanatory Sheet" sheetId="61" r:id="rId1"/>
    <sheet name="Terminal offers" sheetId="53" r:id="rId2"/>
    <sheet name="Two terminal assumption &gt;&gt;" sheetId="34" r:id="rId3"/>
    <sheet name="1. Monthly revenue &amp; trips " sheetId="46" r:id="rId4"/>
    <sheet name="2. Costs(all EFTPOS offers) " sheetId="59" r:id="rId5"/>
    <sheet name="3. Benchmarking(EFTPOS) " sheetId="47" r:id="rId6"/>
    <sheet name="4. Benchmarking(mPOS) " sheetId="48" r:id="rId7"/>
    <sheet name="5. Sensitivity(EFTPOS) " sheetId="49" r:id="rId8"/>
    <sheet name="6. Sensitivity(mPOS) " sheetId="50" r:id="rId9"/>
    <sheet name="7. Charts " sheetId="56" r:id="rId10"/>
    <sheet name="Single terminal assumption &gt;&gt;" sheetId="33" r:id="rId11"/>
    <sheet name="8. Monthly revenue and trips" sheetId="17" r:id="rId12"/>
    <sheet name="9. Costs(all EFTPOS offers)" sheetId="58" r:id="rId13"/>
    <sheet name="10. Benchmarking (EFTPOS)" sheetId="18" r:id="rId14"/>
    <sheet name="11. Benchmarking (mPOS)" sheetId="57" r:id="rId15"/>
    <sheet name="12. Sensitivity (EFTPOS)" sheetId="43" r:id="rId16"/>
    <sheet name="13. Sensitivity (mPOS)" sheetId="44" r:id="rId17"/>
    <sheet name="14. Charts" sheetId="20" r:id="rId18"/>
  </sheets>
  <calcPr calcId="145621" concurrentCalc="0"/>
</workbook>
</file>

<file path=xl/calcChain.xml><?xml version="1.0" encoding="utf-8"?>
<calcChain xmlns="http://schemas.openxmlformats.org/spreadsheetml/2006/main">
  <c r="C33" i="20" l="1"/>
  <c r="C32" i="20"/>
  <c r="C31" i="20"/>
  <c r="C30" i="20"/>
  <c r="C29" i="20"/>
  <c r="C27" i="20"/>
  <c r="C28" i="20"/>
  <c r="C26" i="20"/>
  <c r="C25" i="20"/>
  <c r="C24" i="20"/>
  <c r="C5" i="59"/>
  <c r="C71" i="58"/>
  <c r="N68" i="58"/>
  <c r="C68" i="58"/>
  <c r="I68" i="58"/>
  <c r="J68" i="58"/>
  <c r="C79" i="58"/>
  <c r="E68" i="58"/>
  <c r="C75" i="58"/>
  <c r="F68" i="58"/>
  <c r="K68" i="58"/>
  <c r="G68" i="58"/>
  <c r="C76" i="58"/>
  <c r="H68" i="58"/>
  <c r="C77" i="58"/>
  <c r="L68" i="58"/>
  <c r="M68" i="58"/>
  <c r="O68" i="58"/>
  <c r="C17" i="58"/>
  <c r="N63" i="58"/>
  <c r="C63" i="58"/>
  <c r="I63" i="58"/>
  <c r="J63" i="58"/>
  <c r="C74" i="58"/>
  <c r="D63" i="58"/>
  <c r="E63" i="58"/>
  <c r="K63" i="58"/>
  <c r="G63" i="58"/>
  <c r="H63" i="58"/>
  <c r="L63" i="58"/>
  <c r="M63" i="58"/>
  <c r="O63" i="58"/>
  <c r="N64" i="58"/>
  <c r="C64" i="58"/>
  <c r="I64" i="58"/>
  <c r="J64" i="58"/>
  <c r="D64" i="58"/>
  <c r="K64" i="58"/>
  <c r="G64" i="58"/>
  <c r="H64" i="58"/>
  <c r="L64" i="58"/>
  <c r="M64" i="58"/>
  <c r="O64" i="58"/>
  <c r="N65" i="58"/>
  <c r="C65" i="58"/>
  <c r="I65" i="58"/>
  <c r="J65" i="58"/>
  <c r="D65" i="58"/>
  <c r="K65" i="58"/>
  <c r="G65" i="58"/>
  <c r="H65" i="58"/>
  <c r="L65" i="58"/>
  <c r="M65" i="58"/>
  <c r="O65" i="58"/>
  <c r="N66" i="58"/>
  <c r="C66" i="58"/>
  <c r="I66" i="58"/>
  <c r="J66" i="58"/>
  <c r="D66" i="58"/>
  <c r="K66" i="58"/>
  <c r="G66" i="58"/>
  <c r="H66" i="58"/>
  <c r="L66" i="58"/>
  <c r="M66" i="58"/>
  <c r="O66" i="58"/>
  <c r="N67" i="58"/>
  <c r="C67" i="58"/>
  <c r="I67" i="58"/>
  <c r="J67" i="58"/>
  <c r="D67" i="58"/>
  <c r="K67" i="58"/>
  <c r="G67" i="58"/>
  <c r="H67" i="58"/>
  <c r="L67" i="58"/>
  <c r="M67" i="58"/>
  <c r="O67" i="58"/>
  <c r="C16" i="58"/>
  <c r="N62" i="58"/>
  <c r="C62" i="58"/>
  <c r="I62" i="58"/>
  <c r="J62" i="58"/>
  <c r="E62" i="58"/>
  <c r="K62" i="58"/>
  <c r="G62" i="58"/>
  <c r="H62" i="58"/>
  <c r="L62" i="58"/>
  <c r="M62" i="58"/>
  <c r="O62" i="58"/>
  <c r="C15" i="58"/>
  <c r="N61" i="58"/>
  <c r="C61" i="58"/>
  <c r="I61" i="58"/>
  <c r="J61" i="58"/>
  <c r="E61" i="58"/>
  <c r="F61" i="58"/>
  <c r="K61" i="58"/>
  <c r="G61" i="58"/>
  <c r="H61" i="58"/>
  <c r="L61" i="58"/>
  <c r="M61" i="58"/>
  <c r="O61" i="58"/>
  <c r="C14" i="58"/>
  <c r="N56" i="58"/>
  <c r="C56" i="58"/>
  <c r="I56" i="58"/>
  <c r="J56" i="58"/>
  <c r="D56" i="58"/>
  <c r="E56" i="58"/>
  <c r="K56" i="58"/>
  <c r="G56" i="58"/>
  <c r="H56" i="58"/>
  <c r="L56" i="58"/>
  <c r="M56" i="58"/>
  <c r="O56" i="58"/>
  <c r="N57" i="58"/>
  <c r="C57" i="58"/>
  <c r="I57" i="58"/>
  <c r="J57" i="58"/>
  <c r="D57" i="58"/>
  <c r="K57" i="58"/>
  <c r="G57" i="58"/>
  <c r="H57" i="58"/>
  <c r="L57" i="58"/>
  <c r="M57" i="58"/>
  <c r="O57" i="58"/>
  <c r="N58" i="58"/>
  <c r="C58" i="58"/>
  <c r="I58" i="58"/>
  <c r="J58" i="58"/>
  <c r="D58" i="58"/>
  <c r="K58" i="58"/>
  <c r="G58" i="58"/>
  <c r="H58" i="58"/>
  <c r="L58" i="58"/>
  <c r="M58" i="58"/>
  <c r="O58" i="58"/>
  <c r="N59" i="58"/>
  <c r="C59" i="58"/>
  <c r="I59" i="58"/>
  <c r="J59" i="58"/>
  <c r="D59" i="58"/>
  <c r="K59" i="58"/>
  <c r="G59" i="58"/>
  <c r="H59" i="58"/>
  <c r="L59" i="58"/>
  <c r="M59" i="58"/>
  <c r="O59" i="58"/>
  <c r="N60" i="58"/>
  <c r="C60" i="58"/>
  <c r="I60" i="58"/>
  <c r="J60" i="58"/>
  <c r="D60" i="58"/>
  <c r="K60" i="58"/>
  <c r="G60" i="58"/>
  <c r="H60" i="58"/>
  <c r="L60" i="58"/>
  <c r="M60" i="58"/>
  <c r="O60" i="58"/>
  <c r="C13" i="58"/>
  <c r="N47" i="58"/>
  <c r="C47" i="58"/>
  <c r="I47" i="58"/>
  <c r="J47" i="58"/>
  <c r="D47" i="58"/>
  <c r="E47" i="58"/>
  <c r="K47" i="58"/>
  <c r="G47" i="58"/>
  <c r="H47" i="58"/>
  <c r="L47" i="58"/>
  <c r="M47" i="58"/>
  <c r="O47" i="58"/>
  <c r="N48" i="58"/>
  <c r="C48" i="58"/>
  <c r="I48" i="58"/>
  <c r="J48" i="58"/>
  <c r="D48" i="58"/>
  <c r="K48" i="58"/>
  <c r="G48" i="58"/>
  <c r="H48" i="58"/>
  <c r="L48" i="58"/>
  <c r="M48" i="58"/>
  <c r="O48" i="58"/>
  <c r="N49" i="58"/>
  <c r="C49" i="58"/>
  <c r="I49" i="58"/>
  <c r="J49" i="58"/>
  <c r="D49" i="58"/>
  <c r="K49" i="58"/>
  <c r="G49" i="58"/>
  <c r="H49" i="58"/>
  <c r="L49" i="58"/>
  <c r="M49" i="58"/>
  <c r="O49" i="58"/>
  <c r="N50" i="58"/>
  <c r="C50" i="58"/>
  <c r="I50" i="58"/>
  <c r="J50" i="58"/>
  <c r="D50" i="58"/>
  <c r="K50" i="58"/>
  <c r="G50" i="58"/>
  <c r="H50" i="58"/>
  <c r="L50" i="58"/>
  <c r="M50" i="58"/>
  <c r="O50" i="58"/>
  <c r="C12" i="58"/>
  <c r="N46" i="58"/>
  <c r="C46" i="58"/>
  <c r="I46" i="58"/>
  <c r="J46" i="58"/>
  <c r="E46" i="58"/>
  <c r="F46" i="58"/>
  <c r="K46" i="58"/>
  <c r="G46" i="58"/>
  <c r="H46" i="58"/>
  <c r="L46" i="58"/>
  <c r="M46" i="58"/>
  <c r="O46" i="58"/>
  <c r="C11" i="58"/>
  <c r="N41" i="58"/>
  <c r="C41" i="58"/>
  <c r="I41" i="58"/>
  <c r="J41" i="58"/>
  <c r="D41" i="58"/>
  <c r="E41" i="58"/>
  <c r="K41" i="58"/>
  <c r="G41" i="58"/>
  <c r="H41" i="58"/>
  <c r="L41" i="58"/>
  <c r="M41" i="58"/>
  <c r="O41" i="58"/>
  <c r="N42" i="58"/>
  <c r="C42" i="58"/>
  <c r="I42" i="58"/>
  <c r="J42" i="58"/>
  <c r="D42" i="58"/>
  <c r="K42" i="58"/>
  <c r="G42" i="58"/>
  <c r="H42" i="58"/>
  <c r="L42" i="58"/>
  <c r="M42" i="58"/>
  <c r="O42" i="58"/>
  <c r="N43" i="58"/>
  <c r="C43" i="58"/>
  <c r="I43" i="58"/>
  <c r="J43" i="58"/>
  <c r="D43" i="58"/>
  <c r="K43" i="58"/>
  <c r="G43" i="58"/>
  <c r="H43" i="58"/>
  <c r="L43" i="58"/>
  <c r="M43" i="58"/>
  <c r="O43" i="58"/>
  <c r="N44" i="58"/>
  <c r="C44" i="58"/>
  <c r="I44" i="58"/>
  <c r="J44" i="58"/>
  <c r="D44" i="58"/>
  <c r="K44" i="58"/>
  <c r="G44" i="58"/>
  <c r="H44" i="58"/>
  <c r="L44" i="58"/>
  <c r="M44" i="58"/>
  <c r="O44" i="58"/>
  <c r="N45" i="58"/>
  <c r="C45" i="58"/>
  <c r="I45" i="58"/>
  <c r="J45" i="58"/>
  <c r="D45" i="58"/>
  <c r="K45" i="58"/>
  <c r="G45" i="58"/>
  <c r="H45" i="58"/>
  <c r="L45" i="58"/>
  <c r="M45" i="58"/>
  <c r="O45" i="58"/>
  <c r="C10" i="58"/>
  <c r="N36" i="58"/>
  <c r="C36" i="58"/>
  <c r="I36" i="58"/>
  <c r="J36" i="58"/>
  <c r="D36" i="58"/>
  <c r="E36" i="58"/>
  <c r="K36" i="58"/>
  <c r="G36" i="58"/>
  <c r="H36" i="58"/>
  <c r="L36" i="58"/>
  <c r="M36" i="58"/>
  <c r="O36" i="58"/>
  <c r="N37" i="58"/>
  <c r="C37" i="58"/>
  <c r="I37" i="58"/>
  <c r="J37" i="58"/>
  <c r="D37" i="58"/>
  <c r="K37" i="58"/>
  <c r="G37" i="58"/>
  <c r="H37" i="58"/>
  <c r="L37" i="58"/>
  <c r="M37" i="58"/>
  <c r="O37" i="58"/>
  <c r="N38" i="58"/>
  <c r="C38" i="58"/>
  <c r="I38" i="58"/>
  <c r="J38" i="58"/>
  <c r="D38" i="58"/>
  <c r="K38" i="58"/>
  <c r="G38" i="58"/>
  <c r="H38" i="58"/>
  <c r="L38" i="58"/>
  <c r="M38" i="58"/>
  <c r="O38" i="58"/>
  <c r="N39" i="58"/>
  <c r="C39" i="58"/>
  <c r="I39" i="58"/>
  <c r="J39" i="58"/>
  <c r="D39" i="58"/>
  <c r="K39" i="58"/>
  <c r="G39" i="58"/>
  <c r="H39" i="58"/>
  <c r="L39" i="58"/>
  <c r="M39" i="58"/>
  <c r="O39" i="58"/>
  <c r="N40" i="58"/>
  <c r="C40" i="58"/>
  <c r="I40" i="58"/>
  <c r="J40" i="58"/>
  <c r="D40" i="58"/>
  <c r="K40" i="58"/>
  <c r="G40" i="58"/>
  <c r="H40" i="58"/>
  <c r="L40" i="58"/>
  <c r="M40" i="58"/>
  <c r="O40" i="58"/>
  <c r="C9" i="58"/>
  <c r="N27" i="58"/>
  <c r="C27" i="58"/>
  <c r="I27" i="58"/>
  <c r="J27" i="58"/>
  <c r="D27" i="58"/>
  <c r="K27" i="58"/>
  <c r="G27" i="58"/>
  <c r="H27" i="58"/>
  <c r="L27" i="58"/>
  <c r="M27" i="58"/>
  <c r="O27" i="58"/>
  <c r="N28" i="58"/>
  <c r="C28" i="58"/>
  <c r="I28" i="58"/>
  <c r="J28" i="58"/>
  <c r="D28" i="58"/>
  <c r="K28" i="58"/>
  <c r="G28" i="58"/>
  <c r="H28" i="58"/>
  <c r="L28" i="58"/>
  <c r="M28" i="58"/>
  <c r="O28" i="58"/>
  <c r="N29" i="58"/>
  <c r="C29" i="58"/>
  <c r="I29" i="58"/>
  <c r="J29" i="58"/>
  <c r="D29" i="58"/>
  <c r="K29" i="58"/>
  <c r="G29" i="58"/>
  <c r="H29" i="58"/>
  <c r="L29" i="58"/>
  <c r="M29" i="58"/>
  <c r="O29" i="58"/>
  <c r="N30" i="58"/>
  <c r="C30" i="58"/>
  <c r="I30" i="58"/>
  <c r="J30" i="58"/>
  <c r="D30" i="58"/>
  <c r="K30" i="58"/>
  <c r="G30" i="58"/>
  <c r="H30" i="58"/>
  <c r="L30" i="58"/>
  <c r="M30" i="58"/>
  <c r="O30" i="58"/>
  <c r="N31" i="58"/>
  <c r="C31" i="58"/>
  <c r="I31" i="58"/>
  <c r="J31" i="58"/>
  <c r="D31" i="58"/>
  <c r="E31" i="58"/>
  <c r="K31" i="58"/>
  <c r="G31" i="58"/>
  <c r="H31" i="58"/>
  <c r="L31" i="58"/>
  <c r="M31" i="58"/>
  <c r="O31" i="58"/>
  <c r="C8" i="58"/>
  <c r="N26" i="58"/>
  <c r="C26" i="58"/>
  <c r="I26" i="58"/>
  <c r="J26" i="58"/>
  <c r="D26" i="58"/>
  <c r="E26" i="58"/>
  <c r="K26" i="58"/>
  <c r="G26" i="58"/>
  <c r="H26" i="58"/>
  <c r="L26" i="58"/>
  <c r="M26" i="58"/>
  <c r="O26" i="58"/>
  <c r="C7" i="58"/>
  <c r="N22" i="58"/>
  <c r="C22" i="58"/>
  <c r="I22" i="58"/>
  <c r="J22" i="58"/>
  <c r="D22" i="58"/>
  <c r="E22" i="58"/>
  <c r="K22" i="58"/>
  <c r="G22" i="58"/>
  <c r="H22" i="58"/>
  <c r="L22" i="58"/>
  <c r="M22" i="58"/>
  <c r="O22" i="58"/>
  <c r="N23" i="58"/>
  <c r="C23" i="58"/>
  <c r="I23" i="58"/>
  <c r="J23" i="58"/>
  <c r="D23" i="58"/>
  <c r="K23" i="58"/>
  <c r="G23" i="58"/>
  <c r="H23" i="58"/>
  <c r="L23" i="58"/>
  <c r="M23" i="58"/>
  <c r="O23" i="58"/>
  <c r="N24" i="58"/>
  <c r="C24" i="58"/>
  <c r="I24" i="58"/>
  <c r="J24" i="58"/>
  <c r="D24" i="58"/>
  <c r="K24" i="58"/>
  <c r="G24" i="58"/>
  <c r="H24" i="58"/>
  <c r="L24" i="58"/>
  <c r="M24" i="58"/>
  <c r="O24" i="58"/>
  <c r="N25" i="58"/>
  <c r="C25" i="58"/>
  <c r="I25" i="58"/>
  <c r="J25" i="58"/>
  <c r="D25" i="58"/>
  <c r="K25" i="58"/>
  <c r="G25" i="58"/>
  <c r="H25" i="58"/>
  <c r="L25" i="58"/>
  <c r="M25" i="58"/>
  <c r="O25" i="58"/>
  <c r="C6" i="58"/>
  <c r="N21" i="58"/>
  <c r="C21" i="58"/>
  <c r="I21" i="58"/>
  <c r="J21" i="58"/>
  <c r="E21" i="58"/>
  <c r="F21" i="58"/>
  <c r="K21" i="58"/>
  <c r="G21" i="58"/>
  <c r="H21" i="58"/>
  <c r="L21" i="58"/>
  <c r="M21" i="58"/>
  <c r="O21" i="58"/>
  <c r="C5" i="58"/>
  <c r="N54" i="58"/>
  <c r="N55" i="58"/>
  <c r="C54" i="58"/>
  <c r="I54" i="58"/>
  <c r="J54" i="58"/>
  <c r="D54" i="58"/>
  <c r="K54" i="58"/>
  <c r="G54" i="58"/>
  <c r="H54" i="58"/>
  <c r="L54" i="58"/>
  <c r="M54" i="58"/>
  <c r="O54" i="58"/>
  <c r="C55" i="58"/>
  <c r="I55" i="58"/>
  <c r="J55" i="58"/>
  <c r="D55" i="58"/>
  <c r="K55" i="58"/>
  <c r="G55" i="58"/>
  <c r="H55" i="58"/>
  <c r="L55" i="58"/>
  <c r="M55" i="58"/>
  <c r="O55" i="58"/>
  <c r="N51" i="58"/>
  <c r="N52" i="58"/>
  <c r="N53" i="58"/>
  <c r="C51" i="58"/>
  <c r="I51" i="58"/>
  <c r="J51" i="58"/>
  <c r="D51" i="58"/>
  <c r="E51" i="58"/>
  <c r="K51" i="58"/>
  <c r="G51" i="58"/>
  <c r="H51" i="58"/>
  <c r="L51" i="58"/>
  <c r="M51" i="58"/>
  <c r="O51" i="58"/>
  <c r="C52" i="58"/>
  <c r="I52" i="58"/>
  <c r="J52" i="58"/>
  <c r="D52" i="58"/>
  <c r="K52" i="58"/>
  <c r="G52" i="58"/>
  <c r="H52" i="58"/>
  <c r="L52" i="58"/>
  <c r="M52" i="58"/>
  <c r="O52" i="58"/>
  <c r="C53" i="58"/>
  <c r="I53" i="58"/>
  <c r="J53" i="58"/>
  <c r="D53" i="58"/>
  <c r="K53" i="58"/>
  <c r="G53" i="58"/>
  <c r="H53" i="58"/>
  <c r="L53" i="58"/>
  <c r="M53" i="58"/>
  <c r="O53" i="58"/>
  <c r="N35" i="58"/>
  <c r="C35" i="58"/>
  <c r="I35" i="58"/>
  <c r="J35" i="58"/>
  <c r="D35" i="58"/>
  <c r="K35" i="58"/>
  <c r="G35" i="58"/>
  <c r="H35" i="58"/>
  <c r="L35" i="58"/>
  <c r="M35" i="58"/>
  <c r="O35" i="58"/>
  <c r="N34" i="58"/>
  <c r="C34" i="58"/>
  <c r="I34" i="58"/>
  <c r="J34" i="58"/>
  <c r="D34" i="58"/>
  <c r="K34" i="58"/>
  <c r="G34" i="58"/>
  <c r="H34" i="58"/>
  <c r="L34" i="58"/>
  <c r="M34" i="58"/>
  <c r="O34" i="58"/>
  <c r="C14" i="59"/>
  <c r="C13" i="59"/>
  <c r="C12" i="59"/>
  <c r="C11" i="59"/>
  <c r="C10" i="59"/>
  <c r="C15" i="59"/>
  <c r="C16" i="59"/>
  <c r="C17" i="59"/>
  <c r="C9" i="59"/>
  <c r="C8" i="59"/>
  <c r="C7" i="59"/>
  <c r="C6" i="59"/>
  <c r="B68" i="59"/>
  <c r="B62" i="59"/>
  <c r="B61" i="59"/>
  <c r="B46" i="59"/>
  <c r="B21" i="59"/>
  <c r="B68" i="58"/>
  <c r="B62" i="58"/>
  <c r="B63" i="58"/>
  <c r="B61" i="58"/>
  <c r="B46" i="58"/>
  <c r="B21" i="58"/>
  <c r="C79" i="59"/>
  <c r="E61" i="59"/>
  <c r="C75" i="59"/>
  <c r="F61" i="59"/>
  <c r="K61" i="59"/>
  <c r="E68" i="59"/>
  <c r="F68" i="59"/>
  <c r="K68" i="59"/>
  <c r="C8" i="46"/>
  <c r="C82" i="59"/>
  <c r="C81" i="59"/>
  <c r="C80" i="59"/>
  <c r="C77" i="59"/>
  <c r="C76" i="59"/>
  <c r="C74" i="59"/>
  <c r="C72" i="59"/>
  <c r="C71" i="59"/>
  <c r="N21" i="59"/>
  <c r="C21" i="59"/>
  <c r="I21" i="59"/>
  <c r="J21" i="59"/>
  <c r="E21" i="59"/>
  <c r="F21" i="59"/>
  <c r="K21" i="59"/>
  <c r="G21" i="59"/>
  <c r="H21" i="59"/>
  <c r="L21" i="59"/>
  <c r="M21" i="59"/>
  <c r="O21" i="59"/>
  <c r="N22" i="59"/>
  <c r="C22" i="59"/>
  <c r="I22" i="59"/>
  <c r="J22" i="59"/>
  <c r="D22" i="59"/>
  <c r="E22" i="59"/>
  <c r="K22" i="59"/>
  <c r="G22" i="59"/>
  <c r="H22" i="59"/>
  <c r="L22" i="59"/>
  <c r="M22" i="59"/>
  <c r="O22" i="59"/>
  <c r="N23" i="59"/>
  <c r="C23" i="59"/>
  <c r="I23" i="59"/>
  <c r="J23" i="59"/>
  <c r="D23" i="59"/>
  <c r="K23" i="59"/>
  <c r="G23" i="59"/>
  <c r="H23" i="59"/>
  <c r="L23" i="59"/>
  <c r="M23" i="59"/>
  <c r="O23" i="59"/>
  <c r="N24" i="59"/>
  <c r="C24" i="59"/>
  <c r="I24" i="59"/>
  <c r="J24" i="59"/>
  <c r="D24" i="59"/>
  <c r="K24" i="59"/>
  <c r="G24" i="59"/>
  <c r="H24" i="59"/>
  <c r="L24" i="59"/>
  <c r="M24" i="59"/>
  <c r="O24" i="59"/>
  <c r="N25" i="59"/>
  <c r="C25" i="59"/>
  <c r="I25" i="59"/>
  <c r="J25" i="59"/>
  <c r="D25" i="59"/>
  <c r="K25" i="59"/>
  <c r="G25" i="59"/>
  <c r="H25" i="59"/>
  <c r="L25" i="59"/>
  <c r="M25" i="59"/>
  <c r="O25" i="59"/>
  <c r="N26" i="59"/>
  <c r="C26" i="59"/>
  <c r="I26" i="59"/>
  <c r="J26" i="59"/>
  <c r="D26" i="59"/>
  <c r="E26" i="59"/>
  <c r="K26" i="59"/>
  <c r="G26" i="59"/>
  <c r="H26" i="59"/>
  <c r="L26" i="59"/>
  <c r="M26" i="59"/>
  <c r="O26" i="59"/>
  <c r="N27" i="59"/>
  <c r="C27" i="59"/>
  <c r="I27" i="59"/>
  <c r="J27" i="59"/>
  <c r="D27" i="59"/>
  <c r="K27" i="59"/>
  <c r="G27" i="59"/>
  <c r="H27" i="59"/>
  <c r="L27" i="59"/>
  <c r="M27" i="59"/>
  <c r="O27" i="59"/>
  <c r="N28" i="59"/>
  <c r="C28" i="59"/>
  <c r="I28" i="59"/>
  <c r="J28" i="59"/>
  <c r="D28" i="59"/>
  <c r="K28" i="59"/>
  <c r="G28" i="59"/>
  <c r="H28" i="59"/>
  <c r="L28" i="59"/>
  <c r="M28" i="59"/>
  <c r="O28" i="59"/>
  <c r="N29" i="59"/>
  <c r="C29" i="59"/>
  <c r="I29" i="59"/>
  <c r="J29" i="59"/>
  <c r="D29" i="59"/>
  <c r="K29" i="59"/>
  <c r="G29" i="59"/>
  <c r="H29" i="59"/>
  <c r="L29" i="59"/>
  <c r="M29" i="59"/>
  <c r="O29" i="59"/>
  <c r="N30" i="59"/>
  <c r="C30" i="59"/>
  <c r="I30" i="59"/>
  <c r="J30" i="59"/>
  <c r="D30" i="59"/>
  <c r="K30" i="59"/>
  <c r="G30" i="59"/>
  <c r="H30" i="59"/>
  <c r="L30" i="59"/>
  <c r="M30" i="59"/>
  <c r="O30" i="59"/>
  <c r="N31" i="59"/>
  <c r="C31" i="59"/>
  <c r="I31" i="59"/>
  <c r="J31" i="59"/>
  <c r="D31" i="59"/>
  <c r="E31" i="59"/>
  <c r="K31" i="59"/>
  <c r="G31" i="59"/>
  <c r="H31" i="59"/>
  <c r="L31" i="59"/>
  <c r="M31" i="59"/>
  <c r="O31" i="59"/>
  <c r="N32" i="59"/>
  <c r="C32" i="59"/>
  <c r="I32" i="59"/>
  <c r="J32" i="59"/>
  <c r="D32" i="59"/>
  <c r="K32" i="59"/>
  <c r="G32" i="59"/>
  <c r="H32" i="59"/>
  <c r="L32" i="59"/>
  <c r="M32" i="59"/>
  <c r="O32" i="59"/>
  <c r="N33" i="59"/>
  <c r="C33" i="59"/>
  <c r="I33" i="59"/>
  <c r="J33" i="59"/>
  <c r="D33" i="59"/>
  <c r="K33" i="59"/>
  <c r="G33" i="59"/>
  <c r="H33" i="59"/>
  <c r="L33" i="59"/>
  <c r="M33" i="59"/>
  <c r="O33" i="59"/>
  <c r="N34" i="59"/>
  <c r="C34" i="59"/>
  <c r="I34" i="59"/>
  <c r="J34" i="59"/>
  <c r="D34" i="59"/>
  <c r="K34" i="59"/>
  <c r="G34" i="59"/>
  <c r="H34" i="59"/>
  <c r="L34" i="59"/>
  <c r="M34" i="59"/>
  <c r="O34" i="59"/>
  <c r="N35" i="59"/>
  <c r="C35" i="59"/>
  <c r="I35" i="59"/>
  <c r="J35" i="59"/>
  <c r="D35" i="59"/>
  <c r="K35" i="59"/>
  <c r="G35" i="59"/>
  <c r="H35" i="59"/>
  <c r="L35" i="59"/>
  <c r="M35" i="59"/>
  <c r="O35" i="59"/>
  <c r="N36" i="59"/>
  <c r="C36" i="59"/>
  <c r="I36" i="59"/>
  <c r="J36" i="59"/>
  <c r="D36" i="59"/>
  <c r="E36" i="59"/>
  <c r="K36" i="59"/>
  <c r="G36" i="59"/>
  <c r="H36" i="59"/>
  <c r="L36" i="59"/>
  <c r="M36" i="59"/>
  <c r="O36" i="59"/>
  <c r="N37" i="59"/>
  <c r="C37" i="59"/>
  <c r="I37" i="59"/>
  <c r="J37" i="59"/>
  <c r="D37" i="59"/>
  <c r="K37" i="59"/>
  <c r="G37" i="59"/>
  <c r="H37" i="59"/>
  <c r="L37" i="59"/>
  <c r="M37" i="59"/>
  <c r="O37" i="59"/>
  <c r="N38" i="59"/>
  <c r="C38" i="59"/>
  <c r="I38" i="59"/>
  <c r="J38" i="59"/>
  <c r="D38" i="59"/>
  <c r="K38" i="59"/>
  <c r="G38" i="59"/>
  <c r="H38" i="59"/>
  <c r="L38" i="59"/>
  <c r="M38" i="59"/>
  <c r="O38" i="59"/>
  <c r="N39" i="59"/>
  <c r="C39" i="59"/>
  <c r="I39" i="59"/>
  <c r="J39" i="59"/>
  <c r="D39" i="59"/>
  <c r="K39" i="59"/>
  <c r="G39" i="59"/>
  <c r="H39" i="59"/>
  <c r="L39" i="59"/>
  <c r="M39" i="59"/>
  <c r="O39" i="59"/>
  <c r="N40" i="59"/>
  <c r="C40" i="59"/>
  <c r="I40" i="59"/>
  <c r="J40" i="59"/>
  <c r="D40" i="59"/>
  <c r="K40" i="59"/>
  <c r="G40" i="59"/>
  <c r="H40" i="59"/>
  <c r="L40" i="59"/>
  <c r="M40" i="59"/>
  <c r="O40" i="59"/>
  <c r="N41" i="59"/>
  <c r="C41" i="59"/>
  <c r="I41" i="59"/>
  <c r="J41" i="59"/>
  <c r="D41" i="59"/>
  <c r="E41" i="59"/>
  <c r="K41" i="59"/>
  <c r="G41" i="59"/>
  <c r="H41" i="59"/>
  <c r="L41" i="59"/>
  <c r="M41" i="59"/>
  <c r="O41" i="59"/>
  <c r="N42" i="59"/>
  <c r="C42" i="59"/>
  <c r="I42" i="59"/>
  <c r="J42" i="59"/>
  <c r="D42" i="59"/>
  <c r="K42" i="59"/>
  <c r="G42" i="59"/>
  <c r="H42" i="59"/>
  <c r="L42" i="59"/>
  <c r="M42" i="59"/>
  <c r="O42" i="59"/>
  <c r="N43" i="59"/>
  <c r="C43" i="59"/>
  <c r="I43" i="59"/>
  <c r="J43" i="59"/>
  <c r="D43" i="59"/>
  <c r="K43" i="59"/>
  <c r="G43" i="59"/>
  <c r="H43" i="59"/>
  <c r="L43" i="59"/>
  <c r="M43" i="59"/>
  <c r="O43" i="59"/>
  <c r="N44" i="59"/>
  <c r="C44" i="59"/>
  <c r="I44" i="59"/>
  <c r="J44" i="59"/>
  <c r="D44" i="59"/>
  <c r="K44" i="59"/>
  <c r="G44" i="59"/>
  <c r="H44" i="59"/>
  <c r="L44" i="59"/>
  <c r="M44" i="59"/>
  <c r="O44" i="59"/>
  <c r="N45" i="59"/>
  <c r="C45" i="59"/>
  <c r="I45" i="59"/>
  <c r="J45" i="59"/>
  <c r="D45" i="59"/>
  <c r="K45" i="59"/>
  <c r="G45" i="59"/>
  <c r="H45" i="59"/>
  <c r="L45" i="59"/>
  <c r="M45" i="59"/>
  <c r="O45" i="59"/>
  <c r="N46" i="59"/>
  <c r="C46" i="59"/>
  <c r="I46" i="59"/>
  <c r="J46" i="59"/>
  <c r="E46" i="59"/>
  <c r="F46" i="59"/>
  <c r="K46" i="59"/>
  <c r="G46" i="59"/>
  <c r="H46" i="59"/>
  <c r="L46" i="59"/>
  <c r="M46" i="59"/>
  <c r="O46" i="59"/>
  <c r="N47" i="59"/>
  <c r="C47" i="59"/>
  <c r="I47" i="59"/>
  <c r="J47" i="59"/>
  <c r="D47" i="59"/>
  <c r="E47" i="59"/>
  <c r="K47" i="59"/>
  <c r="G47" i="59"/>
  <c r="H47" i="59"/>
  <c r="L47" i="59"/>
  <c r="M47" i="59"/>
  <c r="O47" i="59"/>
  <c r="N48" i="59"/>
  <c r="C48" i="59"/>
  <c r="I48" i="59"/>
  <c r="J48" i="59"/>
  <c r="D48" i="59"/>
  <c r="K48" i="59"/>
  <c r="G48" i="59"/>
  <c r="H48" i="59"/>
  <c r="L48" i="59"/>
  <c r="M48" i="59"/>
  <c r="O48" i="59"/>
  <c r="N49" i="59"/>
  <c r="C49" i="59"/>
  <c r="I49" i="59"/>
  <c r="J49" i="59"/>
  <c r="D49" i="59"/>
  <c r="K49" i="59"/>
  <c r="G49" i="59"/>
  <c r="H49" i="59"/>
  <c r="L49" i="59"/>
  <c r="M49" i="59"/>
  <c r="O49" i="59"/>
  <c r="N50" i="59"/>
  <c r="C50" i="59"/>
  <c r="I50" i="59"/>
  <c r="J50" i="59"/>
  <c r="D50" i="59"/>
  <c r="K50" i="59"/>
  <c r="G50" i="59"/>
  <c r="H50" i="59"/>
  <c r="L50" i="59"/>
  <c r="M50" i="59"/>
  <c r="O50" i="59"/>
  <c r="N51" i="59"/>
  <c r="C51" i="59"/>
  <c r="I51" i="59"/>
  <c r="J51" i="59"/>
  <c r="D51" i="59"/>
  <c r="E51" i="59"/>
  <c r="K51" i="59"/>
  <c r="G51" i="59"/>
  <c r="H51" i="59"/>
  <c r="L51" i="59"/>
  <c r="M51" i="59"/>
  <c r="O51" i="59"/>
  <c r="N52" i="59"/>
  <c r="C52" i="59"/>
  <c r="I52" i="59"/>
  <c r="J52" i="59"/>
  <c r="D52" i="59"/>
  <c r="K52" i="59"/>
  <c r="G52" i="59"/>
  <c r="H52" i="59"/>
  <c r="L52" i="59"/>
  <c r="M52" i="59"/>
  <c r="O52" i="59"/>
  <c r="N53" i="59"/>
  <c r="C53" i="59"/>
  <c r="I53" i="59"/>
  <c r="J53" i="59"/>
  <c r="D53" i="59"/>
  <c r="K53" i="59"/>
  <c r="G53" i="59"/>
  <c r="H53" i="59"/>
  <c r="L53" i="59"/>
  <c r="M53" i="59"/>
  <c r="O53" i="59"/>
  <c r="N54" i="59"/>
  <c r="C54" i="59"/>
  <c r="I54" i="59"/>
  <c r="J54" i="59"/>
  <c r="D54" i="59"/>
  <c r="K54" i="59"/>
  <c r="G54" i="59"/>
  <c r="H54" i="59"/>
  <c r="L54" i="59"/>
  <c r="M54" i="59"/>
  <c r="O54" i="59"/>
  <c r="N55" i="59"/>
  <c r="C55" i="59"/>
  <c r="I55" i="59"/>
  <c r="J55" i="59"/>
  <c r="D55" i="59"/>
  <c r="K55" i="59"/>
  <c r="G55" i="59"/>
  <c r="H55" i="59"/>
  <c r="L55" i="59"/>
  <c r="M55" i="59"/>
  <c r="O55" i="59"/>
  <c r="N56" i="59"/>
  <c r="C56" i="59"/>
  <c r="I56" i="59"/>
  <c r="J56" i="59"/>
  <c r="D56" i="59"/>
  <c r="E56" i="59"/>
  <c r="K56" i="59"/>
  <c r="G56" i="59"/>
  <c r="H56" i="59"/>
  <c r="L56" i="59"/>
  <c r="M56" i="59"/>
  <c r="O56" i="59"/>
  <c r="N57" i="59"/>
  <c r="C57" i="59"/>
  <c r="I57" i="59"/>
  <c r="J57" i="59"/>
  <c r="D57" i="59"/>
  <c r="K57" i="59"/>
  <c r="G57" i="59"/>
  <c r="H57" i="59"/>
  <c r="L57" i="59"/>
  <c r="M57" i="59"/>
  <c r="O57" i="59"/>
  <c r="N58" i="59"/>
  <c r="C58" i="59"/>
  <c r="I58" i="59"/>
  <c r="J58" i="59"/>
  <c r="D58" i="59"/>
  <c r="K58" i="59"/>
  <c r="G58" i="59"/>
  <c r="H58" i="59"/>
  <c r="L58" i="59"/>
  <c r="M58" i="59"/>
  <c r="O58" i="59"/>
  <c r="N59" i="59"/>
  <c r="C59" i="59"/>
  <c r="I59" i="59"/>
  <c r="J59" i="59"/>
  <c r="D59" i="59"/>
  <c r="K59" i="59"/>
  <c r="G59" i="59"/>
  <c r="H59" i="59"/>
  <c r="L59" i="59"/>
  <c r="M59" i="59"/>
  <c r="O59" i="59"/>
  <c r="N60" i="59"/>
  <c r="C60" i="59"/>
  <c r="I60" i="59"/>
  <c r="J60" i="59"/>
  <c r="D60" i="59"/>
  <c r="K60" i="59"/>
  <c r="G60" i="59"/>
  <c r="H60" i="59"/>
  <c r="L60" i="59"/>
  <c r="M60" i="59"/>
  <c r="O60" i="59"/>
  <c r="N61" i="59"/>
  <c r="C61" i="59"/>
  <c r="I61" i="59"/>
  <c r="J61" i="59"/>
  <c r="G61" i="59"/>
  <c r="H61" i="59"/>
  <c r="L61" i="59"/>
  <c r="M61" i="59"/>
  <c r="O61" i="59"/>
  <c r="N62" i="59"/>
  <c r="C62" i="59"/>
  <c r="I62" i="59"/>
  <c r="J62" i="59"/>
  <c r="E62" i="59"/>
  <c r="K62" i="59"/>
  <c r="G62" i="59"/>
  <c r="H62" i="59"/>
  <c r="L62" i="59"/>
  <c r="M62" i="59"/>
  <c r="O62" i="59"/>
  <c r="N63" i="59"/>
  <c r="C63" i="59"/>
  <c r="I63" i="59"/>
  <c r="J63" i="59"/>
  <c r="D63" i="59"/>
  <c r="E63" i="59"/>
  <c r="K63" i="59"/>
  <c r="G63" i="59"/>
  <c r="H63" i="59"/>
  <c r="L63" i="59"/>
  <c r="M63" i="59"/>
  <c r="O63" i="59"/>
  <c r="N64" i="59"/>
  <c r="C64" i="59"/>
  <c r="I64" i="59"/>
  <c r="J64" i="59"/>
  <c r="D64" i="59"/>
  <c r="K64" i="59"/>
  <c r="G64" i="59"/>
  <c r="H64" i="59"/>
  <c r="L64" i="59"/>
  <c r="M64" i="59"/>
  <c r="O64" i="59"/>
  <c r="N65" i="59"/>
  <c r="C65" i="59"/>
  <c r="I65" i="59"/>
  <c r="J65" i="59"/>
  <c r="D65" i="59"/>
  <c r="K65" i="59"/>
  <c r="G65" i="59"/>
  <c r="H65" i="59"/>
  <c r="L65" i="59"/>
  <c r="M65" i="59"/>
  <c r="O65" i="59"/>
  <c r="N66" i="59"/>
  <c r="C66" i="59"/>
  <c r="I66" i="59"/>
  <c r="J66" i="59"/>
  <c r="D66" i="59"/>
  <c r="K66" i="59"/>
  <c r="G66" i="59"/>
  <c r="H66" i="59"/>
  <c r="L66" i="59"/>
  <c r="M66" i="59"/>
  <c r="O66" i="59"/>
  <c r="N67" i="59"/>
  <c r="C67" i="59"/>
  <c r="I67" i="59"/>
  <c r="J67" i="59"/>
  <c r="D67" i="59"/>
  <c r="K67" i="59"/>
  <c r="G67" i="59"/>
  <c r="H67" i="59"/>
  <c r="L67" i="59"/>
  <c r="M67" i="59"/>
  <c r="O67" i="59"/>
  <c r="N68" i="59"/>
  <c r="C68" i="59"/>
  <c r="I68" i="59"/>
  <c r="J68" i="59"/>
  <c r="G68" i="59"/>
  <c r="H68" i="59"/>
  <c r="L68" i="59"/>
  <c r="M68" i="59"/>
  <c r="O68" i="59"/>
  <c r="D68" i="59"/>
  <c r="E67" i="59"/>
  <c r="B67" i="59"/>
  <c r="E66" i="59"/>
  <c r="B66" i="59"/>
  <c r="E65" i="59"/>
  <c r="B65" i="59"/>
  <c r="E64" i="59"/>
  <c r="B64" i="59"/>
  <c r="B63" i="59"/>
  <c r="D62" i="59"/>
  <c r="D61" i="59"/>
  <c r="E60" i="59"/>
  <c r="B60" i="59"/>
  <c r="E59" i="59"/>
  <c r="B59" i="59"/>
  <c r="E58" i="59"/>
  <c r="B58" i="59"/>
  <c r="E57" i="59"/>
  <c r="B57" i="59"/>
  <c r="B56" i="59"/>
  <c r="E55" i="59"/>
  <c r="B55" i="59"/>
  <c r="E54" i="59"/>
  <c r="B54" i="59"/>
  <c r="E53" i="59"/>
  <c r="B53" i="59"/>
  <c r="E52" i="59"/>
  <c r="B52" i="59"/>
  <c r="B51" i="59"/>
  <c r="E50" i="59"/>
  <c r="B50" i="59"/>
  <c r="E49" i="59"/>
  <c r="B49" i="59"/>
  <c r="E48" i="59"/>
  <c r="B48" i="59"/>
  <c r="B47" i="59"/>
  <c r="D46" i="59"/>
  <c r="E45" i="59"/>
  <c r="B45" i="59"/>
  <c r="E44" i="59"/>
  <c r="B44" i="59"/>
  <c r="E43" i="59"/>
  <c r="B43" i="59"/>
  <c r="E42" i="59"/>
  <c r="B42" i="59"/>
  <c r="B41" i="59"/>
  <c r="E40" i="59"/>
  <c r="B40" i="59"/>
  <c r="E39" i="59"/>
  <c r="B39" i="59"/>
  <c r="E38" i="59"/>
  <c r="B38" i="59"/>
  <c r="E37" i="59"/>
  <c r="B37" i="59"/>
  <c r="B36" i="59"/>
  <c r="E35" i="59"/>
  <c r="B35" i="59"/>
  <c r="E34" i="59"/>
  <c r="B34" i="59"/>
  <c r="E33" i="59"/>
  <c r="B33" i="59"/>
  <c r="E32" i="59"/>
  <c r="B32" i="59"/>
  <c r="B31" i="59"/>
  <c r="E30" i="59"/>
  <c r="B30" i="59"/>
  <c r="E29" i="59"/>
  <c r="B29" i="59"/>
  <c r="E28" i="59"/>
  <c r="B28" i="59"/>
  <c r="E27" i="59"/>
  <c r="B27" i="59"/>
  <c r="B26" i="59"/>
  <c r="E25" i="59"/>
  <c r="B25" i="59"/>
  <c r="E24" i="59"/>
  <c r="B24" i="59"/>
  <c r="E23" i="59"/>
  <c r="B23" i="59"/>
  <c r="B22" i="59"/>
  <c r="D21" i="59"/>
  <c r="H32" i="58"/>
  <c r="H33" i="58"/>
  <c r="I32" i="58"/>
  <c r="I33" i="58"/>
  <c r="E57" i="58"/>
  <c r="E58" i="58"/>
  <c r="E59" i="58"/>
  <c r="E60" i="58"/>
  <c r="E52" i="58"/>
  <c r="E53" i="58"/>
  <c r="E54" i="58"/>
  <c r="E55" i="58"/>
  <c r="E48" i="58"/>
  <c r="E49" i="58"/>
  <c r="E50" i="58"/>
  <c r="E42" i="58"/>
  <c r="E43" i="58"/>
  <c r="E44" i="58"/>
  <c r="E45" i="58"/>
  <c r="D32" i="58"/>
  <c r="K32" i="58"/>
  <c r="D33" i="58"/>
  <c r="K33" i="58"/>
  <c r="C32" i="58"/>
  <c r="J32" i="58"/>
  <c r="G32" i="58"/>
  <c r="L32" i="58"/>
  <c r="M32" i="58"/>
  <c r="N32" i="58"/>
  <c r="O32" i="58"/>
  <c r="C33" i="58"/>
  <c r="J33" i="58"/>
  <c r="G33" i="58"/>
  <c r="L33" i="58"/>
  <c r="M33" i="58"/>
  <c r="N33" i="58"/>
  <c r="O33" i="58"/>
  <c r="E64" i="58"/>
  <c r="E65" i="58"/>
  <c r="E66" i="58"/>
  <c r="E67" i="58"/>
  <c r="E37" i="58"/>
  <c r="E38" i="58"/>
  <c r="E39" i="58"/>
  <c r="E40" i="58"/>
  <c r="E32" i="58"/>
  <c r="E33" i="58"/>
  <c r="E34" i="58"/>
  <c r="E35" i="58"/>
  <c r="E27" i="58"/>
  <c r="E28" i="58"/>
  <c r="E29" i="58"/>
  <c r="E30" i="58"/>
  <c r="E23" i="58"/>
  <c r="E24" i="58"/>
  <c r="E25" i="58"/>
  <c r="D46" i="58"/>
  <c r="B64" i="58"/>
  <c r="B65" i="58"/>
  <c r="B66" i="58"/>
  <c r="B67" i="58"/>
  <c r="B57" i="58"/>
  <c r="B58" i="58"/>
  <c r="B59" i="58"/>
  <c r="B60" i="58"/>
  <c r="B56" i="58"/>
  <c r="B52" i="58"/>
  <c r="B53" i="58"/>
  <c r="B54" i="58"/>
  <c r="B55" i="58"/>
  <c r="B51" i="58"/>
  <c r="B48" i="58"/>
  <c r="B49" i="58"/>
  <c r="B50" i="58"/>
  <c r="B47" i="58"/>
  <c r="B42" i="58"/>
  <c r="B43" i="58"/>
  <c r="B44" i="58"/>
  <c r="B45" i="58"/>
  <c r="B41" i="58"/>
  <c r="B37" i="58"/>
  <c r="B38" i="58"/>
  <c r="B39" i="58"/>
  <c r="B40" i="58"/>
  <c r="B36" i="58"/>
  <c r="B32" i="58"/>
  <c r="B33" i="58"/>
  <c r="B34" i="58"/>
  <c r="B35" i="58"/>
  <c r="B31" i="58"/>
  <c r="B27" i="58"/>
  <c r="B28" i="58"/>
  <c r="B29" i="58"/>
  <c r="B30" i="58"/>
  <c r="B26" i="58"/>
  <c r="B23" i="58"/>
  <c r="B24" i="58"/>
  <c r="B25" i="58"/>
  <c r="B22" i="58"/>
  <c r="C82" i="58"/>
  <c r="C81" i="58"/>
  <c r="C80" i="58"/>
  <c r="C72" i="58"/>
  <c r="D68" i="58"/>
  <c r="D62" i="58"/>
  <c r="D61" i="58"/>
  <c r="D21" i="58"/>
  <c r="M100" i="44"/>
  <c r="M98" i="44"/>
  <c r="M70" i="44"/>
  <c r="M68" i="44"/>
  <c r="M40" i="44"/>
  <c r="M38" i="44"/>
  <c r="M10" i="44"/>
  <c r="M8" i="44"/>
  <c r="K110" i="43"/>
  <c r="K76" i="43"/>
  <c r="K42" i="43"/>
  <c r="K8" i="43"/>
  <c r="K110" i="49"/>
  <c r="K76" i="49"/>
  <c r="K42" i="49"/>
  <c r="K8" i="49"/>
  <c r="M100" i="50"/>
  <c r="M98" i="50"/>
  <c r="M70" i="50"/>
  <c r="M68" i="50"/>
  <c r="M40" i="50"/>
  <c r="M38" i="50"/>
  <c r="M10" i="50"/>
  <c r="M8" i="50"/>
  <c r="C29" i="57"/>
  <c r="C28" i="57"/>
  <c r="C27" i="57"/>
  <c r="C26" i="57"/>
  <c r="C24" i="57"/>
  <c r="C23" i="57"/>
  <c r="C22" i="57"/>
  <c r="C21" i="57"/>
  <c r="C19" i="57"/>
  <c r="C18" i="57"/>
  <c r="P6" i="57"/>
  <c r="P15" i="57"/>
  <c r="C15" i="57"/>
  <c r="K15" i="57"/>
  <c r="D15" i="57"/>
  <c r="J15" i="57"/>
  <c r="L15" i="57"/>
  <c r="F15" i="57"/>
  <c r="G15" i="57"/>
  <c r="M15" i="57"/>
  <c r="H15" i="57"/>
  <c r="I15" i="57"/>
  <c r="N15" i="57"/>
  <c r="O15" i="57"/>
  <c r="Q15" i="57"/>
  <c r="E15" i="57"/>
  <c r="P14" i="57"/>
  <c r="C14" i="57"/>
  <c r="K14" i="57"/>
  <c r="D14" i="57"/>
  <c r="J14" i="57"/>
  <c r="L14" i="57"/>
  <c r="F14" i="57"/>
  <c r="M14" i="57"/>
  <c r="H14" i="57"/>
  <c r="I14" i="57"/>
  <c r="N14" i="57"/>
  <c r="O14" i="57"/>
  <c r="Q14" i="57"/>
  <c r="E14" i="57"/>
  <c r="P13" i="57"/>
  <c r="C13" i="57"/>
  <c r="K13" i="57"/>
  <c r="D13" i="57"/>
  <c r="J13" i="57"/>
  <c r="L13" i="57"/>
  <c r="F13" i="57"/>
  <c r="M13" i="57"/>
  <c r="H13" i="57"/>
  <c r="I13" i="57"/>
  <c r="N13" i="57"/>
  <c r="O13" i="57"/>
  <c r="Q13" i="57"/>
  <c r="E13" i="57"/>
  <c r="P12" i="57"/>
  <c r="C12" i="57"/>
  <c r="K12" i="57"/>
  <c r="D12" i="57"/>
  <c r="J12" i="57"/>
  <c r="L12" i="57"/>
  <c r="F12" i="57"/>
  <c r="G12" i="57"/>
  <c r="M12" i="57"/>
  <c r="H12" i="57"/>
  <c r="I12" i="57"/>
  <c r="N12" i="57"/>
  <c r="O12" i="57"/>
  <c r="Q12" i="57"/>
  <c r="E12" i="57"/>
  <c r="P11" i="57"/>
  <c r="C11" i="57"/>
  <c r="K11" i="57"/>
  <c r="D11" i="57"/>
  <c r="J11" i="57"/>
  <c r="L11" i="57"/>
  <c r="F11" i="57"/>
  <c r="G11" i="57"/>
  <c r="M11" i="57"/>
  <c r="H11" i="57"/>
  <c r="I11" i="57"/>
  <c r="N11" i="57"/>
  <c r="O11" i="57"/>
  <c r="Q11" i="57"/>
  <c r="E11" i="57"/>
  <c r="P10" i="57"/>
  <c r="C10" i="57"/>
  <c r="K10" i="57"/>
  <c r="D10" i="57"/>
  <c r="J10" i="57"/>
  <c r="L10" i="57"/>
  <c r="F10" i="57"/>
  <c r="G10" i="57"/>
  <c r="M10" i="57"/>
  <c r="H10" i="57"/>
  <c r="I10" i="57"/>
  <c r="N10" i="57"/>
  <c r="O10" i="57"/>
  <c r="Q10" i="57"/>
  <c r="E10" i="57"/>
  <c r="P9" i="57"/>
  <c r="C9" i="57"/>
  <c r="K9" i="57"/>
  <c r="D9" i="57"/>
  <c r="J9" i="57"/>
  <c r="L9" i="57"/>
  <c r="F9" i="57"/>
  <c r="M9" i="57"/>
  <c r="H9" i="57"/>
  <c r="I9" i="57"/>
  <c r="N9" i="57"/>
  <c r="O9" i="57"/>
  <c r="Q9" i="57"/>
  <c r="E9" i="57"/>
  <c r="P8" i="57"/>
  <c r="C8" i="57"/>
  <c r="K8" i="57"/>
  <c r="D8" i="57"/>
  <c r="J8" i="57"/>
  <c r="L8" i="57"/>
  <c r="F8" i="57"/>
  <c r="G8" i="57"/>
  <c r="M8" i="57"/>
  <c r="H8" i="57"/>
  <c r="I8" i="57"/>
  <c r="N8" i="57"/>
  <c r="O8" i="57"/>
  <c r="Q8" i="57"/>
  <c r="E8" i="57"/>
  <c r="P7" i="57"/>
  <c r="C7" i="57"/>
  <c r="K7" i="57"/>
  <c r="D7" i="57"/>
  <c r="J7" i="57"/>
  <c r="L7" i="57"/>
  <c r="E7" i="57"/>
  <c r="F7" i="57"/>
  <c r="M7" i="57"/>
  <c r="H7" i="57"/>
  <c r="I7" i="57"/>
  <c r="N7" i="57"/>
  <c r="O7" i="57"/>
  <c r="Q7" i="57"/>
  <c r="C6" i="57"/>
  <c r="K6" i="57"/>
  <c r="D6" i="57"/>
  <c r="J6" i="57"/>
  <c r="L6" i="57"/>
  <c r="F6" i="57"/>
  <c r="G6" i="57"/>
  <c r="M6" i="57"/>
  <c r="H6" i="57"/>
  <c r="I6" i="57"/>
  <c r="N6" i="57"/>
  <c r="O6" i="57"/>
  <c r="Q6" i="57"/>
  <c r="E6" i="57"/>
  <c r="Q18" i="57"/>
  <c r="Q17" i="57"/>
  <c r="Q16" i="57"/>
  <c r="K6" i="18"/>
  <c r="O12" i="48"/>
  <c r="O13" i="48"/>
  <c r="O15" i="48"/>
  <c r="O14" i="48"/>
  <c r="O11" i="48"/>
  <c r="O10" i="48"/>
  <c r="O9" i="48"/>
  <c r="O8" i="48"/>
  <c r="O7" i="48"/>
  <c r="O6" i="48"/>
  <c r="M6" i="48"/>
  <c r="M8" i="48"/>
  <c r="K6" i="48"/>
  <c r="O6" i="47"/>
  <c r="N6" i="47"/>
  <c r="M7" i="47"/>
  <c r="M6" i="47"/>
  <c r="J6" i="47"/>
  <c r="G6" i="47"/>
  <c r="B47" i="44"/>
  <c r="B46" i="44"/>
  <c r="B45" i="44"/>
  <c r="B44" i="44"/>
  <c r="B43" i="44"/>
  <c r="B42" i="44"/>
  <c r="B41" i="44"/>
  <c r="B40" i="44"/>
  <c r="B39" i="44"/>
  <c r="B38" i="44"/>
  <c r="B17" i="44"/>
  <c r="B16" i="44"/>
  <c r="B15" i="44"/>
  <c r="B14" i="44"/>
  <c r="B13" i="44"/>
  <c r="B12" i="44"/>
  <c r="B11" i="44"/>
  <c r="B10" i="44"/>
  <c r="B9" i="44"/>
  <c r="B8" i="44"/>
  <c r="B107" i="44"/>
  <c r="B106" i="44"/>
  <c r="B105" i="44"/>
  <c r="B104" i="44"/>
  <c r="B103" i="44"/>
  <c r="B102" i="44"/>
  <c r="B101" i="44"/>
  <c r="B100" i="44"/>
  <c r="B99" i="44"/>
  <c r="B98" i="44"/>
  <c r="B77" i="44"/>
  <c r="B76" i="44"/>
  <c r="B75" i="44"/>
  <c r="B74" i="44"/>
  <c r="B73" i="44"/>
  <c r="B72" i="44"/>
  <c r="B71" i="44"/>
  <c r="B70" i="44"/>
  <c r="B69" i="44"/>
  <c r="B68" i="44"/>
  <c r="B107" i="50"/>
  <c r="B106" i="50"/>
  <c r="B105" i="50"/>
  <c r="B104" i="50"/>
  <c r="B103" i="50"/>
  <c r="B102" i="50"/>
  <c r="B101" i="50"/>
  <c r="B100" i="50"/>
  <c r="B99" i="50"/>
  <c r="B98" i="50"/>
  <c r="B77" i="50"/>
  <c r="B76" i="50"/>
  <c r="B75" i="50"/>
  <c r="B74" i="50"/>
  <c r="B73" i="50"/>
  <c r="B72" i="50"/>
  <c r="B71" i="50"/>
  <c r="B70" i="50"/>
  <c r="B69" i="50"/>
  <c r="B68" i="50"/>
  <c r="B47" i="50"/>
  <c r="B46" i="50"/>
  <c r="B45" i="50"/>
  <c r="B44" i="50"/>
  <c r="B43" i="50"/>
  <c r="B42" i="50"/>
  <c r="B41" i="50"/>
  <c r="B40" i="50"/>
  <c r="B39" i="50"/>
  <c r="B38" i="50"/>
  <c r="B17" i="50"/>
  <c r="B16" i="50"/>
  <c r="B15" i="50"/>
  <c r="B14" i="50"/>
  <c r="B13" i="50"/>
  <c r="B12" i="50"/>
  <c r="B11" i="50"/>
  <c r="B10" i="50"/>
  <c r="B9" i="50"/>
  <c r="B8" i="50"/>
  <c r="B15" i="48"/>
  <c r="B14" i="48"/>
  <c r="B13" i="48"/>
  <c r="B12" i="48"/>
  <c r="B11" i="48"/>
  <c r="B10" i="48"/>
  <c r="B9" i="48"/>
  <c r="B8" i="48"/>
  <c r="B7" i="48"/>
  <c r="B6" i="48"/>
  <c r="B21" i="43"/>
  <c r="B20" i="43"/>
  <c r="B19" i="43"/>
  <c r="B18" i="43"/>
  <c r="B17" i="43"/>
  <c r="B16" i="43"/>
  <c r="B15" i="43"/>
  <c r="B14" i="43"/>
  <c r="B13" i="43"/>
  <c r="B12" i="43"/>
  <c r="B11" i="43"/>
  <c r="B10" i="43"/>
  <c r="B9" i="43"/>
  <c r="B8" i="43"/>
  <c r="B55" i="43"/>
  <c r="B54" i="43"/>
  <c r="B53" i="43"/>
  <c r="B52" i="43"/>
  <c r="B51" i="43"/>
  <c r="B50" i="43"/>
  <c r="B49" i="43"/>
  <c r="B48" i="43"/>
  <c r="B47" i="43"/>
  <c r="B46" i="43"/>
  <c r="B45" i="43"/>
  <c r="B44" i="43"/>
  <c r="B43" i="43"/>
  <c r="B42" i="43"/>
  <c r="B123" i="43"/>
  <c r="B122" i="43"/>
  <c r="B121" i="43"/>
  <c r="B120" i="43"/>
  <c r="B119" i="43"/>
  <c r="B118" i="43"/>
  <c r="B117" i="43"/>
  <c r="B116" i="43"/>
  <c r="B115" i="43"/>
  <c r="B114" i="43"/>
  <c r="B113" i="43"/>
  <c r="B112" i="43"/>
  <c r="B111" i="43"/>
  <c r="B110" i="43"/>
  <c r="B89" i="43"/>
  <c r="B88" i="43"/>
  <c r="B87" i="43"/>
  <c r="B86" i="43"/>
  <c r="B85" i="43"/>
  <c r="B84" i="43"/>
  <c r="B83" i="43"/>
  <c r="B82" i="43"/>
  <c r="B81" i="43"/>
  <c r="B80" i="43"/>
  <c r="B79" i="43"/>
  <c r="B78" i="43"/>
  <c r="B77" i="43"/>
  <c r="B76" i="43"/>
  <c r="B19" i="18"/>
  <c r="B18" i="18"/>
  <c r="B17" i="18"/>
  <c r="B16" i="18"/>
  <c r="B15" i="18"/>
  <c r="B14" i="18"/>
  <c r="B13" i="18"/>
  <c r="B12" i="18"/>
  <c r="B11" i="18"/>
  <c r="B10" i="18"/>
  <c r="B9" i="18"/>
  <c r="B8" i="18"/>
  <c r="B7" i="18"/>
  <c r="B6" i="18"/>
  <c r="B123" i="49"/>
  <c r="B122" i="49"/>
  <c r="B121" i="49"/>
  <c r="B120" i="49"/>
  <c r="B119" i="49"/>
  <c r="B118" i="49"/>
  <c r="B117" i="49"/>
  <c r="B116" i="49"/>
  <c r="B115" i="49"/>
  <c r="B114" i="49"/>
  <c r="B113" i="49"/>
  <c r="B112" i="49"/>
  <c r="B111" i="49"/>
  <c r="B110" i="49"/>
  <c r="B89" i="49"/>
  <c r="B88" i="49"/>
  <c r="B87" i="49"/>
  <c r="B86" i="49"/>
  <c r="B85" i="49"/>
  <c r="B84" i="49"/>
  <c r="B83" i="49"/>
  <c r="B82" i="49"/>
  <c r="B81" i="49"/>
  <c r="B80" i="49"/>
  <c r="B79" i="49"/>
  <c r="B78" i="49"/>
  <c r="B77" i="49"/>
  <c r="B76" i="49"/>
  <c r="B55" i="49"/>
  <c r="B54" i="49"/>
  <c r="B53" i="49"/>
  <c r="B52" i="49"/>
  <c r="B51" i="49"/>
  <c r="B50" i="49"/>
  <c r="B49" i="49"/>
  <c r="B48" i="49"/>
  <c r="B47" i="49"/>
  <c r="B46" i="49"/>
  <c r="B45" i="49"/>
  <c r="B44" i="49"/>
  <c r="B43" i="49"/>
  <c r="B42" i="49"/>
  <c r="B21" i="49"/>
  <c r="B20" i="49"/>
  <c r="B19" i="49"/>
  <c r="B18" i="49"/>
  <c r="B17" i="49"/>
  <c r="B16" i="49"/>
  <c r="B15" i="49"/>
  <c r="B14" i="49"/>
  <c r="B13" i="49"/>
  <c r="B12" i="49"/>
  <c r="B11" i="49"/>
  <c r="B10" i="49"/>
  <c r="B9" i="49"/>
  <c r="B8" i="49"/>
  <c r="B19" i="47"/>
  <c r="B18" i="47"/>
  <c r="B17" i="47"/>
  <c r="B16" i="47"/>
  <c r="B15" i="47"/>
  <c r="B14" i="47"/>
  <c r="B13" i="47"/>
  <c r="B12" i="47"/>
  <c r="B11" i="47"/>
  <c r="B10" i="47"/>
  <c r="B9" i="47"/>
  <c r="B8" i="47"/>
  <c r="B7" i="47"/>
  <c r="B6" i="47"/>
  <c r="G68" i="53"/>
  <c r="F123" i="43"/>
  <c r="E123" i="43"/>
  <c r="E122" i="43"/>
  <c r="E50" i="53"/>
  <c r="E121" i="43"/>
  <c r="F33" i="53"/>
  <c r="F120" i="43"/>
  <c r="E33" i="53"/>
  <c r="E120" i="43"/>
  <c r="E119" i="43"/>
  <c r="E118" i="43"/>
  <c r="E117" i="43"/>
  <c r="F18" i="53"/>
  <c r="F116" i="43"/>
  <c r="E18" i="53"/>
  <c r="E116" i="43"/>
  <c r="E115" i="43"/>
  <c r="E114" i="43"/>
  <c r="E113" i="43"/>
  <c r="E112" i="43"/>
  <c r="E111" i="43"/>
  <c r="F110" i="43"/>
  <c r="E110" i="43"/>
  <c r="F89" i="43"/>
  <c r="E89" i="43"/>
  <c r="E88" i="43"/>
  <c r="E87" i="43"/>
  <c r="F86" i="43"/>
  <c r="E86" i="43"/>
  <c r="E85" i="43"/>
  <c r="E84" i="43"/>
  <c r="E83" i="43"/>
  <c r="F82" i="43"/>
  <c r="E82" i="43"/>
  <c r="E81" i="43"/>
  <c r="E80" i="43"/>
  <c r="E79" i="43"/>
  <c r="E78" i="43"/>
  <c r="E77" i="43"/>
  <c r="F76" i="43"/>
  <c r="E76" i="43"/>
  <c r="F55" i="43"/>
  <c r="E55" i="43"/>
  <c r="E54" i="43"/>
  <c r="E53" i="43"/>
  <c r="F52" i="43"/>
  <c r="E52" i="43"/>
  <c r="E51" i="43"/>
  <c r="E50" i="43"/>
  <c r="E49" i="43"/>
  <c r="F48" i="43"/>
  <c r="E48" i="43"/>
  <c r="E47" i="43"/>
  <c r="E46" i="43"/>
  <c r="E45" i="43"/>
  <c r="E44" i="43"/>
  <c r="E43" i="43"/>
  <c r="F42" i="43"/>
  <c r="E42" i="43"/>
  <c r="F21" i="43"/>
  <c r="E21" i="43"/>
  <c r="E20" i="43"/>
  <c r="E19" i="43"/>
  <c r="F18" i="43"/>
  <c r="E18" i="43"/>
  <c r="E17" i="43"/>
  <c r="E16" i="43"/>
  <c r="E15" i="43"/>
  <c r="F14" i="43"/>
  <c r="E14" i="43"/>
  <c r="E13" i="43"/>
  <c r="E12" i="43"/>
  <c r="E11" i="43"/>
  <c r="E10" i="43"/>
  <c r="E9" i="43"/>
  <c r="F8" i="43"/>
  <c r="E8" i="43"/>
  <c r="F19" i="18"/>
  <c r="E19" i="18"/>
  <c r="E18" i="18"/>
  <c r="E17" i="18"/>
  <c r="F16" i="18"/>
  <c r="E16" i="18"/>
  <c r="E15" i="18"/>
  <c r="E14" i="18"/>
  <c r="E13" i="18"/>
  <c r="F12" i="18"/>
  <c r="E12" i="18"/>
  <c r="E11" i="18"/>
  <c r="E10" i="18"/>
  <c r="E9" i="18"/>
  <c r="E8" i="18"/>
  <c r="E7" i="18"/>
  <c r="F6" i="18"/>
  <c r="E6" i="18"/>
  <c r="F123" i="49"/>
  <c r="E123" i="49"/>
  <c r="E122" i="49"/>
  <c r="E121" i="49"/>
  <c r="F120" i="49"/>
  <c r="E120" i="49"/>
  <c r="E119" i="49"/>
  <c r="E118" i="49"/>
  <c r="E117" i="49"/>
  <c r="F116" i="49"/>
  <c r="E116" i="49"/>
  <c r="E115" i="49"/>
  <c r="E114" i="49"/>
  <c r="E113" i="49"/>
  <c r="E112" i="49"/>
  <c r="E111" i="49"/>
  <c r="F110" i="49"/>
  <c r="E110" i="49"/>
  <c r="F89" i="49"/>
  <c r="E89" i="49"/>
  <c r="E88" i="49"/>
  <c r="E87" i="49"/>
  <c r="F86" i="49"/>
  <c r="E86" i="49"/>
  <c r="E85" i="49"/>
  <c r="E84" i="49"/>
  <c r="E83" i="49"/>
  <c r="F82" i="49"/>
  <c r="E82" i="49"/>
  <c r="E81" i="49"/>
  <c r="E80" i="49"/>
  <c r="E79" i="49"/>
  <c r="E78" i="49"/>
  <c r="E77" i="49"/>
  <c r="F76" i="49"/>
  <c r="E76" i="49"/>
  <c r="F55" i="49"/>
  <c r="E55" i="49"/>
  <c r="E54" i="49"/>
  <c r="E53" i="49"/>
  <c r="F52" i="49"/>
  <c r="E52" i="49"/>
  <c r="E51" i="49"/>
  <c r="E50" i="49"/>
  <c r="E49" i="49"/>
  <c r="F48" i="49"/>
  <c r="E48" i="49"/>
  <c r="E47" i="49"/>
  <c r="E46" i="49"/>
  <c r="E45" i="49"/>
  <c r="E44" i="49"/>
  <c r="E43" i="49"/>
  <c r="F42" i="49"/>
  <c r="E42" i="49"/>
  <c r="F21" i="49"/>
  <c r="E21" i="49"/>
  <c r="E20" i="49"/>
  <c r="E19" i="49"/>
  <c r="F18" i="49"/>
  <c r="E18" i="49"/>
  <c r="E17" i="49"/>
  <c r="E16" i="49"/>
  <c r="E15" i="49"/>
  <c r="F14" i="49"/>
  <c r="E14" i="49"/>
  <c r="E13" i="49"/>
  <c r="E12" i="49"/>
  <c r="E11" i="49"/>
  <c r="E10" i="49"/>
  <c r="E9" i="49"/>
  <c r="F8" i="49"/>
  <c r="E8" i="49"/>
  <c r="E18" i="47"/>
  <c r="E17" i="47"/>
  <c r="E16" i="47"/>
  <c r="E15" i="47"/>
  <c r="E14" i="47"/>
  <c r="E13" i="47"/>
  <c r="E11" i="47"/>
  <c r="E10" i="47"/>
  <c r="E9" i="47"/>
  <c r="E8" i="47"/>
  <c r="E7" i="47"/>
  <c r="H68" i="53"/>
  <c r="I107" i="44"/>
  <c r="H107" i="44"/>
  <c r="I106" i="44"/>
  <c r="H106" i="44"/>
  <c r="I105" i="44"/>
  <c r="H105" i="44"/>
  <c r="I104" i="44"/>
  <c r="H104" i="44"/>
  <c r="I103" i="44"/>
  <c r="H103" i="44"/>
  <c r="I102" i="44"/>
  <c r="H102" i="44"/>
  <c r="I101" i="44"/>
  <c r="H101" i="44"/>
  <c r="I100" i="44"/>
  <c r="H100" i="44"/>
  <c r="I99" i="44"/>
  <c r="H99" i="44"/>
  <c r="I98" i="44"/>
  <c r="H98" i="44"/>
  <c r="I77" i="44"/>
  <c r="H77" i="44"/>
  <c r="I76" i="44"/>
  <c r="H76" i="44"/>
  <c r="I75" i="44"/>
  <c r="H75" i="44"/>
  <c r="I74" i="44"/>
  <c r="H74" i="44"/>
  <c r="I73" i="44"/>
  <c r="H73" i="44"/>
  <c r="I72" i="44"/>
  <c r="H72" i="44"/>
  <c r="I71" i="44"/>
  <c r="H71" i="44"/>
  <c r="I70" i="44"/>
  <c r="H70" i="44"/>
  <c r="I69" i="44"/>
  <c r="H69" i="44"/>
  <c r="I68" i="44"/>
  <c r="H68" i="44"/>
  <c r="I47" i="44"/>
  <c r="H47" i="44"/>
  <c r="I46" i="44"/>
  <c r="H46" i="44"/>
  <c r="I45" i="44"/>
  <c r="H45" i="44"/>
  <c r="I44" i="44"/>
  <c r="H44" i="44"/>
  <c r="I43" i="44"/>
  <c r="H43" i="44"/>
  <c r="I42" i="44"/>
  <c r="H42" i="44"/>
  <c r="I41" i="44"/>
  <c r="H41" i="44"/>
  <c r="I40" i="44"/>
  <c r="H40" i="44"/>
  <c r="I39" i="44"/>
  <c r="H39" i="44"/>
  <c r="I38" i="44"/>
  <c r="H38" i="44"/>
  <c r="I17" i="44"/>
  <c r="H17" i="44"/>
  <c r="I16" i="44"/>
  <c r="H16" i="44"/>
  <c r="I15" i="44"/>
  <c r="H15" i="44"/>
  <c r="I14" i="44"/>
  <c r="H14" i="44"/>
  <c r="I13" i="44"/>
  <c r="H13" i="44"/>
  <c r="I12" i="44"/>
  <c r="H12" i="44"/>
  <c r="I11" i="44"/>
  <c r="H11" i="44"/>
  <c r="I10" i="44"/>
  <c r="H10" i="44"/>
  <c r="I9" i="44"/>
  <c r="H9" i="44"/>
  <c r="I8" i="44"/>
  <c r="H8" i="44"/>
  <c r="I107" i="50"/>
  <c r="H107" i="50"/>
  <c r="I106" i="50"/>
  <c r="H106" i="50"/>
  <c r="I105" i="50"/>
  <c r="H105" i="50"/>
  <c r="I104" i="50"/>
  <c r="H104" i="50"/>
  <c r="I103" i="50"/>
  <c r="H103" i="50"/>
  <c r="I102" i="50"/>
  <c r="H102" i="50"/>
  <c r="I101" i="50"/>
  <c r="H101" i="50"/>
  <c r="I100" i="50"/>
  <c r="H100" i="50"/>
  <c r="I99" i="50"/>
  <c r="H99" i="50"/>
  <c r="I98" i="50"/>
  <c r="H98" i="50"/>
  <c r="I77" i="50"/>
  <c r="H77" i="50"/>
  <c r="I76" i="50"/>
  <c r="H76" i="50"/>
  <c r="I75" i="50"/>
  <c r="H75" i="50"/>
  <c r="I74" i="50"/>
  <c r="H74" i="50"/>
  <c r="I73" i="50"/>
  <c r="H73" i="50"/>
  <c r="I72" i="50"/>
  <c r="H72" i="50"/>
  <c r="I71" i="50"/>
  <c r="H71" i="50"/>
  <c r="I70" i="50"/>
  <c r="H70" i="50"/>
  <c r="I69" i="50"/>
  <c r="H69" i="50"/>
  <c r="I68" i="50"/>
  <c r="H68" i="50"/>
  <c r="I47" i="50"/>
  <c r="H47" i="50"/>
  <c r="I46" i="50"/>
  <c r="H46" i="50"/>
  <c r="I45" i="50"/>
  <c r="H45" i="50"/>
  <c r="I44" i="50"/>
  <c r="H44" i="50"/>
  <c r="I43" i="50"/>
  <c r="H43" i="50"/>
  <c r="I42" i="50"/>
  <c r="H42" i="50"/>
  <c r="I41" i="50"/>
  <c r="H41" i="50"/>
  <c r="I40" i="50"/>
  <c r="H40" i="50"/>
  <c r="I39" i="50"/>
  <c r="H39" i="50"/>
  <c r="I38" i="50"/>
  <c r="H38" i="50"/>
  <c r="I17" i="50"/>
  <c r="H17" i="50"/>
  <c r="I16" i="50"/>
  <c r="H16" i="50"/>
  <c r="I15" i="50"/>
  <c r="H15" i="50"/>
  <c r="I14" i="50"/>
  <c r="H14" i="50"/>
  <c r="I13" i="50"/>
  <c r="H13" i="50"/>
  <c r="I12" i="50"/>
  <c r="H12" i="50"/>
  <c r="I11" i="50"/>
  <c r="H11" i="50"/>
  <c r="I10" i="50"/>
  <c r="H10" i="50"/>
  <c r="I9" i="50"/>
  <c r="H9" i="50"/>
  <c r="I8" i="50"/>
  <c r="H8" i="50"/>
  <c r="I15" i="48"/>
  <c r="I14" i="48"/>
  <c r="I13" i="48"/>
  <c r="I12" i="48"/>
  <c r="I11" i="48"/>
  <c r="I10" i="48"/>
  <c r="I9" i="48"/>
  <c r="I8" i="48"/>
  <c r="I7" i="48"/>
  <c r="I6" i="48"/>
  <c r="H15" i="48"/>
  <c r="H14" i="48"/>
  <c r="H13" i="48"/>
  <c r="H12" i="48"/>
  <c r="H11" i="48"/>
  <c r="H10" i="48"/>
  <c r="H9" i="48"/>
  <c r="H8" i="48"/>
  <c r="H7" i="48"/>
  <c r="H6" i="48"/>
  <c r="H123" i="43"/>
  <c r="G123" i="43"/>
  <c r="H122" i="43"/>
  <c r="G122" i="43"/>
  <c r="H121" i="43"/>
  <c r="G121" i="43"/>
  <c r="H33" i="53"/>
  <c r="H120" i="43"/>
  <c r="G33" i="53"/>
  <c r="G120" i="43"/>
  <c r="H119" i="43"/>
  <c r="G119" i="43"/>
  <c r="H118" i="43"/>
  <c r="G118" i="43"/>
  <c r="H117" i="43"/>
  <c r="G117" i="43"/>
  <c r="H116" i="43"/>
  <c r="G116" i="43"/>
  <c r="H115" i="43"/>
  <c r="G115" i="43"/>
  <c r="H114" i="43"/>
  <c r="G114" i="43"/>
  <c r="H113" i="43"/>
  <c r="G113" i="43"/>
  <c r="H112" i="43"/>
  <c r="G112" i="43"/>
  <c r="H111" i="43"/>
  <c r="G111" i="43"/>
  <c r="H110" i="43"/>
  <c r="G110" i="43"/>
  <c r="H89" i="43"/>
  <c r="G89" i="43"/>
  <c r="H88" i="43"/>
  <c r="G88" i="43"/>
  <c r="H87" i="43"/>
  <c r="G87" i="43"/>
  <c r="H86" i="43"/>
  <c r="G86" i="43"/>
  <c r="H85" i="43"/>
  <c r="G85" i="43"/>
  <c r="H84" i="43"/>
  <c r="G84" i="43"/>
  <c r="H83" i="43"/>
  <c r="G83" i="43"/>
  <c r="H82" i="43"/>
  <c r="G82" i="43"/>
  <c r="H81" i="43"/>
  <c r="G81" i="43"/>
  <c r="H80" i="43"/>
  <c r="G80" i="43"/>
  <c r="H79" i="43"/>
  <c r="G79" i="43"/>
  <c r="H78" i="43"/>
  <c r="G78" i="43"/>
  <c r="H77" i="43"/>
  <c r="G77" i="43"/>
  <c r="H76" i="43"/>
  <c r="G76" i="43"/>
  <c r="H55" i="43"/>
  <c r="G55" i="43"/>
  <c r="H54" i="43"/>
  <c r="G54" i="43"/>
  <c r="H53" i="43"/>
  <c r="G53" i="43"/>
  <c r="H52" i="43"/>
  <c r="G52" i="43"/>
  <c r="H51" i="43"/>
  <c r="G51" i="43"/>
  <c r="H50" i="43"/>
  <c r="G50" i="43"/>
  <c r="H49" i="43"/>
  <c r="G49" i="43"/>
  <c r="H48" i="43"/>
  <c r="G48" i="43"/>
  <c r="H47" i="43"/>
  <c r="G47" i="43"/>
  <c r="H46" i="43"/>
  <c r="G46" i="43"/>
  <c r="H45" i="43"/>
  <c r="G45" i="43"/>
  <c r="H44" i="43"/>
  <c r="G44" i="43"/>
  <c r="H43" i="43"/>
  <c r="G43" i="43"/>
  <c r="H42" i="43"/>
  <c r="G42" i="43"/>
  <c r="H21" i="43"/>
  <c r="G21" i="43"/>
  <c r="H20" i="43"/>
  <c r="G20" i="43"/>
  <c r="H19" i="43"/>
  <c r="G19" i="43"/>
  <c r="H18" i="43"/>
  <c r="G18" i="43"/>
  <c r="H17" i="43"/>
  <c r="G17" i="43"/>
  <c r="H16" i="43"/>
  <c r="G16" i="43"/>
  <c r="H15" i="43"/>
  <c r="G15" i="43"/>
  <c r="H14" i="43"/>
  <c r="G14" i="43"/>
  <c r="H13" i="43"/>
  <c r="G13" i="43"/>
  <c r="H12" i="43"/>
  <c r="G12" i="43"/>
  <c r="H11" i="43"/>
  <c r="G11" i="43"/>
  <c r="H10" i="43"/>
  <c r="G10" i="43"/>
  <c r="H9" i="43"/>
  <c r="G9" i="43"/>
  <c r="H8" i="43"/>
  <c r="G8" i="43"/>
  <c r="H19" i="18"/>
  <c r="G19" i="18"/>
  <c r="H18" i="18"/>
  <c r="G18" i="18"/>
  <c r="H17" i="18"/>
  <c r="G17" i="18"/>
  <c r="H16" i="18"/>
  <c r="G16" i="18"/>
  <c r="H15" i="18"/>
  <c r="G15" i="18"/>
  <c r="H14" i="18"/>
  <c r="G14" i="18"/>
  <c r="H13" i="18"/>
  <c r="G13" i="18"/>
  <c r="H12" i="18"/>
  <c r="G12" i="18"/>
  <c r="H11" i="18"/>
  <c r="G11" i="18"/>
  <c r="H10" i="18"/>
  <c r="G10" i="18"/>
  <c r="H9" i="18"/>
  <c r="G9" i="18"/>
  <c r="H8" i="18"/>
  <c r="G8" i="18"/>
  <c r="H7" i="18"/>
  <c r="G7" i="18"/>
  <c r="H6" i="18"/>
  <c r="G6" i="18"/>
  <c r="H123" i="49"/>
  <c r="G123" i="49"/>
  <c r="H122" i="49"/>
  <c r="G122" i="49"/>
  <c r="H121" i="49"/>
  <c r="G121" i="49"/>
  <c r="H120" i="49"/>
  <c r="G120" i="49"/>
  <c r="H119" i="49"/>
  <c r="G119" i="49"/>
  <c r="H118" i="49"/>
  <c r="G118" i="49"/>
  <c r="H117" i="49"/>
  <c r="G117" i="49"/>
  <c r="H116" i="49"/>
  <c r="G116" i="49"/>
  <c r="H115" i="49"/>
  <c r="G115" i="49"/>
  <c r="H114" i="49"/>
  <c r="G114" i="49"/>
  <c r="H113" i="49"/>
  <c r="G113" i="49"/>
  <c r="H112" i="49"/>
  <c r="G112" i="49"/>
  <c r="H111" i="49"/>
  <c r="G111" i="49"/>
  <c r="H110" i="49"/>
  <c r="G110" i="49"/>
  <c r="H89" i="49"/>
  <c r="G89" i="49"/>
  <c r="H88" i="49"/>
  <c r="G88" i="49"/>
  <c r="H87" i="49"/>
  <c r="G87" i="49"/>
  <c r="H86" i="49"/>
  <c r="G86" i="49"/>
  <c r="H85" i="49"/>
  <c r="G85" i="49"/>
  <c r="H84" i="49"/>
  <c r="G84" i="49"/>
  <c r="H83" i="49"/>
  <c r="G83" i="49"/>
  <c r="H82" i="49"/>
  <c r="G82" i="49"/>
  <c r="H81" i="49"/>
  <c r="G81" i="49"/>
  <c r="H80" i="49"/>
  <c r="G80" i="49"/>
  <c r="H79" i="49"/>
  <c r="G79" i="49"/>
  <c r="H78" i="49"/>
  <c r="G78" i="49"/>
  <c r="H77" i="49"/>
  <c r="G77" i="49"/>
  <c r="H76" i="49"/>
  <c r="G76" i="49"/>
  <c r="H55" i="49"/>
  <c r="G55" i="49"/>
  <c r="H54" i="49"/>
  <c r="G54" i="49"/>
  <c r="H53" i="49"/>
  <c r="G53" i="49"/>
  <c r="H52" i="49"/>
  <c r="G52" i="49"/>
  <c r="H51" i="49"/>
  <c r="G51" i="49"/>
  <c r="H50" i="49"/>
  <c r="G50" i="49"/>
  <c r="H49" i="49"/>
  <c r="G49" i="49"/>
  <c r="H48" i="49"/>
  <c r="G48" i="49"/>
  <c r="H47" i="49"/>
  <c r="G47" i="49"/>
  <c r="H46" i="49"/>
  <c r="G46" i="49"/>
  <c r="H45" i="49"/>
  <c r="G45" i="49"/>
  <c r="H44" i="49"/>
  <c r="G44" i="49"/>
  <c r="H43" i="49"/>
  <c r="G43" i="49"/>
  <c r="H42" i="49"/>
  <c r="G42" i="49"/>
  <c r="H21" i="49"/>
  <c r="G21" i="49"/>
  <c r="H20" i="49"/>
  <c r="G20" i="49"/>
  <c r="H19" i="49"/>
  <c r="G19" i="49"/>
  <c r="H18" i="49"/>
  <c r="G18" i="49"/>
  <c r="H17" i="49"/>
  <c r="G17" i="49"/>
  <c r="H16" i="49"/>
  <c r="G16" i="49"/>
  <c r="H15" i="49"/>
  <c r="G15" i="49"/>
  <c r="H14" i="49"/>
  <c r="G14" i="49"/>
  <c r="H13" i="49"/>
  <c r="G13" i="49"/>
  <c r="H12" i="49"/>
  <c r="G12" i="49"/>
  <c r="H11" i="49"/>
  <c r="G11" i="49"/>
  <c r="H10" i="49"/>
  <c r="G10" i="49"/>
  <c r="H9" i="49"/>
  <c r="G9" i="49"/>
  <c r="H8" i="49"/>
  <c r="G8" i="49"/>
  <c r="H19" i="47"/>
  <c r="H18" i="47"/>
  <c r="H17" i="47"/>
  <c r="H16" i="47"/>
  <c r="H15" i="47"/>
  <c r="H14" i="47"/>
  <c r="H13" i="47"/>
  <c r="H12" i="47"/>
  <c r="H11" i="47"/>
  <c r="H10" i="47"/>
  <c r="H9" i="47"/>
  <c r="H8" i="47"/>
  <c r="H7" i="47"/>
  <c r="H6" i="47"/>
  <c r="G16" i="47"/>
  <c r="G19" i="47"/>
  <c r="G18" i="47"/>
  <c r="G17" i="47"/>
  <c r="G14" i="47"/>
  <c r="G15" i="47"/>
  <c r="G13" i="47"/>
  <c r="G12" i="47"/>
  <c r="G11" i="47"/>
  <c r="G10" i="47"/>
  <c r="G9" i="47"/>
  <c r="G8" i="47"/>
  <c r="G7" i="47"/>
  <c r="C33" i="53"/>
  <c r="F13" i="48"/>
  <c r="G8" i="48"/>
  <c r="N99" i="44"/>
  <c r="N17" i="44"/>
  <c r="N16" i="44"/>
  <c r="N15" i="44"/>
  <c r="N14" i="44"/>
  <c r="N13" i="44"/>
  <c r="N12" i="44"/>
  <c r="N11" i="44"/>
  <c r="N10" i="44"/>
  <c r="N9" i="44"/>
  <c r="N8" i="44"/>
  <c r="L21" i="43"/>
  <c r="L20" i="43"/>
  <c r="L19" i="43"/>
  <c r="L18" i="43"/>
  <c r="L17" i="43"/>
  <c r="L16" i="43"/>
  <c r="L15" i="43"/>
  <c r="L14" i="43"/>
  <c r="L13" i="43"/>
  <c r="L12" i="43"/>
  <c r="L11" i="43"/>
  <c r="L10" i="43"/>
  <c r="L9" i="43"/>
  <c r="L8" i="43"/>
  <c r="L19" i="18"/>
  <c r="L18" i="18"/>
  <c r="L17" i="18"/>
  <c r="L16" i="18"/>
  <c r="L15" i="18"/>
  <c r="L14" i="18"/>
  <c r="L13" i="18"/>
  <c r="L12" i="18"/>
  <c r="L11" i="18"/>
  <c r="L10" i="18"/>
  <c r="L9" i="18"/>
  <c r="L8" i="18"/>
  <c r="L7" i="18"/>
  <c r="L6" i="18"/>
  <c r="N101" i="50"/>
  <c r="N17" i="50"/>
  <c r="N16" i="50"/>
  <c r="N15" i="50"/>
  <c r="N14" i="50"/>
  <c r="N13" i="50"/>
  <c r="N12" i="50"/>
  <c r="N11" i="50"/>
  <c r="N10" i="50"/>
  <c r="N9" i="50"/>
  <c r="N8" i="50"/>
  <c r="L42" i="49"/>
  <c r="L21" i="49"/>
  <c r="L20" i="49"/>
  <c r="L19" i="49"/>
  <c r="L18" i="49"/>
  <c r="L17" i="49"/>
  <c r="L16" i="49"/>
  <c r="L15" i="49"/>
  <c r="L14" i="49"/>
  <c r="L13" i="49"/>
  <c r="L12" i="49"/>
  <c r="L11" i="49"/>
  <c r="L10" i="49"/>
  <c r="L9" i="49"/>
  <c r="L8" i="49"/>
  <c r="N15" i="48"/>
  <c r="N14" i="48"/>
  <c r="N13" i="48"/>
  <c r="N12" i="48"/>
  <c r="N11" i="48"/>
  <c r="N10" i="48"/>
  <c r="N9" i="48"/>
  <c r="N8" i="48"/>
  <c r="N7" i="48"/>
  <c r="N6" i="48"/>
  <c r="L19" i="47"/>
  <c r="L18" i="47"/>
  <c r="L17" i="47"/>
  <c r="L16" i="47"/>
  <c r="L15" i="47"/>
  <c r="L14" i="47"/>
  <c r="L13" i="47"/>
  <c r="L12" i="47"/>
  <c r="L11" i="47"/>
  <c r="L10" i="47"/>
  <c r="L9" i="47"/>
  <c r="L8" i="47"/>
  <c r="L7" i="47"/>
  <c r="L6" i="47"/>
  <c r="L123" i="49"/>
  <c r="C123" i="49"/>
  <c r="I123" i="49"/>
  <c r="J123" i="49"/>
  <c r="K123" i="49"/>
  <c r="M123" i="49"/>
  <c r="O123" i="49"/>
  <c r="L89" i="49"/>
  <c r="C89" i="49"/>
  <c r="I89" i="49"/>
  <c r="J89" i="49"/>
  <c r="K89" i="49"/>
  <c r="M89" i="49"/>
  <c r="O89" i="49"/>
  <c r="L55" i="49"/>
  <c r="C55" i="49"/>
  <c r="I55" i="49"/>
  <c r="J55" i="49"/>
  <c r="K55" i="49"/>
  <c r="M55" i="49"/>
  <c r="O55" i="49"/>
  <c r="C21" i="49"/>
  <c r="I21" i="49"/>
  <c r="J21" i="49"/>
  <c r="K21" i="49"/>
  <c r="M21" i="49"/>
  <c r="O21" i="49"/>
  <c r="L123" i="43"/>
  <c r="C123" i="43"/>
  <c r="I123" i="43"/>
  <c r="J123" i="43"/>
  <c r="K123" i="43"/>
  <c r="M123" i="43"/>
  <c r="O123" i="43"/>
  <c r="L89" i="43"/>
  <c r="C89" i="43"/>
  <c r="I89" i="43"/>
  <c r="J89" i="43"/>
  <c r="K89" i="43"/>
  <c r="M89" i="43"/>
  <c r="O89" i="43"/>
  <c r="L55" i="43"/>
  <c r="C55" i="43"/>
  <c r="I55" i="43"/>
  <c r="J55" i="43"/>
  <c r="K55" i="43"/>
  <c r="M55" i="43"/>
  <c r="O55" i="43"/>
  <c r="C21" i="43"/>
  <c r="I21" i="43"/>
  <c r="J21" i="43"/>
  <c r="K21" i="43"/>
  <c r="M21" i="43"/>
  <c r="O21" i="43"/>
  <c r="C19" i="18"/>
  <c r="I19" i="18"/>
  <c r="J19" i="18"/>
  <c r="K19" i="18"/>
  <c r="M19" i="18"/>
  <c r="O19" i="18"/>
  <c r="D123" i="43"/>
  <c r="I122" i="43"/>
  <c r="D122" i="43"/>
  <c r="C122" i="43"/>
  <c r="I121" i="43"/>
  <c r="D121" i="43"/>
  <c r="C50" i="53"/>
  <c r="C121" i="43"/>
  <c r="I120" i="43"/>
  <c r="D120" i="43"/>
  <c r="C120" i="43"/>
  <c r="I119" i="43"/>
  <c r="D119" i="43"/>
  <c r="C119" i="43"/>
  <c r="I118" i="43"/>
  <c r="D118" i="43"/>
  <c r="C118" i="43"/>
  <c r="I117" i="43"/>
  <c r="D117" i="43"/>
  <c r="C117" i="43"/>
  <c r="I116" i="43"/>
  <c r="D116" i="43"/>
  <c r="C18" i="53"/>
  <c r="C116" i="43"/>
  <c r="I115" i="43"/>
  <c r="D115" i="43"/>
  <c r="C115" i="43"/>
  <c r="I114" i="43"/>
  <c r="D114" i="43"/>
  <c r="C114" i="43"/>
  <c r="I113" i="43"/>
  <c r="D113" i="43"/>
  <c r="C113" i="43"/>
  <c r="I112" i="43"/>
  <c r="D112" i="43"/>
  <c r="C112" i="43"/>
  <c r="I111" i="43"/>
  <c r="D111" i="43"/>
  <c r="C111" i="43"/>
  <c r="I110" i="43"/>
  <c r="D110" i="43"/>
  <c r="C110" i="43"/>
  <c r="D89" i="43"/>
  <c r="I88" i="43"/>
  <c r="D88" i="43"/>
  <c r="C88" i="43"/>
  <c r="I87" i="43"/>
  <c r="D87" i="43"/>
  <c r="C87" i="43"/>
  <c r="I86" i="43"/>
  <c r="D86" i="43"/>
  <c r="C86" i="43"/>
  <c r="I85" i="43"/>
  <c r="D85" i="43"/>
  <c r="C85" i="43"/>
  <c r="I84" i="43"/>
  <c r="D84" i="43"/>
  <c r="C84" i="43"/>
  <c r="I83" i="43"/>
  <c r="D83" i="43"/>
  <c r="C83" i="43"/>
  <c r="I82" i="43"/>
  <c r="D82" i="43"/>
  <c r="C82" i="43"/>
  <c r="I81" i="43"/>
  <c r="D81" i="43"/>
  <c r="C81" i="43"/>
  <c r="I80" i="43"/>
  <c r="D80" i="43"/>
  <c r="C80" i="43"/>
  <c r="I79" i="43"/>
  <c r="D79" i="43"/>
  <c r="C79" i="43"/>
  <c r="I78" i="43"/>
  <c r="D78" i="43"/>
  <c r="C78" i="43"/>
  <c r="I77" i="43"/>
  <c r="D77" i="43"/>
  <c r="C77" i="43"/>
  <c r="I76" i="43"/>
  <c r="D76" i="43"/>
  <c r="C76" i="43"/>
  <c r="D55" i="43"/>
  <c r="I54" i="43"/>
  <c r="D54" i="43"/>
  <c r="C54" i="43"/>
  <c r="I53" i="43"/>
  <c r="D53" i="43"/>
  <c r="C53" i="43"/>
  <c r="I52" i="43"/>
  <c r="D52" i="43"/>
  <c r="C52" i="43"/>
  <c r="I51" i="43"/>
  <c r="D51" i="43"/>
  <c r="C51" i="43"/>
  <c r="I50" i="43"/>
  <c r="D50" i="43"/>
  <c r="C50" i="43"/>
  <c r="I49" i="43"/>
  <c r="D49" i="43"/>
  <c r="C49" i="43"/>
  <c r="I48" i="43"/>
  <c r="D48" i="43"/>
  <c r="C48" i="43"/>
  <c r="I47" i="43"/>
  <c r="D47" i="43"/>
  <c r="C47" i="43"/>
  <c r="I46" i="43"/>
  <c r="D46" i="43"/>
  <c r="C46" i="43"/>
  <c r="I45" i="43"/>
  <c r="D45" i="43"/>
  <c r="C45" i="43"/>
  <c r="I44" i="43"/>
  <c r="D44" i="43"/>
  <c r="C44" i="43"/>
  <c r="I43" i="43"/>
  <c r="D43" i="43"/>
  <c r="C43" i="43"/>
  <c r="I42" i="43"/>
  <c r="D42" i="43"/>
  <c r="C42" i="43"/>
  <c r="D21" i="43"/>
  <c r="I20" i="43"/>
  <c r="D20" i="43"/>
  <c r="C20" i="43"/>
  <c r="I19" i="43"/>
  <c r="D19" i="43"/>
  <c r="C19" i="43"/>
  <c r="I18" i="43"/>
  <c r="D18" i="43"/>
  <c r="C18" i="43"/>
  <c r="I17" i="43"/>
  <c r="D17" i="43"/>
  <c r="C17" i="43"/>
  <c r="I16" i="43"/>
  <c r="D16" i="43"/>
  <c r="C16" i="43"/>
  <c r="I15" i="43"/>
  <c r="D15" i="43"/>
  <c r="C15" i="43"/>
  <c r="I14" i="43"/>
  <c r="D14" i="43"/>
  <c r="C14" i="43"/>
  <c r="I13" i="43"/>
  <c r="D13" i="43"/>
  <c r="C13" i="43"/>
  <c r="I12" i="43"/>
  <c r="D12" i="43"/>
  <c r="C12" i="43"/>
  <c r="I11" i="43"/>
  <c r="D11" i="43"/>
  <c r="C11" i="43"/>
  <c r="I10" i="43"/>
  <c r="D10" i="43"/>
  <c r="C10" i="43"/>
  <c r="I9" i="43"/>
  <c r="D9" i="43"/>
  <c r="C9" i="43"/>
  <c r="I8" i="43"/>
  <c r="D8" i="43"/>
  <c r="C8" i="43"/>
  <c r="D19" i="18"/>
  <c r="I18" i="18"/>
  <c r="D18" i="18"/>
  <c r="C18" i="18"/>
  <c r="I17" i="18"/>
  <c r="D17" i="18"/>
  <c r="C17" i="18"/>
  <c r="I16" i="18"/>
  <c r="D16" i="18"/>
  <c r="C16" i="18"/>
  <c r="I15" i="18"/>
  <c r="D15" i="18"/>
  <c r="C15" i="18"/>
  <c r="I14" i="18"/>
  <c r="D14" i="18"/>
  <c r="C14" i="18"/>
  <c r="I13" i="18"/>
  <c r="D13" i="18"/>
  <c r="C13" i="18"/>
  <c r="I12" i="18"/>
  <c r="D12" i="18"/>
  <c r="C12" i="18"/>
  <c r="I11" i="18"/>
  <c r="D11" i="18"/>
  <c r="C11" i="18"/>
  <c r="I10" i="18"/>
  <c r="D10" i="18"/>
  <c r="C10" i="18"/>
  <c r="I9" i="18"/>
  <c r="D9" i="18"/>
  <c r="C9" i="18"/>
  <c r="I8" i="18"/>
  <c r="D8" i="18"/>
  <c r="C8" i="18"/>
  <c r="I7" i="18"/>
  <c r="D7" i="18"/>
  <c r="C7" i="18"/>
  <c r="I6" i="18"/>
  <c r="D6" i="18"/>
  <c r="C6" i="18"/>
  <c r="D123" i="49"/>
  <c r="I122" i="49"/>
  <c r="D122" i="49"/>
  <c r="C122" i="49"/>
  <c r="I121" i="49"/>
  <c r="D121" i="49"/>
  <c r="C121" i="49"/>
  <c r="I120" i="49"/>
  <c r="D120" i="49"/>
  <c r="C120" i="49"/>
  <c r="I119" i="49"/>
  <c r="D119" i="49"/>
  <c r="C119" i="49"/>
  <c r="I118" i="49"/>
  <c r="D118" i="49"/>
  <c r="C118" i="49"/>
  <c r="I117" i="49"/>
  <c r="D117" i="49"/>
  <c r="C117" i="49"/>
  <c r="I116" i="49"/>
  <c r="D116" i="49"/>
  <c r="C116" i="49"/>
  <c r="I115" i="49"/>
  <c r="D115" i="49"/>
  <c r="C115" i="49"/>
  <c r="I114" i="49"/>
  <c r="D114" i="49"/>
  <c r="C114" i="49"/>
  <c r="I113" i="49"/>
  <c r="D113" i="49"/>
  <c r="C113" i="49"/>
  <c r="I112" i="49"/>
  <c r="D112" i="49"/>
  <c r="C112" i="49"/>
  <c r="I111" i="49"/>
  <c r="D111" i="49"/>
  <c r="C111" i="49"/>
  <c r="I110" i="49"/>
  <c r="D110" i="49"/>
  <c r="C110" i="49"/>
  <c r="D89" i="49"/>
  <c r="I88" i="49"/>
  <c r="D88" i="49"/>
  <c r="C88" i="49"/>
  <c r="I87" i="49"/>
  <c r="D87" i="49"/>
  <c r="C87" i="49"/>
  <c r="I86" i="49"/>
  <c r="D86" i="49"/>
  <c r="C86" i="49"/>
  <c r="I85" i="49"/>
  <c r="D85" i="49"/>
  <c r="C85" i="49"/>
  <c r="I84" i="49"/>
  <c r="D84" i="49"/>
  <c r="C84" i="49"/>
  <c r="I83" i="49"/>
  <c r="D83" i="49"/>
  <c r="C83" i="49"/>
  <c r="I82" i="49"/>
  <c r="D82" i="49"/>
  <c r="C82" i="49"/>
  <c r="I81" i="49"/>
  <c r="D81" i="49"/>
  <c r="C81" i="49"/>
  <c r="I80" i="49"/>
  <c r="D80" i="49"/>
  <c r="C80" i="49"/>
  <c r="I79" i="49"/>
  <c r="D79" i="49"/>
  <c r="C79" i="49"/>
  <c r="I78" i="49"/>
  <c r="D78" i="49"/>
  <c r="C78" i="49"/>
  <c r="I77" i="49"/>
  <c r="D77" i="49"/>
  <c r="C77" i="49"/>
  <c r="I76" i="49"/>
  <c r="D76" i="49"/>
  <c r="C76" i="49"/>
  <c r="D55" i="49"/>
  <c r="I54" i="49"/>
  <c r="D54" i="49"/>
  <c r="C54" i="49"/>
  <c r="I53" i="49"/>
  <c r="D53" i="49"/>
  <c r="C53" i="49"/>
  <c r="I52" i="49"/>
  <c r="D52" i="49"/>
  <c r="C52" i="49"/>
  <c r="I51" i="49"/>
  <c r="D51" i="49"/>
  <c r="C51" i="49"/>
  <c r="I50" i="49"/>
  <c r="D50" i="49"/>
  <c r="C50" i="49"/>
  <c r="I49" i="49"/>
  <c r="D49" i="49"/>
  <c r="C49" i="49"/>
  <c r="I48" i="49"/>
  <c r="D48" i="49"/>
  <c r="C48" i="49"/>
  <c r="I47" i="49"/>
  <c r="D47" i="49"/>
  <c r="C47" i="49"/>
  <c r="I46" i="49"/>
  <c r="D46" i="49"/>
  <c r="C46" i="49"/>
  <c r="I45" i="49"/>
  <c r="D45" i="49"/>
  <c r="C45" i="49"/>
  <c r="I44" i="49"/>
  <c r="D44" i="49"/>
  <c r="C44" i="49"/>
  <c r="I43" i="49"/>
  <c r="D43" i="49"/>
  <c r="C43" i="49"/>
  <c r="I42" i="49"/>
  <c r="D42" i="49"/>
  <c r="C42" i="49"/>
  <c r="D21" i="49"/>
  <c r="I20" i="49"/>
  <c r="D20" i="49"/>
  <c r="C20" i="49"/>
  <c r="I19" i="49"/>
  <c r="D19" i="49"/>
  <c r="C19" i="49"/>
  <c r="I18" i="49"/>
  <c r="D18" i="49"/>
  <c r="C18" i="49"/>
  <c r="I17" i="49"/>
  <c r="D17" i="49"/>
  <c r="C17" i="49"/>
  <c r="I16" i="49"/>
  <c r="D16" i="49"/>
  <c r="C16" i="49"/>
  <c r="I15" i="49"/>
  <c r="D15" i="49"/>
  <c r="C15" i="49"/>
  <c r="I14" i="49"/>
  <c r="D14" i="49"/>
  <c r="C14" i="49"/>
  <c r="I13" i="49"/>
  <c r="D13" i="49"/>
  <c r="C13" i="49"/>
  <c r="I12" i="49"/>
  <c r="D12" i="49"/>
  <c r="C12" i="49"/>
  <c r="I11" i="49"/>
  <c r="D11" i="49"/>
  <c r="C11" i="49"/>
  <c r="I10" i="49"/>
  <c r="D10" i="49"/>
  <c r="C10" i="49"/>
  <c r="I9" i="49"/>
  <c r="D9" i="49"/>
  <c r="C9" i="49"/>
  <c r="I8" i="49"/>
  <c r="D8" i="49"/>
  <c r="C8" i="49"/>
  <c r="C19" i="47"/>
  <c r="I19" i="47"/>
  <c r="J19" i="47"/>
  <c r="E19" i="47"/>
  <c r="F19" i="47"/>
  <c r="K19" i="47"/>
  <c r="M19" i="47"/>
  <c r="O19" i="47"/>
  <c r="K17" i="18"/>
  <c r="D104" i="44"/>
  <c r="C107" i="44"/>
  <c r="K107" i="44"/>
  <c r="J107" i="44"/>
  <c r="F63" i="53"/>
  <c r="G107" i="44"/>
  <c r="E63" i="53"/>
  <c r="F107" i="44"/>
  <c r="E107" i="44"/>
  <c r="C63" i="53"/>
  <c r="D107" i="44"/>
  <c r="C106" i="44"/>
  <c r="K106" i="44"/>
  <c r="J106" i="44"/>
  <c r="F106" i="44"/>
  <c r="E106" i="44"/>
  <c r="D106" i="44"/>
  <c r="C105" i="44"/>
  <c r="K105" i="44"/>
  <c r="J105" i="44"/>
  <c r="F105" i="44"/>
  <c r="E105" i="44"/>
  <c r="D105" i="44"/>
  <c r="C104" i="44"/>
  <c r="K104" i="44"/>
  <c r="J104" i="44"/>
  <c r="G104" i="44"/>
  <c r="F104" i="44"/>
  <c r="E104" i="44"/>
  <c r="C103" i="44"/>
  <c r="K103" i="44"/>
  <c r="J103" i="44"/>
  <c r="G103" i="44"/>
  <c r="F103" i="44"/>
  <c r="E103" i="44"/>
  <c r="D103" i="44"/>
  <c r="C102" i="44"/>
  <c r="K102" i="44"/>
  <c r="J102" i="44"/>
  <c r="F58" i="53"/>
  <c r="G102" i="44"/>
  <c r="E58" i="53"/>
  <c r="F102" i="44"/>
  <c r="E102" i="44"/>
  <c r="C58" i="53"/>
  <c r="D102" i="44"/>
  <c r="C101" i="44"/>
  <c r="K101" i="44"/>
  <c r="J101" i="44"/>
  <c r="F101" i="44"/>
  <c r="E101" i="44"/>
  <c r="D101" i="44"/>
  <c r="C100" i="44"/>
  <c r="K100" i="44"/>
  <c r="J100" i="44"/>
  <c r="G100" i="44"/>
  <c r="F100" i="44"/>
  <c r="E100" i="44"/>
  <c r="D100" i="44"/>
  <c r="C99" i="44"/>
  <c r="K99" i="44"/>
  <c r="J99" i="44"/>
  <c r="F99" i="44"/>
  <c r="E99" i="44"/>
  <c r="D99" i="44"/>
  <c r="C98" i="44"/>
  <c r="K98" i="44"/>
  <c r="J98" i="44"/>
  <c r="G98" i="44"/>
  <c r="F98" i="44"/>
  <c r="E98" i="44"/>
  <c r="D98" i="44"/>
  <c r="C77" i="44"/>
  <c r="K77" i="44"/>
  <c r="J77" i="44"/>
  <c r="G77" i="44"/>
  <c r="F77" i="44"/>
  <c r="E77" i="44"/>
  <c r="D77" i="44"/>
  <c r="C76" i="44"/>
  <c r="K76" i="44"/>
  <c r="J76" i="44"/>
  <c r="F76" i="44"/>
  <c r="E76" i="44"/>
  <c r="D76" i="44"/>
  <c r="C75" i="44"/>
  <c r="K75" i="44"/>
  <c r="J75" i="44"/>
  <c r="F75" i="44"/>
  <c r="E75" i="44"/>
  <c r="D75" i="44"/>
  <c r="C74" i="44"/>
  <c r="K74" i="44"/>
  <c r="J74" i="44"/>
  <c r="G74" i="44"/>
  <c r="F74" i="44"/>
  <c r="E74" i="44"/>
  <c r="D74" i="44"/>
  <c r="C73" i="44"/>
  <c r="K73" i="44"/>
  <c r="J73" i="44"/>
  <c r="G73" i="44"/>
  <c r="F73" i="44"/>
  <c r="E73" i="44"/>
  <c r="D73" i="44"/>
  <c r="C72" i="44"/>
  <c r="K72" i="44"/>
  <c r="J72" i="44"/>
  <c r="G72" i="44"/>
  <c r="F72" i="44"/>
  <c r="E72" i="44"/>
  <c r="D72" i="44"/>
  <c r="C71" i="44"/>
  <c r="K71" i="44"/>
  <c r="J71" i="44"/>
  <c r="F71" i="44"/>
  <c r="E71" i="44"/>
  <c r="D71" i="44"/>
  <c r="C70" i="44"/>
  <c r="K70" i="44"/>
  <c r="J70" i="44"/>
  <c r="G70" i="44"/>
  <c r="F70" i="44"/>
  <c r="E70" i="44"/>
  <c r="D70" i="44"/>
  <c r="C69" i="44"/>
  <c r="K69" i="44"/>
  <c r="J69" i="44"/>
  <c r="F69" i="44"/>
  <c r="E69" i="44"/>
  <c r="D69" i="44"/>
  <c r="C68" i="44"/>
  <c r="K68" i="44"/>
  <c r="J68" i="44"/>
  <c r="G68" i="44"/>
  <c r="F68" i="44"/>
  <c r="E68" i="44"/>
  <c r="D68" i="44"/>
  <c r="C47" i="44"/>
  <c r="K47" i="44"/>
  <c r="J47" i="44"/>
  <c r="G47" i="44"/>
  <c r="F47" i="44"/>
  <c r="E47" i="44"/>
  <c r="D47" i="44"/>
  <c r="C46" i="44"/>
  <c r="K46" i="44"/>
  <c r="J46" i="44"/>
  <c r="F46" i="44"/>
  <c r="E46" i="44"/>
  <c r="D46" i="44"/>
  <c r="C45" i="44"/>
  <c r="K45" i="44"/>
  <c r="J45" i="44"/>
  <c r="F45" i="44"/>
  <c r="E45" i="44"/>
  <c r="D45" i="44"/>
  <c r="C44" i="44"/>
  <c r="K44" i="44"/>
  <c r="J44" i="44"/>
  <c r="G44" i="44"/>
  <c r="F44" i="44"/>
  <c r="E44" i="44"/>
  <c r="D44" i="44"/>
  <c r="C43" i="44"/>
  <c r="K43" i="44"/>
  <c r="J43" i="44"/>
  <c r="G43" i="44"/>
  <c r="F43" i="44"/>
  <c r="E43" i="44"/>
  <c r="D43" i="44"/>
  <c r="C42" i="44"/>
  <c r="K42" i="44"/>
  <c r="J42" i="44"/>
  <c r="G42" i="44"/>
  <c r="F42" i="44"/>
  <c r="E42" i="44"/>
  <c r="D42" i="44"/>
  <c r="C41" i="44"/>
  <c r="K41" i="44"/>
  <c r="J41" i="44"/>
  <c r="F41" i="44"/>
  <c r="E41" i="44"/>
  <c r="D41" i="44"/>
  <c r="C40" i="44"/>
  <c r="K40" i="44"/>
  <c r="J40" i="44"/>
  <c r="G40" i="44"/>
  <c r="F40" i="44"/>
  <c r="E40" i="44"/>
  <c r="D40" i="44"/>
  <c r="C39" i="44"/>
  <c r="K39" i="44"/>
  <c r="J39" i="44"/>
  <c r="F39" i="44"/>
  <c r="E39" i="44"/>
  <c r="D39" i="44"/>
  <c r="C38" i="44"/>
  <c r="K38" i="44"/>
  <c r="J38" i="44"/>
  <c r="G38" i="44"/>
  <c r="F38" i="44"/>
  <c r="E38" i="44"/>
  <c r="D38" i="44"/>
  <c r="C17" i="44"/>
  <c r="K17" i="44"/>
  <c r="J17" i="44"/>
  <c r="G17" i="44"/>
  <c r="F17" i="44"/>
  <c r="E17" i="44"/>
  <c r="D17" i="44"/>
  <c r="C16" i="44"/>
  <c r="K16" i="44"/>
  <c r="J16" i="44"/>
  <c r="F16" i="44"/>
  <c r="E16" i="44"/>
  <c r="D16" i="44"/>
  <c r="C15" i="44"/>
  <c r="K15" i="44"/>
  <c r="J15" i="44"/>
  <c r="F15" i="44"/>
  <c r="E15" i="44"/>
  <c r="D15" i="44"/>
  <c r="C14" i="44"/>
  <c r="K14" i="44"/>
  <c r="J14" i="44"/>
  <c r="G14" i="44"/>
  <c r="F14" i="44"/>
  <c r="E14" i="44"/>
  <c r="D14" i="44"/>
  <c r="C13" i="44"/>
  <c r="K13" i="44"/>
  <c r="J13" i="44"/>
  <c r="G13" i="44"/>
  <c r="F13" i="44"/>
  <c r="E13" i="44"/>
  <c r="D13" i="44"/>
  <c r="C12" i="44"/>
  <c r="K12" i="44"/>
  <c r="J12" i="44"/>
  <c r="G12" i="44"/>
  <c r="F12" i="44"/>
  <c r="E12" i="44"/>
  <c r="D12" i="44"/>
  <c r="C11" i="44"/>
  <c r="K11" i="44"/>
  <c r="J11" i="44"/>
  <c r="F11" i="44"/>
  <c r="E11" i="44"/>
  <c r="D11" i="44"/>
  <c r="C10" i="44"/>
  <c r="K10" i="44"/>
  <c r="J10" i="44"/>
  <c r="G10" i="44"/>
  <c r="F10" i="44"/>
  <c r="E10" i="44"/>
  <c r="D10" i="44"/>
  <c r="C9" i="44"/>
  <c r="K9" i="44"/>
  <c r="J9" i="44"/>
  <c r="F9" i="44"/>
  <c r="E9" i="44"/>
  <c r="D9" i="44"/>
  <c r="C8" i="44"/>
  <c r="K8" i="44"/>
  <c r="J8" i="44"/>
  <c r="G8" i="44"/>
  <c r="F8" i="44"/>
  <c r="E8" i="44"/>
  <c r="D8" i="44"/>
  <c r="C107" i="50"/>
  <c r="K107" i="50"/>
  <c r="J107" i="50"/>
  <c r="G107" i="50"/>
  <c r="F107" i="50"/>
  <c r="E107" i="50"/>
  <c r="D107" i="50"/>
  <c r="C106" i="50"/>
  <c r="K106" i="50"/>
  <c r="J106" i="50"/>
  <c r="F106" i="50"/>
  <c r="E106" i="50"/>
  <c r="D106" i="50"/>
  <c r="C105" i="50"/>
  <c r="K105" i="50"/>
  <c r="J105" i="50"/>
  <c r="F105" i="50"/>
  <c r="E105" i="50"/>
  <c r="D105" i="50"/>
  <c r="C104" i="50"/>
  <c r="K104" i="50"/>
  <c r="J104" i="50"/>
  <c r="G104" i="50"/>
  <c r="F104" i="50"/>
  <c r="E104" i="50"/>
  <c r="D104" i="50"/>
  <c r="C103" i="50"/>
  <c r="K103" i="50"/>
  <c r="J103" i="50"/>
  <c r="G103" i="50"/>
  <c r="F103" i="50"/>
  <c r="E103" i="50"/>
  <c r="D103" i="50"/>
  <c r="C102" i="50"/>
  <c r="K102" i="50"/>
  <c r="J102" i="50"/>
  <c r="G102" i="50"/>
  <c r="F102" i="50"/>
  <c r="E102" i="50"/>
  <c r="D102" i="50"/>
  <c r="C101" i="50"/>
  <c r="K101" i="50"/>
  <c r="J101" i="50"/>
  <c r="F101" i="50"/>
  <c r="E101" i="50"/>
  <c r="D101" i="50"/>
  <c r="C100" i="50"/>
  <c r="K100" i="50"/>
  <c r="J100" i="50"/>
  <c r="G100" i="50"/>
  <c r="F100" i="50"/>
  <c r="E100" i="50"/>
  <c r="D100" i="50"/>
  <c r="C99" i="50"/>
  <c r="K99" i="50"/>
  <c r="J99" i="50"/>
  <c r="F99" i="50"/>
  <c r="E99" i="50"/>
  <c r="D99" i="50"/>
  <c r="C98" i="50"/>
  <c r="K98" i="50"/>
  <c r="J98" i="50"/>
  <c r="G98" i="50"/>
  <c r="F98" i="50"/>
  <c r="E98" i="50"/>
  <c r="D98" i="50"/>
  <c r="C77" i="50"/>
  <c r="K77" i="50"/>
  <c r="J77" i="50"/>
  <c r="G77" i="50"/>
  <c r="F77" i="50"/>
  <c r="E77" i="50"/>
  <c r="D77" i="50"/>
  <c r="C76" i="50"/>
  <c r="K76" i="50"/>
  <c r="J76" i="50"/>
  <c r="F76" i="50"/>
  <c r="E76" i="50"/>
  <c r="D76" i="50"/>
  <c r="C75" i="50"/>
  <c r="K75" i="50"/>
  <c r="J75" i="50"/>
  <c r="F75" i="50"/>
  <c r="E75" i="50"/>
  <c r="D75" i="50"/>
  <c r="C74" i="50"/>
  <c r="K74" i="50"/>
  <c r="J74" i="50"/>
  <c r="G74" i="50"/>
  <c r="F74" i="50"/>
  <c r="E74" i="50"/>
  <c r="D74" i="50"/>
  <c r="C73" i="50"/>
  <c r="K73" i="50"/>
  <c r="J73" i="50"/>
  <c r="G73" i="50"/>
  <c r="F73" i="50"/>
  <c r="E73" i="50"/>
  <c r="D73" i="50"/>
  <c r="C72" i="50"/>
  <c r="K72" i="50"/>
  <c r="J72" i="50"/>
  <c r="G72" i="50"/>
  <c r="F72" i="50"/>
  <c r="E72" i="50"/>
  <c r="D72" i="50"/>
  <c r="C71" i="50"/>
  <c r="K71" i="50"/>
  <c r="J71" i="50"/>
  <c r="F71" i="50"/>
  <c r="E71" i="50"/>
  <c r="D71" i="50"/>
  <c r="C70" i="50"/>
  <c r="K70" i="50"/>
  <c r="J70" i="50"/>
  <c r="G70" i="50"/>
  <c r="F70" i="50"/>
  <c r="E70" i="50"/>
  <c r="D70" i="50"/>
  <c r="C69" i="50"/>
  <c r="K69" i="50"/>
  <c r="J69" i="50"/>
  <c r="F69" i="50"/>
  <c r="E69" i="50"/>
  <c r="D69" i="50"/>
  <c r="C68" i="50"/>
  <c r="K68" i="50"/>
  <c r="J68" i="50"/>
  <c r="G68" i="50"/>
  <c r="F68" i="50"/>
  <c r="E68" i="50"/>
  <c r="D68" i="50"/>
  <c r="C47" i="50"/>
  <c r="K47" i="50"/>
  <c r="J47" i="50"/>
  <c r="G47" i="50"/>
  <c r="F47" i="50"/>
  <c r="E47" i="50"/>
  <c r="D47" i="50"/>
  <c r="C46" i="50"/>
  <c r="K46" i="50"/>
  <c r="J46" i="50"/>
  <c r="F46" i="50"/>
  <c r="E46" i="50"/>
  <c r="D46" i="50"/>
  <c r="C45" i="50"/>
  <c r="K45" i="50"/>
  <c r="J45" i="50"/>
  <c r="F45" i="50"/>
  <c r="E45" i="50"/>
  <c r="D45" i="50"/>
  <c r="C44" i="50"/>
  <c r="K44" i="50"/>
  <c r="J44" i="50"/>
  <c r="G44" i="50"/>
  <c r="F44" i="50"/>
  <c r="E44" i="50"/>
  <c r="D44" i="50"/>
  <c r="C43" i="50"/>
  <c r="K43" i="50"/>
  <c r="J43" i="50"/>
  <c r="G43" i="50"/>
  <c r="F43" i="50"/>
  <c r="E43" i="50"/>
  <c r="D43" i="50"/>
  <c r="C42" i="50"/>
  <c r="K42" i="50"/>
  <c r="J42" i="50"/>
  <c r="G42" i="50"/>
  <c r="F42" i="50"/>
  <c r="E42" i="50"/>
  <c r="D42" i="50"/>
  <c r="C41" i="50"/>
  <c r="K41" i="50"/>
  <c r="J41" i="50"/>
  <c r="F41" i="50"/>
  <c r="E41" i="50"/>
  <c r="D41" i="50"/>
  <c r="C40" i="50"/>
  <c r="K40" i="50"/>
  <c r="J40" i="50"/>
  <c r="G40" i="50"/>
  <c r="F40" i="50"/>
  <c r="E40" i="50"/>
  <c r="D40" i="50"/>
  <c r="C39" i="50"/>
  <c r="K39" i="50"/>
  <c r="J39" i="50"/>
  <c r="F39" i="50"/>
  <c r="E39" i="50"/>
  <c r="D39" i="50"/>
  <c r="C38" i="50"/>
  <c r="K38" i="50"/>
  <c r="J38" i="50"/>
  <c r="G38" i="50"/>
  <c r="F38" i="50"/>
  <c r="E38" i="50"/>
  <c r="D38" i="50"/>
  <c r="C17" i="50"/>
  <c r="K17" i="50"/>
  <c r="J17" i="50"/>
  <c r="G17" i="50"/>
  <c r="F17" i="50"/>
  <c r="E17" i="50"/>
  <c r="D17" i="50"/>
  <c r="C16" i="50"/>
  <c r="K16" i="50"/>
  <c r="J16" i="50"/>
  <c r="F16" i="50"/>
  <c r="E16" i="50"/>
  <c r="D16" i="50"/>
  <c r="C15" i="50"/>
  <c r="K15" i="50"/>
  <c r="J15" i="50"/>
  <c r="F15" i="50"/>
  <c r="E15" i="50"/>
  <c r="D15" i="50"/>
  <c r="C14" i="50"/>
  <c r="K14" i="50"/>
  <c r="J14" i="50"/>
  <c r="G14" i="50"/>
  <c r="F14" i="50"/>
  <c r="E14" i="50"/>
  <c r="D14" i="50"/>
  <c r="C13" i="50"/>
  <c r="K13" i="50"/>
  <c r="J13" i="50"/>
  <c r="G13" i="50"/>
  <c r="F13" i="50"/>
  <c r="E13" i="50"/>
  <c r="D13" i="50"/>
  <c r="C12" i="50"/>
  <c r="K12" i="50"/>
  <c r="J12" i="50"/>
  <c r="G12" i="50"/>
  <c r="F12" i="50"/>
  <c r="E12" i="50"/>
  <c r="D12" i="50"/>
  <c r="C11" i="50"/>
  <c r="K11" i="50"/>
  <c r="J11" i="50"/>
  <c r="F11" i="50"/>
  <c r="E11" i="50"/>
  <c r="D11" i="50"/>
  <c r="C10" i="50"/>
  <c r="K10" i="50"/>
  <c r="J10" i="50"/>
  <c r="G10" i="50"/>
  <c r="F10" i="50"/>
  <c r="E10" i="50"/>
  <c r="D10" i="50"/>
  <c r="C9" i="50"/>
  <c r="K9" i="50"/>
  <c r="J9" i="50"/>
  <c r="F9" i="50"/>
  <c r="E9" i="50"/>
  <c r="D9" i="50"/>
  <c r="C8" i="50"/>
  <c r="K8" i="50"/>
  <c r="J8" i="50"/>
  <c r="G8" i="50"/>
  <c r="F8" i="50"/>
  <c r="E8" i="50"/>
  <c r="D8" i="50"/>
  <c r="J15" i="48"/>
  <c r="J14" i="48"/>
  <c r="J13" i="48"/>
  <c r="J12" i="48"/>
  <c r="J11" i="48"/>
  <c r="J10" i="48"/>
  <c r="J9" i="48"/>
  <c r="J8" i="48"/>
  <c r="J7" i="48"/>
  <c r="J6" i="48"/>
  <c r="G15" i="48"/>
  <c r="G12" i="48"/>
  <c r="G11" i="48"/>
  <c r="G10" i="48"/>
  <c r="G6" i="48"/>
  <c r="F15" i="48"/>
  <c r="F14" i="48"/>
  <c r="F12" i="48"/>
  <c r="F11" i="48"/>
  <c r="F10" i="48"/>
  <c r="F9" i="48"/>
  <c r="F8" i="48"/>
  <c r="F7" i="48"/>
  <c r="F6" i="48"/>
  <c r="E15" i="48"/>
  <c r="E14" i="48"/>
  <c r="E13" i="48"/>
  <c r="E12" i="48"/>
  <c r="E11" i="48"/>
  <c r="E10" i="48"/>
  <c r="E9" i="48"/>
  <c r="E8" i="48"/>
  <c r="E7" i="48"/>
  <c r="E6" i="48"/>
  <c r="D15" i="48"/>
  <c r="D14" i="48"/>
  <c r="D13" i="48"/>
  <c r="D11" i="48"/>
  <c r="D10" i="48"/>
  <c r="D9" i="48"/>
  <c r="D8" i="48"/>
  <c r="D7" i="48"/>
  <c r="D6" i="48"/>
  <c r="C15" i="48"/>
  <c r="C14" i="48"/>
  <c r="C13" i="48"/>
  <c r="C12" i="48"/>
  <c r="C11" i="48"/>
  <c r="C10" i="48"/>
  <c r="C9" i="48"/>
  <c r="C8" i="48"/>
  <c r="C7" i="48"/>
  <c r="C6" i="48"/>
  <c r="I18" i="47"/>
  <c r="I17" i="47"/>
  <c r="I16" i="47"/>
  <c r="I15" i="47"/>
  <c r="I14" i="47"/>
  <c r="I13" i="47"/>
  <c r="I12" i="47"/>
  <c r="I11" i="47"/>
  <c r="I10" i="47"/>
  <c r="I9" i="47"/>
  <c r="I8" i="47"/>
  <c r="I7" i="47"/>
  <c r="I6" i="47"/>
  <c r="F16" i="47"/>
  <c r="E12" i="47"/>
  <c r="F12" i="47"/>
  <c r="F6" i="47"/>
  <c r="E6" i="47"/>
  <c r="D19" i="47"/>
  <c r="D18" i="47"/>
  <c r="D17" i="47"/>
  <c r="D16" i="47"/>
  <c r="D15" i="47"/>
  <c r="D14" i="47"/>
  <c r="D13" i="47"/>
  <c r="D12" i="47"/>
  <c r="D11" i="47"/>
  <c r="D10" i="47"/>
  <c r="D9" i="47"/>
  <c r="D8" i="47"/>
  <c r="D7" i="47"/>
  <c r="D6" i="47"/>
  <c r="C18" i="47"/>
  <c r="C17" i="47"/>
  <c r="C16" i="47"/>
  <c r="C15" i="47"/>
  <c r="C14" i="47"/>
  <c r="C13" i="47"/>
  <c r="C12" i="47"/>
  <c r="C11" i="47"/>
  <c r="C10" i="47"/>
  <c r="C9" i="47"/>
  <c r="C8" i="47"/>
  <c r="C7" i="47"/>
  <c r="C6" i="47"/>
  <c r="K12" i="48"/>
  <c r="K15" i="48"/>
  <c r="K14" i="48"/>
  <c r="K13" i="48"/>
  <c r="K11" i="48"/>
  <c r="K10" i="48"/>
  <c r="K9" i="48"/>
  <c r="K8" i="48"/>
  <c r="K7" i="48"/>
  <c r="D12" i="48"/>
  <c r="K6" i="47"/>
  <c r="J8" i="49"/>
  <c r="M8" i="49"/>
  <c r="N8" i="49"/>
  <c r="O8" i="49"/>
  <c r="J9" i="49"/>
  <c r="K9" i="49"/>
  <c r="M9" i="49"/>
  <c r="N9" i="49"/>
  <c r="O9" i="49"/>
  <c r="J10" i="49"/>
  <c r="K10" i="49"/>
  <c r="M10" i="49"/>
  <c r="N10" i="49"/>
  <c r="O10" i="49"/>
  <c r="J11" i="49"/>
  <c r="K11" i="49"/>
  <c r="M11" i="49"/>
  <c r="N11" i="49"/>
  <c r="O11" i="49"/>
  <c r="L6" i="48"/>
  <c r="Q6" i="48"/>
  <c r="L8" i="48"/>
  <c r="Q8" i="48"/>
  <c r="L9" i="48"/>
  <c r="M9" i="48"/>
  <c r="Q9" i="48"/>
  <c r="L11" i="48"/>
  <c r="M11" i="48"/>
  <c r="Q11" i="48"/>
  <c r="L13" i="48"/>
  <c r="M13" i="48"/>
  <c r="Q13" i="48"/>
  <c r="L14" i="48"/>
  <c r="M14" i="48"/>
  <c r="Q14" i="48"/>
  <c r="L7" i="48"/>
  <c r="M7" i="48"/>
  <c r="Q7" i="48"/>
  <c r="L10" i="48"/>
  <c r="M10" i="48"/>
  <c r="Q10" i="48"/>
  <c r="L12" i="48"/>
  <c r="M12" i="48"/>
  <c r="Q12" i="48"/>
  <c r="L15" i="48"/>
  <c r="M15" i="48"/>
  <c r="Q15" i="48"/>
  <c r="Q18" i="48"/>
  <c r="Q17" i="48"/>
  <c r="Q16" i="48"/>
  <c r="J7" i="47"/>
  <c r="K7" i="47"/>
  <c r="O7" i="47"/>
  <c r="J8" i="47"/>
  <c r="K8" i="47"/>
  <c r="M8" i="47"/>
  <c r="O8" i="47"/>
  <c r="J9" i="47"/>
  <c r="K9" i="47"/>
  <c r="M9" i="47"/>
  <c r="O9" i="47"/>
  <c r="J10" i="47"/>
  <c r="K10" i="47"/>
  <c r="M10" i="47"/>
  <c r="O10" i="47"/>
  <c r="J11" i="47"/>
  <c r="K11" i="47"/>
  <c r="M11" i="47"/>
  <c r="O11" i="47"/>
  <c r="J12" i="47"/>
  <c r="K12" i="47"/>
  <c r="M12" i="47"/>
  <c r="O12" i="47"/>
  <c r="J13" i="47"/>
  <c r="K13" i="47"/>
  <c r="M13" i="47"/>
  <c r="O13" i="47"/>
  <c r="J14" i="47"/>
  <c r="K14" i="47"/>
  <c r="M14" i="47"/>
  <c r="O14" i="47"/>
  <c r="J15" i="47"/>
  <c r="K15" i="47"/>
  <c r="M15" i="47"/>
  <c r="O15" i="47"/>
  <c r="J16" i="47"/>
  <c r="K16" i="47"/>
  <c r="M16" i="47"/>
  <c r="O16" i="47"/>
  <c r="J17" i="47"/>
  <c r="K17" i="47"/>
  <c r="M17" i="47"/>
  <c r="O17" i="47"/>
  <c r="J18" i="47"/>
  <c r="K18" i="47"/>
  <c r="M18" i="47"/>
  <c r="O18" i="47"/>
  <c r="O22" i="47"/>
  <c r="O21" i="47"/>
  <c r="O20" i="47"/>
  <c r="C19" i="48"/>
  <c r="C22" i="47"/>
  <c r="C6" i="17"/>
  <c r="C110" i="44"/>
  <c r="C115" i="44"/>
  <c r="C116" i="44"/>
  <c r="N107" i="44"/>
  <c r="N106" i="44"/>
  <c r="N105" i="44"/>
  <c r="N104" i="44"/>
  <c r="N103" i="44"/>
  <c r="N102" i="44"/>
  <c r="N101" i="44"/>
  <c r="N100" i="44"/>
  <c r="N98" i="44"/>
  <c r="C80" i="44"/>
  <c r="C85" i="44"/>
  <c r="C86" i="44"/>
  <c r="N77" i="44"/>
  <c r="N76" i="44"/>
  <c r="N75" i="44"/>
  <c r="N74" i="44"/>
  <c r="N73" i="44"/>
  <c r="N72" i="44"/>
  <c r="N71" i="44"/>
  <c r="N70" i="44"/>
  <c r="N69" i="44"/>
  <c r="N68" i="44"/>
  <c r="C50" i="44"/>
  <c r="C55" i="44"/>
  <c r="C56" i="44"/>
  <c r="N47" i="44"/>
  <c r="N46" i="44"/>
  <c r="N45" i="44"/>
  <c r="N40" i="44"/>
  <c r="N39" i="44"/>
  <c r="N38" i="44"/>
  <c r="N44" i="44"/>
  <c r="N43" i="44"/>
  <c r="N42" i="44"/>
  <c r="N41" i="44"/>
  <c r="C20" i="44"/>
  <c r="C25" i="44"/>
  <c r="C26" i="44"/>
  <c r="C126" i="43"/>
  <c r="C131" i="43"/>
  <c r="C132" i="43"/>
  <c r="L122" i="43"/>
  <c r="L121" i="43"/>
  <c r="L120" i="43"/>
  <c r="L119" i="43"/>
  <c r="L118" i="43"/>
  <c r="L117" i="43"/>
  <c r="L116" i="43"/>
  <c r="L115" i="43"/>
  <c r="L114" i="43"/>
  <c r="L113" i="43"/>
  <c r="L112" i="43"/>
  <c r="L111" i="43"/>
  <c r="L110" i="43"/>
  <c r="C92" i="43"/>
  <c r="C97" i="43"/>
  <c r="C98" i="43"/>
  <c r="L88" i="43"/>
  <c r="L87" i="43"/>
  <c r="L86" i="43"/>
  <c r="L85" i="43"/>
  <c r="L84" i="43"/>
  <c r="L83" i="43"/>
  <c r="L82" i="43"/>
  <c r="L81" i="43"/>
  <c r="L80" i="43"/>
  <c r="L79" i="43"/>
  <c r="L78" i="43"/>
  <c r="L77" i="43"/>
  <c r="L76" i="43"/>
  <c r="C58" i="43"/>
  <c r="C63" i="43"/>
  <c r="C64" i="43"/>
  <c r="L54" i="43"/>
  <c r="L53" i="43"/>
  <c r="L52" i="43"/>
  <c r="L51" i="43"/>
  <c r="L50" i="43"/>
  <c r="L49" i="43"/>
  <c r="L48" i="43"/>
  <c r="L47" i="43"/>
  <c r="L46" i="43"/>
  <c r="L45" i="43"/>
  <c r="L44" i="43"/>
  <c r="L43" i="43"/>
  <c r="L42" i="43"/>
  <c r="C24" i="43"/>
  <c r="C29" i="43"/>
  <c r="C30" i="43"/>
  <c r="C80" i="50"/>
  <c r="C85" i="50"/>
  <c r="C86" i="50"/>
  <c r="N69" i="50"/>
  <c r="N68" i="50"/>
  <c r="C110" i="50"/>
  <c r="C115" i="50"/>
  <c r="C116" i="50"/>
  <c r="N107" i="50"/>
  <c r="N106" i="50"/>
  <c r="N105" i="50"/>
  <c r="N104" i="50"/>
  <c r="N103" i="50"/>
  <c r="N102" i="50"/>
  <c r="N100" i="50"/>
  <c r="N99" i="50"/>
  <c r="N98" i="50"/>
  <c r="N77" i="50"/>
  <c r="N76" i="50"/>
  <c r="N75" i="50"/>
  <c r="N74" i="50"/>
  <c r="N73" i="50"/>
  <c r="N72" i="50"/>
  <c r="N71" i="50"/>
  <c r="N70" i="50"/>
  <c r="C50" i="50"/>
  <c r="C55" i="50"/>
  <c r="C56" i="50"/>
  <c r="N47" i="50"/>
  <c r="N46" i="50"/>
  <c r="N45" i="50"/>
  <c r="N44" i="50"/>
  <c r="N43" i="50"/>
  <c r="N42" i="50"/>
  <c r="N41" i="50"/>
  <c r="N40" i="50"/>
  <c r="N39" i="50"/>
  <c r="N38" i="50"/>
  <c r="C20" i="50"/>
  <c r="C25" i="50"/>
  <c r="C26" i="50"/>
  <c r="C58" i="49"/>
  <c r="C61" i="49"/>
  <c r="C62" i="49"/>
  <c r="K43" i="49"/>
  <c r="C92" i="49"/>
  <c r="C95" i="49"/>
  <c r="C93" i="49"/>
  <c r="C100" i="49"/>
  <c r="C96" i="49"/>
  <c r="C126" i="49"/>
  <c r="C129" i="49"/>
  <c r="C127" i="49"/>
  <c r="C134" i="49"/>
  <c r="C130" i="49"/>
  <c r="C131" i="49"/>
  <c r="C132" i="49"/>
  <c r="L122" i="49"/>
  <c r="L121" i="49"/>
  <c r="L120" i="49"/>
  <c r="L119" i="49"/>
  <c r="L118" i="49"/>
  <c r="L117" i="49"/>
  <c r="L116" i="49"/>
  <c r="L115" i="49"/>
  <c r="L114" i="49"/>
  <c r="L113" i="49"/>
  <c r="L112" i="49"/>
  <c r="L111" i="49"/>
  <c r="L110" i="49"/>
  <c r="C97" i="49"/>
  <c r="C98" i="49"/>
  <c r="L88" i="49"/>
  <c r="L87" i="49"/>
  <c r="L86" i="49"/>
  <c r="L85" i="49"/>
  <c r="L84" i="49"/>
  <c r="L83" i="49"/>
  <c r="L82" i="49"/>
  <c r="L81" i="49"/>
  <c r="L80" i="49"/>
  <c r="L79" i="49"/>
  <c r="L78" i="49"/>
  <c r="L77" i="49"/>
  <c r="L76" i="49"/>
  <c r="C63" i="49"/>
  <c r="C64" i="49"/>
  <c r="L54" i="49"/>
  <c r="L53" i="49"/>
  <c r="L52" i="49"/>
  <c r="L51" i="49"/>
  <c r="L50" i="49"/>
  <c r="L49" i="49"/>
  <c r="L48" i="49"/>
  <c r="L47" i="49"/>
  <c r="L46" i="49"/>
  <c r="L45" i="49"/>
  <c r="L44" i="49"/>
  <c r="L43" i="49"/>
  <c r="C18" i="48"/>
  <c r="C7" i="17"/>
  <c r="C13" i="17"/>
  <c r="C8" i="17"/>
  <c r="L14" i="50"/>
  <c r="L44" i="50"/>
  <c r="L74" i="50"/>
  <c r="L104" i="50"/>
  <c r="C30" i="18"/>
  <c r="C26" i="18"/>
  <c r="P107" i="44"/>
  <c r="P106" i="44"/>
  <c r="P105" i="44"/>
  <c r="P104" i="44"/>
  <c r="P103" i="44"/>
  <c r="P102" i="44"/>
  <c r="P101" i="44"/>
  <c r="P100" i="44"/>
  <c r="P99" i="44"/>
  <c r="P98" i="44"/>
  <c r="P77" i="44"/>
  <c r="P76" i="44"/>
  <c r="P75" i="44"/>
  <c r="P74" i="44"/>
  <c r="P73" i="44"/>
  <c r="P72" i="44"/>
  <c r="P71" i="44"/>
  <c r="P70" i="44"/>
  <c r="P69" i="44"/>
  <c r="P68" i="44"/>
  <c r="P47" i="44"/>
  <c r="P46" i="44"/>
  <c r="P45" i="44"/>
  <c r="P44" i="44"/>
  <c r="P43" i="44"/>
  <c r="P42" i="44"/>
  <c r="P41" i="44"/>
  <c r="P40" i="44"/>
  <c r="P39" i="44"/>
  <c r="P38" i="44"/>
  <c r="P9" i="44"/>
  <c r="P77" i="50"/>
  <c r="P76" i="50"/>
  <c r="P75" i="50"/>
  <c r="P74" i="50"/>
  <c r="P73" i="50"/>
  <c r="P72" i="50"/>
  <c r="P71" i="50"/>
  <c r="P70" i="50"/>
  <c r="P69" i="50"/>
  <c r="P68" i="50"/>
  <c r="P47" i="50"/>
  <c r="P40" i="50"/>
  <c r="P41" i="50"/>
  <c r="P42" i="50"/>
  <c r="P43" i="50"/>
  <c r="P44" i="50"/>
  <c r="P45" i="50"/>
  <c r="P46" i="50"/>
  <c r="P39" i="50"/>
  <c r="P38" i="50"/>
  <c r="P107" i="50"/>
  <c r="P100" i="50"/>
  <c r="P101" i="50"/>
  <c r="P102" i="50"/>
  <c r="P103" i="50"/>
  <c r="P104" i="50"/>
  <c r="P105" i="50"/>
  <c r="P106" i="50"/>
  <c r="P99" i="50"/>
  <c r="P98" i="50"/>
  <c r="C111" i="50"/>
  <c r="N110" i="43"/>
  <c r="C7" i="46"/>
  <c r="C13" i="46"/>
  <c r="C26" i="48"/>
  <c r="C22" i="48"/>
  <c r="C9" i="46"/>
  <c r="C23" i="48"/>
  <c r="C10" i="46"/>
  <c r="C24" i="48"/>
  <c r="P15" i="48"/>
  <c r="C33" i="56"/>
  <c r="P11" i="48"/>
  <c r="C30" i="56"/>
  <c r="P10" i="48"/>
  <c r="C32" i="56"/>
  <c r="P6" i="48"/>
  <c r="C31" i="56"/>
  <c r="P8" i="48"/>
  <c r="C29" i="56"/>
  <c r="P9" i="48"/>
  <c r="C21" i="48"/>
  <c r="C28" i="56"/>
  <c r="P13" i="48"/>
  <c r="C27" i="56"/>
  <c r="P14" i="48"/>
  <c r="C25" i="56"/>
  <c r="P7" i="48"/>
  <c r="C26" i="56"/>
  <c r="P12" i="48"/>
  <c r="C24" i="56"/>
  <c r="N17" i="47"/>
  <c r="C25" i="47"/>
  <c r="C26" i="47"/>
  <c r="C27" i="47"/>
  <c r="C28" i="47"/>
  <c r="C14" i="56"/>
  <c r="C30" i="47"/>
  <c r="N16" i="47"/>
  <c r="C10" i="56"/>
  <c r="N19" i="47"/>
  <c r="C13" i="56"/>
  <c r="N12" i="47"/>
  <c r="C9" i="56"/>
  <c r="N8" i="47"/>
  <c r="C6" i="56"/>
  <c r="N14" i="47"/>
  <c r="C5" i="56"/>
  <c r="C18" i="56"/>
  <c r="N7" i="47"/>
  <c r="C12" i="56"/>
  <c r="N13" i="47"/>
  <c r="C11" i="56"/>
  <c r="N15" i="47"/>
  <c r="C17" i="56"/>
  <c r="N11" i="47"/>
  <c r="C16" i="56"/>
  <c r="N10" i="47"/>
  <c r="C15" i="56"/>
  <c r="N18" i="47"/>
  <c r="C7" i="56"/>
  <c r="N9" i="47"/>
  <c r="C8" i="56"/>
  <c r="C113" i="50"/>
  <c r="C118" i="50"/>
  <c r="C114" i="50"/>
  <c r="C83" i="50"/>
  <c r="C81" i="50"/>
  <c r="C88" i="50"/>
  <c r="C84" i="50"/>
  <c r="C53" i="50"/>
  <c r="C51" i="50"/>
  <c r="C58" i="50"/>
  <c r="C54" i="50"/>
  <c r="C23" i="50"/>
  <c r="C21" i="50"/>
  <c r="C28" i="50"/>
  <c r="C24" i="50"/>
  <c r="C113" i="44"/>
  <c r="C111" i="44"/>
  <c r="C118" i="44"/>
  <c r="C114" i="44"/>
  <c r="C83" i="44"/>
  <c r="C81" i="44"/>
  <c r="C88" i="44"/>
  <c r="C84" i="44"/>
  <c r="C53" i="44"/>
  <c r="C51" i="44"/>
  <c r="C58" i="44"/>
  <c r="C54" i="44"/>
  <c r="C23" i="44"/>
  <c r="C21" i="44"/>
  <c r="C28" i="44"/>
  <c r="C24" i="44"/>
  <c r="C25" i="18"/>
  <c r="K7" i="18"/>
  <c r="C61" i="43"/>
  <c r="C59" i="43"/>
  <c r="C66" i="43"/>
  <c r="C62" i="43"/>
  <c r="K43" i="43"/>
  <c r="C12" i="17"/>
  <c r="K8" i="18"/>
  <c r="C9" i="17"/>
  <c r="C27" i="18"/>
  <c r="C10" i="17"/>
  <c r="C28" i="18"/>
  <c r="K18" i="18"/>
  <c r="J9" i="43"/>
  <c r="J10" i="43"/>
  <c r="J11" i="43"/>
  <c r="J12" i="43"/>
  <c r="J13" i="43"/>
  <c r="J14" i="43"/>
  <c r="J15" i="43"/>
  <c r="J16" i="43"/>
  <c r="J17" i="43"/>
  <c r="J18" i="43"/>
  <c r="J19" i="43"/>
  <c r="J20" i="43"/>
  <c r="J8" i="43"/>
  <c r="C27" i="43"/>
  <c r="C25" i="43"/>
  <c r="C32" i="43"/>
  <c r="C28" i="43"/>
  <c r="K9" i="43"/>
  <c r="K10" i="43"/>
  <c r="K11" i="43"/>
  <c r="M8" i="43"/>
  <c r="C24" i="49"/>
  <c r="C27" i="49"/>
  <c r="C25" i="49"/>
  <c r="C32" i="49"/>
  <c r="C28" i="49"/>
  <c r="C29" i="49"/>
  <c r="C30" i="49"/>
  <c r="J12" i="49"/>
  <c r="K12" i="49"/>
  <c r="M12" i="49"/>
  <c r="J13" i="49"/>
  <c r="K13" i="49"/>
  <c r="M13" i="49"/>
  <c r="J14" i="49"/>
  <c r="K14" i="49"/>
  <c r="M14" i="49"/>
  <c r="J15" i="49"/>
  <c r="K15" i="49"/>
  <c r="M15" i="49"/>
  <c r="J16" i="49"/>
  <c r="K16" i="49"/>
  <c r="M16" i="49"/>
  <c r="J17" i="49"/>
  <c r="K17" i="49"/>
  <c r="M17" i="49"/>
  <c r="J18" i="49"/>
  <c r="K18" i="49"/>
  <c r="M18" i="49"/>
  <c r="J19" i="49"/>
  <c r="K19" i="49"/>
  <c r="M19" i="49"/>
  <c r="J20" i="49"/>
  <c r="K20" i="49"/>
  <c r="M20" i="49"/>
  <c r="N12" i="49"/>
  <c r="O12" i="49"/>
  <c r="N13" i="49"/>
  <c r="O13" i="49"/>
  <c r="N14" i="49"/>
  <c r="O14" i="49"/>
  <c r="N15" i="49"/>
  <c r="O15" i="49"/>
  <c r="N16" i="49"/>
  <c r="O16" i="49"/>
  <c r="N17" i="49"/>
  <c r="O17" i="49"/>
  <c r="N18" i="49"/>
  <c r="O18" i="49"/>
  <c r="N18" i="53"/>
  <c r="M18" i="53"/>
  <c r="L18" i="53"/>
  <c r="C22" i="18"/>
  <c r="C59" i="49"/>
  <c r="C16" i="46"/>
  <c r="C29" i="48"/>
  <c r="C15" i="46"/>
  <c r="C28" i="48"/>
  <c r="C14" i="46"/>
  <c r="C27" i="48"/>
  <c r="C33" i="47"/>
  <c r="C32" i="47"/>
  <c r="C31" i="47"/>
  <c r="C23" i="47"/>
  <c r="N17" i="18"/>
  <c r="J17" i="18"/>
  <c r="M17" i="18"/>
  <c r="O17" i="18"/>
  <c r="N16" i="18"/>
  <c r="K16" i="18"/>
  <c r="J16" i="18"/>
  <c r="M16" i="18"/>
  <c r="O16" i="18"/>
  <c r="N6" i="18"/>
  <c r="N19" i="18"/>
  <c r="N12" i="18"/>
  <c r="K12" i="18"/>
  <c r="J12" i="18"/>
  <c r="M12" i="18"/>
  <c r="O12" i="18"/>
  <c r="N8" i="18"/>
  <c r="J8" i="18"/>
  <c r="M8" i="18"/>
  <c r="O8" i="18"/>
  <c r="N14" i="18"/>
  <c r="K14" i="18"/>
  <c r="J14" i="18"/>
  <c r="M14" i="18"/>
  <c r="O14" i="18"/>
  <c r="J6" i="18"/>
  <c r="M6" i="18"/>
  <c r="O6" i="18"/>
  <c r="N7" i="18"/>
  <c r="J7" i="18"/>
  <c r="M7" i="18"/>
  <c r="O7" i="18"/>
  <c r="N13" i="18"/>
  <c r="K13" i="18"/>
  <c r="J13" i="18"/>
  <c r="M13" i="18"/>
  <c r="O13" i="18"/>
  <c r="N15" i="18"/>
  <c r="K15" i="18"/>
  <c r="J15" i="18"/>
  <c r="M15" i="18"/>
  <c r="O15" i="18"/>
  <c r="N11" i="18"/>
  <c r="K11" i="18"/>
  <c r="J11" i="18"/>
  <c r="M11" i="18"/>
  <c r="O11" i="18"/>
  <c r="N10" i="18"/>
  <c r="K10" i="18"/>
  <c r="J10" i="18"/>
  <c r="M10" i="18"/>
  <c r="O10" i="18"/>
  <c r="N18" i="18"/>
  <c r="J18" i="18"/>
  <c r="M18" i="18"/>
  <c r="O18" i="18"/>
  <c r="N9" i="18"/>
  <c r="K9" i="18"/>
  <c r="J9" i="18"/>
  <c r="M9" i="18"/>
  <c r="O9" i="18"/>
  <c r="C121" i="50"/>
  <c r="C120" i="50"/>
  <c r="C119" i="50"/>
  <c r="L98" i="50"/>
  <c r="O98" i="50"/>
  <c r="Q98" i="50"/>
  <c r="L99" i="50"/>
  <c r="M99" i="50"/>
  <c r="O99" i="50"/>
  <c r="Q99" i="50"/>
  <c r="L100" i="50"/>
  <c r="O100" i="50"/>
  <c r="Q100" i="50"/>
  <c r="L101" i="50"/>
  <c r="M101" i="50"/>
  <c r="O101" i="50"/>
  <c r="Q101" i="50"/>
  <c r="L102" i="50"/>
  <c r="M102" i="50"/>
  <c r="O102" i="50"/>
  <c r="Q102" i="50"/>
  <c r="L103" i="50"/>
  <c r="M103" i="50"/>
  <c r="O103" i="50"/>
  <c r="Q103" i="50"/>
  <c r="M104" i="50"/>
  <c r="O104" i="50"/>
  <c r="Q104" i="50"/>
  <c r="L105" i="50"/>
  <c r="M105" i="50"/>
  <c r="O105" i="50"/>
  <c r="Q105" i="50"/>
  <c r="L106" i="50"/>
  <c r="M106" i="50"/>
  <c r="O106" i="50"/>
  <c r="Q106" i="50"/>
  <c r="L107" i="50"/>
  <c r="M107" i="50"/>
  <c r="O107" i="50"/>
  <c r="Q107" i="50"/>
  <c r="Q110" i="50"/>
  <c r="Q109" i="50"/>
  <c r="Q108" i="50"/>
  <c r="C91" i="50"/>
  <c r="C90" i="50"/>
  <c r="C89" i="50"/>
  <c r="L68" i="50"/>
  <c r="O68" i="50"/>
  <c r="Q68" i="50"/>
  <c r="L69" i="50"/>
  <c r="M69" i="50"/>
  <c r="O69" i="50"/>
  <c r="Q69" i="50"/>
  <c r="L70" i="50"/>
  <c r="O70" i="50"/>
  <c r="Q70" i="50"/>
  <c r="L71" i="50"/>
  <c r="M71" i="50"/>
  <c r="O71" i="50"/>
  <c r="Q71" i="50"/>
  <c r="L72" i="50"/>
  <c r="M72" i="50"/>
  <c r="O72" i="50"/>
  <c r="Q72" i="50"/>
  <c r="L73" i="50"/>
  <c r="M73" i="50"/>
  <c r="O73" i="50"/>
  <c r="Q73" i="50"/>
  <c r="M74" i="50"/>
  <c r="O74" i="50"/>
  <c r="Q74" i="50"/>
  <c r="L75" i="50"/>
  <c r="M75" i="50"/>
  <c r="O75" i="50"/>
  <c r="Q75" i="50"/>
  <c r="L76" i="50"/>
  <c r="M76" i="50"/>
  <c r="O76" i="50"/>
  <c r="Q76" i="50"/>
  <c r="L77" i="50"/>
  <c r="M77" i="50"/>
  <c r="O77" i="50"/>
  <c r="Q77" i="50"/>
  <c r="Q80" i="50"/>
  <c r="Q79" i="50"/>
  <c r="Q78" i="50"/>
  <c r="C61" i="50"/>
  <c r="C60" i="50"/>
  <c r="C59" i="50"/>
  <c r="L38" i="50"/>
  <c r="O38" i="50"/>
  <c r="Q38" i="50"/>
  <c r="L39" i="50"/>
  <c r="M39" i="50"/>
  <c r="O39" i="50"/>
  <c r="Q39" i="50"/>
  <c r="L40" i="50"/>
  <c r="O40" i="50"/>
  <c r="Q40" i="50"/>
  <c r="L41" i="50"/>
  <c r="M41" i="50"/>
  <c r="O41" i="50"/>
  <c r="Q41" i="50"/>
  <c r="L42" i="50"/>
  <c r="M42" i="50"/>
  <c r="O42" i="50"/>
  <c r="Q42" i="50"/>
  <c r="L43" i="50"/>
  <c r="M43" i="50"/>
  <c r="O43" i="50"/>
  <c r="Q43" i="50"/>
  <c r="M44" i="50"/>
  <c r="L45" i="50"/>
  <c r="M45" i="50"/>
  <c r="O45" i="50"/>
  <c r="Q45" i="50"/>
  <c r="L46" i="50"/>
  <c r="M46" i="50"/>
  <c r="O46" i="50"/>
  <c r="Q46" i="50"/>
  <c r="L47" i="50"/>
  <c r="M47" i="50"/>
  <c r="O47" i="50"/>
  <c r="Q47" i="50"/>
  <c r="C31" i="50"/>
  <c r="C30" i="50"/>
  <c r="C29" i="50"/>
  <c r="P8" i="50"/>
  <c r="L8" i="50"/>
  <c r="O8" i="50"/>
  <c r="Q8" i="50"/>
  <c r="P9" i="50"/>
  <c r="L9" i="50"/>
  <c r="M9" i="50"/>
  <c r="O9" i="50"/>
  <c r="Q9" i="50"/>
  <c r="P10" i="50"/>
  <c r="L10" i="50"/>
  <c r="O10" i="50"/>
  <c r="Q10" i="50"/>
  <c r="P11" i="50"/>
  <c r="L11" i="50"/>
  <c r="M11" i="50"/>
  <c r="O11" i="50"/>
  <c r="Q11" i="50"/>
  <c r="P12" i="50"/>
  <c r="L12" i="50"/>
  <c r="M12" i="50"/>
  <c r="O12" i="50"/>
  <c r="Q12" i="50"/>
  <c r="P13" i="50"/>
  <c r="L13" i="50"/>
  <c r="M13" i="50"/>
  <c r="O13" i="50"/>
  <c r="Q13" i="50"/>
  <c r="P14" i="50"/>
  <c r="M14" i="50"/>
  <c r="O14" i="50"/>
  <c r="Q14" i="50"/>
  <c r="P15" i="50"/>
  <c r="L15" i="50"/>
  <c r="M15" i="50"/>
  <c r="O15" i="50"/>
  <c r="Q15" i="50"/>
  <c r="P16" i="50"/>
  <c r="L16" i="50"/>
  <c r="M16" i="50"/>
  <c r="O16" i="50"/>
  <c r="Q16" i="50"/>
  <c r="P17" i="50"/>
  <c r="L17" i="50"/>
  <c r="M17" i="50"/>
  <c r="O17" i="50"/>
  <c r="Q17" i="50"/>
  <c r="Q20" i="50"/>
  <c r="Q19" i="50"/>
  <c r="Q18" i="50"/>
  <c r="C137" i="49"/>
  <c r="C136" i="49"/>
  <c r="C135" i="49"/>
  <c r="N110" i="49"/>
  <c r="J110" i="49"/>
  <c r="M110" i="49"/>
  <c r="O110" i="49"/>
  <c r="N111" i="49"/>
  <c r="J111" i="49"/>
  <c r="K111" i="49"/>
  <c r="M111" i="49"/>
  <c r="O111" i="49"/>
  <c r="N112" i="49"/>
  <c r="J112" i="49"/>
  <c r="K112" i="49"/>
  <c r="M112" i="49"/>
  <c r="O112" i="49"/>
  <c r="N113" i="49"/>
  <c r="J113" i="49"/>
  <c r="K113" i="49"/>
  <c r="M113" i="49"/>
  <c r="O113" i="49"/>
  <c r="N114" i="49"/>
  <c r="J114" i="49"/>
  <c r="K114" i="49"/>
  <c r="M114" i="49"/>
  <c r="O114" i="49"/>
  <c r="N115" i="49"/>
  <c r="J115" i="49"/>
  <c r="K115" i="49"/>
  <c r="M115" i="49"/>
  <c r="O115" i="49"/>
  <c r="N116" i="49"/>
  <c r="J116" i="49"/>
  <c r="K116" i="49"/>
  <c r="M116" i="49"/>
  <c r="O116" i="49"/>
  <c r="N117" i="49"/>
  <c r="J117" i="49"/>
  <c r="K117" i="49"/>
  <c r="M117" i="49"/>
  <c r="O117" i="49"/>
  <c r="N118" i="49"/>
  <c r="J118" i="49"/>
  <c r="K118" i="49"/>
  <c r="M118" i="49"/>
  <c r="O118" i="49"/>
  <c r="N119" i="49"/>
  <c r="J119" i="49"/>
  <c r="K119" i="49"/>
  <c r="M119" i="49"/>
  <c r="O119" i="49"/>
  <c r="N120" i="49"/>
  <c r="J120" i="49"/>
  <c r="K120" i="49"/>
  <c r="M120" i="49"/>
  <c r="O120" i="49"/>
  <c r="N121" i="49"/>
  <c r="J121" i="49"/>
  <c r="K121" i="49"/>
  <c r="M121" i="49"/>
  <c r="O121" i="49"/>
  <c r="N122" i="49"/>
  <c r="J122" i="49"/>
  <c r="K122" i="49"/>
  <c r="M122" i="49"/>
  <c r="O122" i="49"/>
  <c r="N123" i="49"/>
  <c r="O126" i="49"/>
  <c r="O125" i="49"/>
  <c r="O124" i="49"/>
  <c r="C103" i="49"/>
  <c r="C102" i="49"/>
  <c r="C101" i="49"/>
  <c r="N76" i="49"/>
  <c r="J76" i="49"/>
  <c r="M76" i="49"/>
  <c r="O76" i="49"/>
  <c r="N77" i="49"/>
  <c r="J77" i="49"/>
  <c r="K77" i="49"/>
  <c r="M77" i="49"/>
  <c r="O77" i="49"/>
  <c r="N78" i="49"/>
  <c r="J78" i="49"/>
  <c r="K78" i="49"/>
  <c r="M78" i="49"/>
  <c r="O78" i="49"/>
  <c r="N79" i="49"/>
  <c r="J79" i="49"/>
  <c r="K79" i="49"/>
  <c r="M79" i="49"/>
  <c r="O79" i="49"/>
  <c r="N80" i="49"/>
  <c r="J80" i="49"/>
  <c r="K80" i="49"/>
  <c r="M80" i="49"/>
  <c r="O80" i="49"/>
  <c r="N81" i="49"/>
  <c r="J81" i="49"/>
  <c r="K81" i="49"/>
  <c r="M81" i="49"/>
  <c r="O81" i="49"/>
  <c r="N82" i="49"/>
  <c r="J82" i="49"/>
  <c r="K82" i="49"/>
  <c r="M82" i="49"/>
  <c r="O82" i="49"/>
  <c r="N83" i="49"/>
  <c r="J83" i="49"/>
  <c r="K83" i="49"/>
  <c r="M83" i="49"/>
  <c r="O83" i="49"/>
  <c r="N84" i="49"/>
  <c r="J84" i="49"/>
  <c r="K84" i="49"/>
  <c r="M84" i="49"/>
  <c r="O84" i="49"/>
  <c r="N85" i="49"/>
  <c r="J85" i="49"/>
  <c r="K85" i="49"/>
  <c r="M85" i="49"/>
  <c r="O85" i="49"/>
  <c r="N86" i="49"/>
  <c r="J86" i="49"/>
  <c r="K86" i="49"/>
  <c r="M86" i="49"/>
  <c r="O86" i="49"/>
  <c r="N87" i="49"/>
  <c r="J87" i="49"/>
  <c r="K87" i="49"/>
  <c r="M87" i="49"/>
  <c r="O87" i="49"/>
  <c r="N88" i="49"/>
  <c r="J88" i="49"/>
  <c r="K88" i="49"/>
  <c r="M88" i="49"/>
  <c r="O88" i="49"/>
  <c r="N89" i="49"/>
  <c r="O92" i="49"/>
  <c r="O91" i="49"/>
  <c r="O90" i="49"/>
  <c r="C69" i="49"/>
  <c r="C68" i="49"/>
  <c r="C67" i="49"/>
  <c r="C66" i="49"/>
  <c r="N42" i="49"/>
  <c r="J42" i="49"/>
  <c r="M42" i="49"/>
  <c r="O42" i="49"/>
  <c r="N43" i="49"/>
  <c r="J43" i="49"/>
  <c r="M43" i="49"/>
  <c r="O43" i="49"/>
  <c r="N44" i="49"/>
  <c r="J44" i="49"/>
  <c r="K44" i="49"/>
  <c r="M44" i="49"/>
  <c r="O44" i="49"/>
  <c r="N45" i="49"/>
  <c r="J45" i="49"/>
  <c r="K45" i="49"/>
  <c r="M45" i="49"/>
  <c r="O45" i="49"/>
  <c r="N46" i="49"/>
  <c r="J46" i="49"/>
  <c r="K46" i="49"/>
  <c r="M46" i="49"/>
  <c r="O46" i="49"/>
  <c r="N47" i="49"/>
  <c r="J47" i="49"/>
  <c r="K47" i="49"/>
  <c r="M47" i="49"/>
  <c r="O47" i="49"/>
  <c r="N48" i="49"/>
  <c r="J48" i="49"/>
  <c r="K48" i="49"/>
  <c r="M48" i="49"/>
  <c r="O48" i="49"/>
  <c r="N49" i="49"/>
  <c r="J49" i="49"/>
  <c r="K49" i="49"/>
  <c r="M49" i="49"/>
  <c r="O49" i="49"/>
  <c r="N50" i="49"/>
  <c r="J50" i="49"/>
  <c r="K50" i="49"/>
  <c r="M50" i="49"/>
  <c r="O50" i="49"/>
  <c r="N51" i="49"/>
  <c r="J51" i="49"/>
  <c r="K51" i="49"/>
  <c r="M51" i="49"/>
  <c r="O51" i="49"/>
  <c r="N52" i="49"/>
  <c r="J52" i="49"/>
  <c r="K52" i="49"/>
  <c r="M52" i="49"/>
  <c r="O52" i="49"/>
  <c r="N53" i="49"/>
  <c r="J53" i="49"/>
  <c r="K53" i="49"/>
  <c r="M53" i="49"/>
  <c r="O53" i="49"/>
  <c r="N54" i="49"/>
  <c r="J54" i="49"/>
  <c r="K54" i="49"/>
  <c r="M54" i="49"/>
  <c r="O54" i="49"/>
  <c r="N55" i="49"/>
  <c r="O58" i="49"/>
  <c r="O57" i="49"/>
  <c r="O56" i="49"/>
  <c r="C35" i="49"/>
  <c r="C34" i="49"/>
  <c r="C33" i="49"/>
  <c r="N19" i="49"/>
  <c r="O19" i="49"/>
  <c r="N20" i="49"/>
  <c r="O20" i="49"/>
  <c r="N21" i="49"/>
  <c r="O24" i="49"/>
  <c r="O23" i="49"/>
  <c r="O22" i="49"/>
  <c r="C12" i="46"/>
  <c r="C121" i="44"/>
  <c r="C119" i="44"/>
  <c r="C120" i="44"/>
  <c r="C91" i="44"/>
  <c r="C89" i="44"/>
  <c r="C90" i="44"/>
  <c r="C61" i="44"/>
  <c r="C59" i="44"/>
  <c r="C60" i="44"/>
  <c r="C31" i="44"/>
  <c r="C29" i="44"/>
  <c r="C30" i="44"/>
  <c r="L98" i="44"/>
  <c r="O98" i="44"/>
  <c r="Q98" i="44"/>
  <c r="L99" i="44"/>
  <c r="M99" i="44"/>
  <c r="O99" i="44"/>
  <c r="Q99" i="44"/>
  <c r="L100" i="44"/>
  <c r="O100" i="44"/>
  <c r="Q100" i="44"/>
  <c r="L101" i="44"/>
  <c r="M101" i="44"/>
  <c r="O101" i="44"/>
  <c r="Q101" i="44"/>
  <c r="L102" i="44"/>
  <c r="M102" i="44"/>
  <c r="O102" i="44"/>
  <c r="Q102" i="44"/>
  <c r="L103" i="44"/>
  <c r="M103" i="44"/>
  <c r="O103" i="44"/>
  <c r="Q103" i="44"/>
  <c r="L104" i="44"/>
  <c r="M104" i="44"/>
  <c r="O104" i="44"/>
  <c r="Q104" i="44"/>
  <c r="L105" i="44"/>
  <c r="M105" i="44"/>
  <c r="O105" i="44"/>
  <c r="Q105" i="44"/>
  <c r="L106" i="44"/>
  <c r="M106" i="44"/>
  <c r="O106" i="44"/>
  <c r="Q106" i="44"/>
  <c r="L107" i="44"/>
  <c r="M107" i="44"/>
  <c r="O107" i="44"/>
  <c r="Q107" i="44"/>
  <c r="Q110" i="44"/>
  <c r="Q109" i="44"/>
  <c r="Q108" i="44"/>
  <c r="L68" i="44"/>
  <c r="O68" i="44"/>
  <c r="Q68" i="44"/>
  <c r="L69" i="44"/>
  <c r="M69" i="44"/>
  <c r="O69" i="44"/>
  <c r="Q69" i="44"/>
  <c r="L70" i="44"/>
  <c r="O70" i="44"/>
  <c r="Q70" i="44"/>
  <c r="L71" i="44"/>
  <c r="M71" i="44"/>
  <c r="O71" i="44"/>
  <c r="Q71" i="44"/>
  <c r="L72" i="44"/>
  <c r="M72" i="44"/>
  <c r="O72" i="44"/>
  <c r="Q72" i="44"/>
  <c r="L73" i="44"/>
  <c r="M73" i="44"/>
  <c r="O73" i="44"/>
  <c r="Q73" i="44"/>
  <c r="L74" i="44"/>
  <c r="M74" i="44"/>
  <c r="O74" i="44"/>
  <c r="Q74" i="44"/>
  <c r="L75" i="44"/>
  <c r="M75" i="44"/>
  <c r="O75" i="44"/>
  <c r="Q75" i="44"/>
  <c r="L76" i="44"/>
  <c r="M76" i="44"/>
  <c r="O76" i="44"/>
  <c r="Q76" i="44"/>
  <c r="L77" i="44"/>
  <c r="M77" i="44"/>
  <c r="O77" i="44"/>
  <c r="Q77" i="44"/>
  <c r="Q80" i="44"/>
  <c r="Q79" i="44"/>
  <c r="Q78" i="44"/>
  <c r="L38" i="44"/>
  <c r="O38" i="44"/>
  <c r="Q38" i="44"/>
  <c r="L39" i="44"/>
  <c r="M39" i="44"/>
  <c r="O39" i="44"/>
  <c r="Q39" i="44"/>
  <c r="L40" i="44"/>
  <c r="O40" i="44"/>
  <c r="Q40" i="44"/>
  <c r="L41" i="44"/>
  <c r="M41" i="44"/>
  <c r="O41" i="44"/>
  <c r="Q41" i="44"/>
  <c r="L42" i="44"/>
  <c r="M42" i="44"/>
  <c r="O42" i="44"/>
  <c r="Q42" i="44"/>
  <c r="L43" i="44"/>
  <c r="M43" i="44"/>
  <c r="O43" i="44"/>
  <c r="Q43" i="44"/>
  <c r="L44" i="44"/>
  <c r="M44" i="44"/>
  <c r="O44" i="44"/>
  <c r="Q44" i="44"/>
  <c r="L45" i="44"/>
  <c r="M45" i="44"/>
  <c r="O45" i="44"/>
  <c r="Q45" i="44"/>
  <c r="L46" i="44"/>
  <c r="M46" i="44"/>
  <c r="O46" i="44"/>
  <c r="Q46" i="44"/>
  <c r="L47" i="44"/>
  <c r="M47" i="44"/>
  <c r="O47" i="44"/>
  <c r="Q47" i="44"/>
  <c r="Q50" i="44"/>
  <c r="Q49" i="44"/>
  <c r="Q48" i="44"/>
  <c r="P8" i="44"/>
  <c r="L8" i="44"/>
  <c r="O8" i="44"/>
  <c r="Q8" i="44"/>
  <c r="L9" i="44"/>
  <c r="M9" i="44"/>
  <c r="O9" i="44"/>
  <c r="Q9" i="44"/>
  <c r="P10" i="44"/>
  <c r="L10" i="44"/>
  <c r="O10" i="44"/>
  <c r="Q10" i="44"/>
  <c r="P11" i="44"/>
  <c r="L11" i="44"/>
  <c r="M11" i="44"/>
  <c r="O11" i="44"/>
  <c r="Q11" i="44"/>
  <c r="P12" i="44"/>
  <c r="L12" i="44"/>
  <c r="M12" i="44"/>
  <c r="O12" i="44"/>
  <c r="Q12" i="44"/>
  <c r="P13" i="44"/>
  <c r="L13" i="44"/>
  <c r="M13" i="44"/>
  <c r="O13" i="44"/>
  <c r="Q13" i="44"/>
  <c r="P14" i="44"/>
  <c r="L14" i="44"/>
  <c r="M14" i="44"/>
  <c r="O14" i="44"/>
  <c r="Q14" i="44"/>
  <c r="P15" i="44"/>
  <c r="L15" i="44"/>
  <c r="M15" i="44"/>
  <c r="O15" i="44"/>
  <c r="Q15" i="44"/>
  <c r="P16" i="44"/>
  <c r="L16" i="44"/>
  <c r="M16" i="44"/>
  <c r="O16" i="44"/>
  <c r="Q16" i="44"/>
  <c r="P17" i="44"/>
  <c r="L17" i="44"/>
  <c r="M17" i="44"/>
  <c r="O17" i="44"/>
  <c r="Q17" i="44"/>
  <c r="Q20" i="44"/>
  <c r="Q19" i="44"/>
  <c r="Q18" i="44"/>
  <c r="N123" i="43"/>
  <c r="N122" i="43"/>
  <c r="N112" i="43"/>
  <c r="N113" i="43"/>
  <c r="N114" i="43"/>
  <c r="N115" i="43"/>
  <c r="N116" i="43"/>
  <c r="N117" i="43"/>
  <c r="N118" i="43"/>
  <c r="N119" i="43"/>
  <c r="N120" i="43"/>
  <c r="N121" i="43"/>
  <c r="N111" i="43"/>
  <c r="N89" i="43"/>
  <c r="N78" i="43"/>
  <c r="N79" i="43"/>
  <c r="N80" i="43"/>
  <c r="N81" i="43"/>
  <c r="N82" i="43"/>
  <c r="N83" i="43"/>
  <c r="N84" i="43"/>
  <c r="N85" i="43"/>
  <c r="N86" i="43"/>
  <c r="N87" i="43"/>
  <c r="N88" i="43"/>
  <c r="N76" i="43"/>
  <c r="N77" i="43"/>
  <c r="N55" i="43"/>
  <c r="N44" i="43"/>
  <c r="N45" i="43"/>
  <c r="N46" i="43"/>
  <c r="N47" i="43"/>
  <c r="N48" i="43"/>
  <c r="N49" i="43"/>
  <c r="N50" i="43"/>
  <c r="N51" i="43"/>
  <c r="N52" i="43"/>
  <c r="N53" i="43"/>
  <c r="N54" i="43"/>
  <c r="N43" i="43"/>
  <c r="N42" i="43"/>
  <c r="N8" i="43"/>
  <c r="C127" i="43"/>
  <c r="C137" i="43"/>
  <c r="C130" i="43"/>
  <c r="C135" i="43"/>
  <c r="C136" i="43"/>
  <c r="C129" i="43"/>
  <c r="C134" i="43"/>
  <c r="C93" i="43"/>
  <c r="C103" i="43"/>
  <c r="C96" i="43"/>
  <c r="C101" i="43"/>
  <c r="C102" i="43"/>
  <c r="C95" i="43"/>
  <c r="C100" i="43"/>
  <c r="C69" i="43"/>
  <c r="C67" i="43"/>
  <c r="C68" i="43"/>
  <c r="C33" i="43"/>
  <c r="C34" i="43"/>
  <c r="C35" i="43"/>
  <c r="J110" i="43"/>
  <c r="M110" i="43"/>
  <c r="O110" i="43"/>
  <c r="J111" i="43"/>
  <c r="K111" i="43"/>
  <c r="M111" i="43"/>
  <c r="O111" i="43"/>
  <c r="J112" i="43"/>
  <c r="K112" i="43"/>
  <c r="M112" i="43"/>
  <c r="O112" i="43"/>
  <c r="J113" i="43"/>
  <c r="K113" i="43"/>
  <c r="M113" i="43"/>
  <c r="O113" i="43"/>
  <c r="J114" i="43"/>
  <c r="K114" i="43"/>
  <c r="M114" i="43"/>
  <c r="O114" i="43"/>
  <c r="J115" i="43"/>
  <c r="K115" i="43"/>
  <c r="M115" i="43"/>
  <c r="O115" i="43"/>
  <c r="J116" i="43"/>
  <c r="K116" i="43"/>
  <c r="M116" i="43"/>
  <c r="O116" i="43"/>
  <c r="J117" i="43"/>
  <c r="K117" i="43"/>
  <c r="M117" i="43"/>
  <c r="O117" i="43"/>
  <c r="J118" i="43"/>
  <c r="K118" i="43"/>
  <c r="M118" i="43"/>
  <c r="O118" i="43"/>
  <c r="J119" i="43"/>
  <c r="K119" i="43"/>
  <c r="M119" i="43"/>
  <c r="O119" i="43"/>
  <c r="J120" i="43"/>
  <c r="K120" i="43"/>
  <c r="M120" i="43"/>
  <c r="O120" i="43"/>
  <c r="J121" i="43"/>
  <c r="K121" i="43"/>
  <c r="M121" i="43"/>
  <c r="O121" i="43"/>
  <c r="J122" i="43"/>
  <c r="K122" i="43"/>
  <c r="M122" i="43"/>
  <c r="O122" i="43"/>
  <c r="O126" i="43"/>
  <c r="O125" i="43"/>
  <c r="O124" i="43"/>
  <c r="J76" i="43"/>
  <c r="M76" i="43"/>
  <c r="O76" i="43"/>
  <c r="J77" i="43"/>
  <c r="K77" i="43"/>
  <c r="M77" i="43"/>
  <c r="O77" i="43"/>
  <c r="J78" i="43"/>
  <c r="K78" i="43"/>
  <c r="M78" i="43"/>
  <c r="O78" i="43"/>
  <c r="J79" i="43"/>
  <c r="K79" i="43"/>
  <c r="M79" i="43"/>
  <c r="O79" i="43"/>
  <c r="J80" i="43"/>
  <c r="K80" i="43"/>
  <c r="M80" i="43"/>
  <c r="O80" i="43"/>
  <c r="J81" i="43"/>
  <c r="K81" i="43"/>
  <c r="M81" i="43"/>
  <c r="O81" i="43"/>
  <c r="J82" i="43"/>
  <c r="K82" i="43"/>
  <c r="M82" i="43"/>
  <c r="O82" i="43"/>
  <c r="J83" i="43"/>
  <c r="K83" i="43"/>
  <c r="M83" i="43"/>
  <c r="O83" i="43"/>
  <c r="J84" i="43"/>
  <c r="K84" i="43"/>
  <c r="M84" i="43"/>
  <c r="O84" i="43"/>
  <c r="J85" i="43"/>
  <c r="K85" i="43"/>
  <c r="M85" i="43"/>
  <c r="O85" i="43"/>
  <c r="J86" i="43"/>
  <c r="K86" i="43"/>
  <c r="M86" i="43"/>
  <c r="O86" i="43"/>
  <c r="J87" i="43"/>
  <c r="K87" i="43"/>
  <c r="M87" i="43"/>
  <c r="O87" i="43"/>
  <c r="J88" i="43"/>
  <c r="K88" i="43"/>
  <c r="M88" i="43"/>
  <c r="O88" i="43"/>
  <c r="O92" i="43"/>
  <c r="O91" i="43"/>
  <c r="O90" i="43"/>
  <c r="J42" i="43"/>
  <c r="M42" i="43"/>
  <c r="O42" i="43"/>
  <c r="J43" i="43"/>
  <c r="M43" i="43"/>
  <c r="O43" i="43"/>
  <c r="J44" i="43"/>
  <c r="K44" i="43"/>
  <c r="M44" i="43"/>
  <c r="O44" i="43"/>
  <c r="J45" i="43"/>
  <c r="K45" i="43"/>
  <c r="M45" i="43"/>
  <c r="O45" i="43"/>
  <c r="J46" i="43"/>
  <c r="K46" i="43"/>
  <c r="M46" i="43"/>
  <c r="O46" i="43"/>
  <c r="J47" i="43"/>
  <c r="K47" i="43"/>
  <c r="M47" i="43"/>
  <c r="O47" i="43"/>
  <c r="J48" i="43"/>
  <c r="K48" i="43"/>
  <c r="M48" i="43"/>
  <c r="O48" i="43"/>
  <c r="J49" i="43"/>
  <c r="K49" i="43"/>
  <c r="M49" i="43"/>
  <c r="O49" i="43"/>
  <c r="J50" i="43"/>
  <c r="K50" i="43"/>
  <c r="M50" i="43"/>
  <c r="O50" i="43"/>
  <c r="J51" i="43"/>
  <c r="K51" i="43"/>
  <c r="M51" i="43"/>
  <c r="O51" i="43"/>
  <c r="J52" i="43"/>
  <c r="K52" i="43"/>
  <c r="M52" i="43"/>
  <c r="O52" i="43"/>
  <c r="J53" i="43"/>
  <c r="K53" i="43"/>
  <c r="M53" i="43"/>
  <c r="O53" i="43"/>
  <c r="J54" i="43"/>
  <c r="K54" i="43"/>
  <c r="M54" i="43"/>
  <c r="O54" i="43"/>
  <c r="O58" i="43"/>
  <c r="O57" i="43"/>
  <c r="O56" i="43"/>
  <c r="O8" i="43"/>
  <c r="N9" i="43"/>
  <c r="M9" i="43"/>
  <c r="O9" i="43"/>
  <c r="N10" i="43"/>
  <c r="M10" i="43"/>
  <c r="O10" i="43"/>
  <c r="N11" i="43"/>
  <c r="M11" i="43"/>
  <c r="O11" i="43"/>
  <c r="N12" i="43"/>
  <c r="K12" i="43"/>
  <c r="M12" i="43"/>
  <c r="O12" i="43"/>
  <c r="N13" i="43"/>
  <c r="K13" i="43"/>
  <c r="M13" i="43"/>
  <c r="O13" i="43"/>
  <c r="N14" i="43"/>
  <c r="K14" i="43"/>
  <c r="M14" i="43"/>
  <c r="O14" i="43"/>
  <c r="N15" i="43"/>
  <c r="K15" i="43"/>
  <c r="M15" i="43"/>
  <c r="O15" i="43"/>
  <c r="N16" i="43"/>
  <c r="K16" i="43"/>
  <c r="M16" i="43"/>
  <c r="O16" i="43"/>
  <c r="N17" i="43"/>
  <c r="K17" i="43"/>
  <c r="M17" i="43"/>
  <c r="O17" i="43"/>
  <c r="N18" i="43"/>
  <c r="K18" i="43"/>
  <c r="M18" i="43"/>
  <c r="O18" i="43"/>
  <c r="N19" i="43"/>
  <c r="K19" i="43"/>
  <c r="M19" i="43"/>
  <c r="O19" i="43"/>
  <c r="N20" i="43"/>
  <c r="K20" i="43"/>
  <c r="M20" i="43"/>
  <c r="O20" i="43"/>
  <c r="N21" i="43"/>
  <c r="O24" i="43"/>
  <c r="O23" i="43"/>
  <c r="O22" i="43"/>
  <c r="C14" i="17"/>
  <c r="O20" i="18"/>
  <c r="C16" i="17"/>
  <c r="C15" i="17"/>
  <c r="C33" i="18"/>
  <c r="C32" i="18"/>
  <c r="C31" i="18"/>
  <c r="C23" i="18"/>
  <c r="C7" i="20"/>
  <c r="C8" i="20"/>
  <c r="C10" i="20"/>
  <c r="C9" i="20"/>
  <c r="C13" i="20"/>
  <c r="C11" i="20"/>
  <c r="C5" i="20"/>
  <c r="C6" i="20"/>
  <c r="C14" i="20"/>
  <c r="C18" i="20"/>
  <c r="C17" i="20"/>
  <c r="C16" i="20"/>
  <c r="C12" i="20"/>
  <c r="O22" i="18"/>
  <c r="C15" i="20"/>
  <c r="O21" i="18"/>
  <c r="O44" i="50"/>
  <c r="Q44" i="50"/>
  <c r="Q50" i="50"/>
  <c r="Q49" i="50"/>
  <c r="Q48" i="50"/>
</calcChain>
</file>

<file path=xl/comments1.xml><?xml version="1.0" encoding="utf-8"?>
<comments xmlns="http://schemas.openxmlformats.org/spreadsheetml/2006/main">
  <authors>
    <author>Author</author>
  </authors>
  <commentList>
    <comment ref="G3" authorId="0">
      <text>
        <r>
          <rPr>
            <sz val="10"/>
            <color indexed="81"/>
            <rFont val="Calibri"/>
            <family val="2"/>
          </rPr>
          <t>If you wish to accept American Express cards then you need to contact American Express directly</t>
        </r>
      </text>
    </comment>
    <comment ref="J3" authorId="0">
      <text>
        <r>
          <rPr>
            <sz val="10"/>
            <color indexed="81"/>
            <rFont val="Calibri"/>
            <family val="2"/>
            <scheme val="minor"/>
          </rPr>
          <t>Spoke to ANZ representative 25/1/19. The merchant is required to have a business account but it does not have to be with ANZ. There is no additional cost if the business account is not with ANZ.</t>
        </r>
      </text>
    </comment>
    <comment ref="G4" authorId="0">
      <text>
        <r>
          <rPr>
            <sz val="10"/>
            <color indexed="81"/>
            <rFont val="Calibri"/>
            <family val="2"/>
          </rPr>
          <t>American Express transactions are charged as per their respective merchant agreements</t>
        </r>
      </text>
    </comment>
    <comment ref="J4" authorId="0">
      <text>
        <r>
          <rPr>
            <sz val="10"/>
            <color indexed="81"/>
            <rFont val="Calibri"/>
            <family val="2"/>
            <scheme val="minor"/>
          </rPr>
          <t xml:space="preserve">To be eligible for the Bank of Melbourne Eftpos 1 Pricing Plan you must hold and settle into a Bank of Melbourne business transaction account in the same name as the Merchant Facility
Freedom Business Account monthly fee waived for the first 12 months (saving you $120). Freedom Business Account is lowest cost option with $10 monthly fee.
</t>
        </r>
      </text>
    </comment>
    <comment ref="G5" authorId="0">
      <text>
        <r>
          <rPr>
            <sz val="10"/>
            <color indexed="81"/>
            <rFont val="Calibri"/>
            <family val="2"/>
          </rPr>
          <t>American Express transactions are charged as per their respective merchant agreements</t>
        </r>
      </text>
    </comment>
    <comment ref="J5" authorId="0">
      <text>
        <r>
          <rPr>
            <sz val="10"/>
            <color indexed="81"/>
            <rFont val="Calibri"/>
            <family val="2"/>
            <scheme val="minor"/>
          </rPr>
          <t xml:space="preserve">To be eligible for the Bank of Melbourne Eftpos 1 Pricing Plan you must hold and settle into a Bank of Melbourne business transaction account in the same name as the Merchant Facility
Freedom Business Account monthly fee waived for the first 12 months (saving you $120). Freedom Business Account is lowest cost option with $10 monthly fee.
</t>
        </r>
      </text>
    </comment>
    <comment ref="G6" authorId="0">
      <text>
        <r>
          <rPr>
            <sz val="10"/>
            <color indexed="81"/>
            <rFont val="Calibri"/>
            <family val="2"/>
          </rPr>
          <t>American Express transactions are charged as per their respective merchant agreements</t>
        </r>
      </text>
    </comment>
    <comment ref="J6" authorId="0">
      <text>
        <r>
          <rPr>
            <sz val="10"/>
            <color indexed="81"/>
            <rFont val="Calibri"/>
            <family val="2"/>
            <scheme val="minor"/>
          </rPr>
          <t xml:space="preserve">To be eligible for the Bank of Melbourne Eftpos 1 Pricing Plan you must hold and settle into a Bank of Melbourne business transaction account in the same name as the Merchant Facility
Freedom Business Account monthly fee waived for the first 12 months (saving you $120). Freedom Business Account is lowest cost option with $10 monthly fee.
</t>
        </r>
      </text>
    </comment>
    <comment ref="G7" authorId="0">
      <text>
        <r>
          <rPr>
            <sz val="10"/>
            <color indexed="81"/>
            <rFont val="Calibri"/>
            <family val="2"/>
          </rPr>
          <t>American Express transactions are charged as per their respective merchant agreements</t>
        </r>
      </text>
    </comment>
    <comment ref="J7" authorId="0">
      <text>
        <r>
          <rPr>
            <sz val="10"/>
            <color indexed="81"/>
            <rFont val="Calibri"/>
            <family val="2"/>
            <scheme val="minor"/>
          </rPr>
          <t xml:space="preserve">To be eligible for the Bank of Melbourne Eftpos 1 Pricing Plan you must hold and settle into a Bank of Melbourne business transaction account in the same name as the Merchant Facility
Freedom Business Account monthly fee waived for the first 12 months (saving you $120). Freedom Business Account is lowest cost option with $10 monthly fee.
</t>
        </r>
      </text>
    </comment>
    <comment ref="G8" authorId="0">
      <text>
        <r>
          <rPr>
            <sz val="10"/>
            <color indexed="81"/>
            <rFont val="Calibri"/>
            <family val="2"/>
          </rPr>
          <t>American Express transactions are charged as per their respective merchant agreements</t>
        </r>
      </text>
    </comment>
    <comment ref="J8" authorId="0">
      <text>
        <r>
          <rPr>
            <sz val="10"/>
            <color indexed="81"/>
            <rFont val="Calibri"/>
            <family val="2"/>
            <scheme val="minor"/>
          </rPr>
          <t xml:space="preserve">To be eligible for the Bank of Melbourne Eftpos 1 Pricing Plan you must hold and settle into a Bank of Melbourne business transaction account in the same name as the Merchant Facility
Freedom Business Account monthly fee waived for the first 12 months (saving you $120). Freedom Business Account is lowest cost option with $10 monthly fee.
</t>
        </r>
      </text>
    </comment>
    <comment ref="G9" authorId="0">
      <text>
        <r>
          <rPr>
            <sz val="10"/>
            <color indexed="81"/>
            <rFont val="Calibri"/>
            <family val="2"/>
          </rPr>
          <t>American Express transactions are charged as per their respective merchant agreements</t>
        </r>
      </text>
    </comment>
    <comment ref="J9" authorId="0">
      <text>
        <r>
          <rPr>
            <sz val="10"/>
            <color indexed="81"/>
            <rFont val="Calibri"/>
            <family val="2"/>
            <scheme val="minor"/>
          </rPr>
          <t xml:space="preserve">To be eligible for the Bank SA Eftpos 1 Pricing Plan you must hold and settle into a Bank SA business transaction account in the same name as the Merchant Facility
Freedom Business Account monthly fee waived for the first 12 months (saving you $120). Freedom Business Account is lowest cost option with $10 monthly fee.
</t>
        </r>
      </text>
    </comment>
    <comment ref="G10" authorId="0">
      <text>
        <r>
          <rPr>
            <sz val="10"/>
            <color indexed="81"/>
            <rFont val="Calibri"/>
            <family val="2"/>
          </rPr>
          <t>American Express transactions are charged as per their respective merchant agreements</t>
        </r>
      </text>
    </comment>
    <comment ref="J10" authorId="0">
      <text>
        <r>
          <rPr>
            <sz val="10"/>
            <color indexed="81"/>
            <rFont val="Calibri"/>
            <family val="2"/>
            <scheme val="minor"/>
          </rPr>
          <t xml:space="preserve">To be eligible for the Bank SA Eftpos 1 Pricing Plan you must hold and settle into a Bank SA business transaction account in the same name as the Merchant Facility
Freedom Business Account monthly fee waived for the first 12 months (saving you $120). Freedom Business Account is lowest cost option with $10 monthly fee.
</t>
        </r>
      </text>
    </comment>
    <comment ref="G11" authorId="0">
      <text>
        <r>
          <rPr>
            <sz val="10"/>
            <color indexed="81"/>
            <rFont val="Calibri"/>
            <family val="2"/>
          </rPr>
          <t>American Express transactions are charged as per their respective merchant agreements</t>
        </r>
      </text>
    </comment>
    <comment ref="J11" authorId="0">
      <text>
        <r>
          <rPr>
            <sz val="10"/>
            <color indexed="81"/>
            <rFont val="Calibri"/>
            <family val="2"/>
            <scheme val="minor"/>
          </rPr>
          <t xml:space="preserve">To be eligible for the Bank SA Eftpos 1 Pricing Plan you must hold and settle into a Bank SA business transaction account in the same name as the Merchant Facility
Freedom Business Account monthly fee waived for the first 12 months (saving you $120). Freedom Business Account is lowest cost option with $10 monthly fee.
</t>
        </r>
      </text>
    </comment>
    <comment ref="G12" authorId="0">
      <text>
        <r>
          <rPr>
            <sz val="10"/>
            <color indexed="81"/>
            <rFont val="Calibri"/>
            <family val="2"/>
          </rPr>
          <t>American Express transactions are charged as per their respective merchant agreements</t>
        </r>
      </text>
    </comment>
    <comment ref="J12" authorId="0">
      <text>
        <r>
          <rPr>
            <sz val="10"/>
            <color indexed="81"/>
            <rFont val="Calibri"/>
            <family val="2"/>
            <scheme val="minor"/>
          </rPr>
          <t xml:space="preserve">To be eligible for the Bank SA Eftpos 1 Pricing Plan you must hold and settle into a Bank SA business transaction account in the same name as the Merchant Facility
Freedom Business Account monthly fee waived for the first 12 months (saving you $120). Freedom Business Account is lowest cost option with $10 monthly fee.
</t>
        </r>
      </text>
    </comment>
    <comment ref="G13" authorId="0">
      <text>
        <r>
          <rPr>
            <sz val="10"/>
            <color indexed="81"/>
            <rFont val="Calibri"/>
            <family val="2"/>
          </rPr>
          <t>American Express transactions are charged as per their respective merchant agreements</t>
        </r>
      </text>
    </comment>
    <comment ref="J13" authorId="0">
      <text>
        <r>
          <rPr>
            <sz val="10"/>
            <color indexed="81"/>
            <rFont val="Calibri"/>
            <family val="2"/>
            <scheme val="minor"/>
          </rPr>
          <t xml:space="preserve">To be eligible for the Bank SA Eftpos 1 Pricing Plan you must hold and settle into a Bank SA business transaction account in the same name as the Merchant Facility
Freedom Business Account monthly fee waived for the first 12 months (saving you $120). Freedom Business Account is lowest cost option with $10 monthly fee.
</t>
        </r>
      </text>
    </comment>
    <comment ref="J14" authorId="0">
      <text>
        <r>
          <rPr>
            <sz val="10"/>
            <color indexed="81"/>
            <rFont val="Calibri"/>
            <family val="2"/>
            <scheme val="minor"/>
          </rPr>
          <t xml:space="preserve">It is unclear whether a business account is required, however Bank West offers a business account with no monthly fee. 
Business Zero Transaction Account
- monthly maintenance fee $0
- electronic transaction fee $0
- paper transaction fee $0
</t>
        </r>
      </text>
    </comment>
    <comment ref="J15" authorId="0">
      <text>
        <r>
          <rPr>
            <sz val="10"/>
            <color indexed="81"/>
            <rFont val="Calibri"/>
            <family val="2"/>
            <scheme val="minor"/>
          </rPr>
          <t xml:space="preserve">It is unclear whether a business account is required, however Bank West offers a business account with no monthly fee. 
Business Zero Transaction Account
- monthly maintenance fee $0
- electronic transaction fee $0
- paper transaction fee $0
</t>
        </r>
      </text>
    </comment>
    <comment ref="J16" authorId="0">
      <text>
        <r>
          <rPr>
            <sz val="10"/>
            <color indexed="81"/>
            <rFont val="Calibri"/>
            <family val="2"/>
            <scheme val="minor"/>
          </rPr>
          <t xml:space="preserve">It is unclear whether a business account is required, however Bank West offers a business account with no monthly fee. 
Business Zero Transaction Account
- monthly maintenance fee $0
- electronic transaction fee $0
- paper transaction fee $0
</t>
        </r>
      </text>
    </comment>
    <comment ref="J17" authorId="0">
      <text>
        <r>
          <rPr>
            <sz val="10"/>
            <color indexed="81"/>
            <rFont val="Calibri"/>
            <family val="2"/>
            <scheme val="minor"/>
          </rPr>
          <t xml:space="preserve">It is unclear whether a business account is required, however Bank West offers a business account with no monthly fee. 
Business Zero Transaction Account
- monthly maintenance fee $0
- electronic transaction fee $0
- paper transaction fee $0
</t>
        </r>
      </text>
    </comment>
    <comment ref="A18" authorId="0">
      <text>
        <r>
          <rPr>
            <sz val="10"/>
            <color indexed="81"/>
            <rFont val="Calibri"/>
            <family val="2"/>
            <scheme val="minor"/>
          </rPr>
          <t>Figures adjusted to include GST.</t>
        </r>
        <r>
          <rPr>
            <sz val="9"/>
            <color indexed="81"/>
            <rFont val="Tahoma"/>
            <family val="2"/>
          </rPr>
          <t xml:space="preserve">
</t>
        </r>
      </text>
    </comment>
    <comment ref="G18" authorId="0">
      <text>
        <r>
          <rPr>
            <sz val="10"/>
            <color indexed="81"/>
            <rFont val="Calibri"/>
            <family val="2"/>
          </rPr>
          <t>American Express acceptance priced on approval</t>
        </r>
      </text>
    </comment>
    <comment ref="H18" authorId="0">
      <text>
        <r>
          <rPr>
            <sz val="10"/>
            <color indexed="81"/>
            <rFont val="Calibri"/>
            <family val="2"/>
          </rPr>
          <t>Diners Club International acceptance priced on approval</t>
        </r>
      </text>
    </comment>
    <comment ref="J18" authorId="0">
      <text>
        <r>
          <rPr>
            <sz val="10"/>
            <color indexed="81"/>
            <rFont val="Calibri"/>
            <family val="2"/>
            <scheme val="minor"/>
          </rPr>
          <t xml:space="preserve">Merchant facilities that do not settle to a Bendigo Bank Business transaction account will incur an additional $10 charge per month. Available business transaction accounts include the Business Everyday Account $15 monthly for unlimited transactions, Business Basic Account $0 monthly, transaction fees pay as you go. 
</t>
        </r>
      </text>
    </comment>
    <comment ref="G19" authorId="0">
      <text>
        <r>
          <rPr>
            <sz val="10"/>
            <color indexed="81"/>
            <rFont val="Calibri"/>
            <family val="2"/>
          </rPr>
          <t>American Express is available for eligible customers only at no extra charge</t>
        </r>
      </text>
    </comment>
    <comment ref="H19" authorId="0">
      <text>
        <r>
          <rPr>
            <sz val="10"/>
            <color indexed="81"/>
            <rFont val="Calibri"/>
            <family val="2"/>
          </rPr>
          <t>Diners transactions are available at an additional cost</t>
        </r>
      </text>
    </comment>
    <comment ref="J19" authorId="0">
      <text>
        <r>
          <rPr>
            <sz val="10"/>
            <color indexed="81"/>
            <rFont val="Calibri"/>
            <family val="2"/>
            <scheme val="minor"/>
          </rPr>
          <t>Open a Business Transaction Account or link your account to our EFTPOS devices as part of a Simple Merchant Plan and we’ll waive the $10 monthly account fee.</t>
        </r>
      </text>
    </comment>
    <comment ref="G20" authorId="0">
      <text>
        <r>
          <rPr>
            <sz val="10"/>
            <color indexed="81"/>
            <rFont val="Calibri"/>
            <family val="2"/>
          </rPr>
          <t>American Express is available for eligible customers only at no extra charge</t>
        </r>
      </text>
    </comment>
    <comment ref="H20" authorId="0">
      <text>
        <r>
          <rPr>
            <sz val="10"/>
            <color indexed="81"/>
            <rFont val="Calibri"/>
            <family val="2"/>
          </rPr>
          <t>Diners transactions are available at an additional cost</t>
        </r>
      </text>
    </comment>
    <comment ref="J20" authorId="0">
      <text>
        <r>
          <rPr>
            <sz val="10"/>
            <color indexed="81"/>
            <rFont val="Calibri"/>
            <family val="2"/>
            <scheme val="minor"/>
          </rPr>
          <t>Open a</t>
        </r>
        <r>
          <rPr>
            <b/>
            <sz val="10"/>
            <color indexed="81"/>
            <rFont val="Calibri"/>
            <family val="2"/>
            <scheme val="minor"/>
          </rPr>
          <t xml:space="preserve"> Business Transaction Account or</t>
        </r>
        <r>
          <rPr>
            <sz val="10"/>
            <color indexed="81"/>
            <rFont val="Calibri"/>
            <family val="2"/>
            <scheme val="minor"/>
          </rPr>
          <t xml:space="preserve"> link your account to our EFTPOS devices as part of a Simple Merchant Plan and we’ll waive the $10 monthly account fee.</t>
        </r>
      </text>
    </comment>
    <comment ref="G21" authorId="0">
      <text>
        <r>
          <rPr>
            <sz val="10"/>
            <color indexed="81"/>
            <rFont val="Calibri"/>
            <family val="2"/>
          </rPr>
          <t>American Express is available for eligible customers only at no extra charge</t>
        </r>
      </text>
    </comment>
    <comment ref="H21" authorId="0">
      <text>
        <r>
          <rPr>
            <sz val="10"/>
            <color indexed="81"/>
            <rFont val="Calibri"/>
            <family val="2"/>
          </rPr>
          <t>Diners transactions are available at an additional cost</t>
        </r>
      </text>
    </comment>
    <comment ref="J21" authorId="0">
      <text>
        <r>
          <rPr>
            <sz val="10"/>
            <color indexed="81"/>
            <rFont val="Calibri"/>
            <family val="2"/>
            <scheme val="minor"/>
          </rPr>
          <t>Open a Business Transaction Account or link your account to our EFTPOS devices as part of a Simple Merchant Plan and we’ll waive the $10 monthly account fee.</t>
        </r>
      </text>
    </comment>
    <comment ref="G22" authorId="0">
      <text>
        <r>
          <rPr>
            <sz val="10"/>
            <color indexed="81"/>
            <rFont val="Calibri"/>
            <family val="2"/>
          </rPr>
          <t>American Express is available for eligible customers only at no extra charge</t>
        </r>
      </text>
    </comment>
    <comment ref="H22" authorId="0">
      <text>
        <r>
          <rPr>
            <sz val="10"/>
            <color indexed="81"/>
            <rFont val="Calibri"/>
            <family val="2"/>
          </rPr>
          <t>Diners transactions are available at an additional cost</t>
        </r>
      </text>
    </comment>
    <comment ref="J22" authorId="0">
      <text>
        <r>
          <rPr>
            <sz val="10"/>
            <color indexed="81"/>
            <rFont val="Calibri"/>
            <family val="2"/>
            <scheme val="minor"/>
          </rPr>
          <t>Open a Business Transaction Account or link your account to our EFTPOS devices as part of a Simple Merchant Plan and we’ll waive the $10 monthly account fee.</t>
        </r>
      </text>
    </comment>
    <comment ref="G23" authorId="0">
      <text>
        <r>
          <rPr>
            <sz val="10"/>
            <color indexed="81"/>
            <rFont val="Calibri"/>
            <family val="2"/>
          </rPr>
          <t>American Express card acceptance are billed separately and not included in monthly allowance</t>
        </r>
      </text>
    </comment>
    <comment ref="H23" authorId="0">
      <text>
        <r>
          <rPr>
            <sz val="10"/>
            <color indexed="81"/>
            <rFont val="Calibri"/>
            <family val="2"/>
          </rPr>
          <t>Diners Club card acceptance are billed separately and not included in monthly allowance</t>
        </r>
      </text>
    </comment>
    <comment ref="J23" authorId="0">
      <text>
        <r>
          <rPr>
            <sz val="10"/>
            <color indexed="81"/>
            <rFont val="Calibri"/>
            <family val="2"/>
            <scheme val="minor"/>
          </rPr>
          <t>You agree to establish an account at a financial institution of your choosing, to be debited and credit by us for..</t>
        </r>
        <r>
          <rPr>
            <sz val="9"/>
            <color indexed="81"/>
            <rFont val="Tahoma"/>
            <family val="2"/>
          </rPr>
          <t xml:space="preserve">
</t>
        </r>
      </text>
    </comment>
    <comment ref="G24" authorId="0">
      <text>
        <r>
          <rPr>
            <sz val="10"/>
            <color indexed="81"/>
            <rFont val="Calibri"/>
            <family val="2"/>
          </rPr>
          <t>American Express card acceptance are billed separately and not included in monthly allowance</t>
        </r>
      </text>
    </comment>
    <comment ref="H24" authorId="0">
      <text>
        <r>
          <rPr>
            <sz val="10"/>
            <color indexed="81"/>
            <rFont val="Calibri"/>
            <family val="2"/>
          </rPr>
          <t>Diners Club card acceptance are billed separately and not included in monthly allowance</t>
        </r>
      </text>
    </comment>
    <comment ref="J24" authorId="0">
      <text>
        <r>
          <rPr>
            <sz val="10"/>
            <color indexed="81"/>
            <rFont val="Calibri"/>
            <family val="2"/>
            <scheme val="minor"/>
          </rPr>
          <t>You agree to establish an account at a financial institution of your choosing, to be debited and credit by us for..</t>
        </r>
        <r>
          <rPr>
            <sz val="9"/>
            <color indexed="81"/>
            <rFont val="Tahoma"/>
            <family val="2"/>
          </rPr>
          <t xml:space="preserve">
</t>
        </r>
      </text>
    </comment>
    <comment ref="G25" authorId="0">
      <text>
        <r>
          <rPr>
            <sz val="10"/>
            <color indexed="81"/>
            <rFont val="Calibri"/>
            <family val="2"/>
          </rPr>
          <t>American Express card acceptance are billed separately and not included in monthly allowance</t>
        </r>
      </text>
    </comment>
    <comment ref="H25" authorId="0">
      <text>
        <r>
          <rPr>
            <sz val="10"/>
            <color indexed="81"/>
            <rFont val="Calibri"/>
            <family val="2"/>
          </rPr>
          <t>Diners Club card acceptance are billed separately and not included in monthly allowance</t>
        </r>
      </text>
    </comment>
    <comment ref="J25" authorId="0">
      <text>
        <r>
          <rPr>
            <sz val="10"/>
            <color indexed="81"/>
            <rFont val="Calibri"/>
            <family val="2"/>
            <scheme val="minor"/>
          </rPr>
          <t>You agree to establish an account at a financial institution of your choosing, to be debited and credit by us for..</t>
        </r>
        <r>
          <rPr>
            <sz val="9"/>
            <color indexed="81"/>
            <rFont val="Tahoma"/>
            <family val="2"/>
          </rPr>
          <t xml:space="preserve">
</t>
        </r>
      </text>
    </comment>
    <comment ref="G26" authorId="0">
      <text>
        <r>
          <rPr>
            <sz val="10"/>
            <color indexed="81"/>
            <rFont val="Calibri"/>
            <family val="2"/>
          </rPr>
          <t>American Express card acceptance are billed separately and not included in monthly allowance</t>
        </r>
      </text>
    </comment>
    <comment ref="H26" authorId="0">
      <text>
        <r>
          <rPr>
            <sz val="10"/>
            <color indexed="81"/>
            <rFont val="Calibri"/>
            <family val="2"/>
          </rPr>
          <t>Diners Club card acceptance are billed separately and not included in monthly allowance</t>
        </r>
      </text>
    </comment>
    <comment ref="J26" authorId="0">
      <text>
        <r>
          <rPr>
            <sz val="10"/>
            <color indexed="81"/>
            <rFont val="Calibri"/>
            <family val="2"/>
            <scheme val="minor"/>
          </rPr>
          <t>You agree to establish an account at a financial institution of your choosing, to be debited and credit by us for..</t>
        </r>
        <r>
          <rPr>
            <sz val="9"/>
            <color indexed="81"/>
            <rFont val="Tahoma"/>
            <family val="2"/>
          </rPr>
          <t xml:space="preserve">
</t>
        </r>
      </text>
    </comment>
    <comment ref="G27" authorId="0">
      <text>
        <r>
          <rPr>
            <sz val="10"/>
            <color indexed="81"/>
            <rFont val="Calibri"/>
            <family val="2"/>
          </rPr>
          <t>American Express card acceptance are billed separately and not included in monthly allowance</t>
        </r>
      </text>
    </comment>
    <comment ref="H27" authorId="0">
      <text>
        <r>
          <rPr>
            <sz val="10"/>
            <color indexed="81"/>
            <rFont val="Calibri"/>
            <family val="2"/>
          </rPr>
          <t>Diners Club card acceptance are billed separately and not included in monthly allowance</t>
        </r>
      </text>
    </comment>
    <comment ref="J27" authorId="0">
      <text>
        <r>
          <rPr>
            <sz val="10"/>
            <color indexed="81"/>
            <rFont val="Calibri"/>
            <family val="2"/>
            <scheme val="minor"/>
          </rPr>
          <t>You agree to establish an account at a financial institution of your choosing, to be debited and credit by us for..</t>
        </r>
        <r>
          <rPr>
            <sz val="9"/>
            <color indexed="81"/>
            <rFont val="Tahoma"/>
            <family val="2"/>
          </rPr>
          <t xml:space="preserve">
</t>
        </r>
      </text>
    </comment>
    <comment ref="G28" authorId="0">
      <text>
        <r>
          <rPr>
            <sz val="10"/>
            <color indexed="81"/>
            <rFont val="Calibri"/>
            <family val="2"/>
          </rPr>
          <t>American Express transactions are not included in the plan and are charged as per merchant agreement</t>
        </r>
      </text>
    </comment>
    <comment ref="H28" authorId="0">
      <text>
        <r>
          <rPr>
            <sz val="10"/>
            <color indexed="81"/>
            <rFont val="Calibri"/>
            <family val="2"/>
          </rPr>
          <t>Diners Club International transactions are not included in the plan and are charged as per merchant agreement</t>
        </r>
      </text>
    </comment>
    <comment ref="J28" authorId="0">
      <text>
        <r>
          <rPr>
            <sz val="10"/>
            <color indexed="81"/>
            <rFont val="Calibri"/>
            <family val="2"/>
            <scheme val="minor"/>
          </rPr>
          <t>It is unclear whether a business account is required, however Hume Bank offers a business account with no monthly fee. 
Business Account
- no monthly fee
- fee-free transactions: all transactions at Hume ATMs, internal transfers, electronic baking, deposit and cheque books, direct debits, direct credits, BPAY, electronic external transfer
- cash withdrawal at branch  fee</t>
        </r>
        <r>
          <rPr>
            <sz val="9"/>
            <color indexed="81"/>
            <rFont val="Tahoma"/>
            <family val="2"/>
          </rPr>
          <t xml:space="preserve">
</t>
        </r>
      </text>
    </comment>
    <comment ref="G29" authorId="0">
      <text>
        <r>
          <rPr>
            <sz val="10"/>
            <color indexed="81"/>
            <rFont val="Calibri"/>
            <family val="2"/>
          </rPr>
          <t>American Express transactions are not included in the plan and are charged as per merchant agreement</t>
        </r>
      </text>
    </comment>
    <comment ref="H29" authorId="0">
      <text>
        <r>
          <rPr>
            <sz val="10"/>
            <color indexed="81"/>
            <rFont val="Calibri"/>
            <family val="2"/>
          </rPr>
          <t>Diners Club International transactions are not included in the plan and are charged as per merchant agreement</t>
        </r>
      </text>
    </comment>
    <comment ref="J29" authorId="0">
      <text>
        <r>
          <rPr>
            <sz val="10"/>
            <color indexed="81"/>
            <rFont val="Calibri"/>
            <family val="2"/>
            <scheme val="minor"/>
          </rPr>
          <t>It is unclear whether a business account is required, however Hume Bank offers a business account with no monthly fee. 
Business Account
- no monthly fee
- fee-free transactions: all transactions at Hume ATMs, internal transfers, electronic baking, deposit and cheque books, direct debits, direct credits, BPAY, electronic external transfer
- cash withdrawal at branch  fee</t>
        </r>
        <r>
          <rPr>
            <sz val="9"/>
            <color indexed="81"/>
            <rFont val="Tahoma"/>
            <family val="2"/>
          </rPr>
          <t xml:space="preserve">
</t>
        </r>
      </text>
    </comment>
    <comment ref="G30" authorId="0">
      <text>
        <r>
          <rPr>
            <sz val="10"/>
            <color indexed="81"/>
            <rFont val="Calibri"/>
            <family val="2"/>
          </rPr>
          <t>American Express transactions are not included in the plan and are charged as per merchant agreement</t>
        </r>
      </text>
    </comment>
    <comment ref="H30" authorId="0">
      <text>
        <r>
          <rPr>
            <sz val="10"/>
            <color indexed="81"/>
            <rFont val="Calibri"/>
            <family val="2"/>
          </rPr>
          <t>Diners Club International transactions are not included in the plan and are charged as per merchant agreement</t>
        </r>
      </text>
    </comment>
    <comment ref="J30" authorId="0">
      <text>
        <r>
          <rPr>
            <sz val="10"/>
            <color indexed="81"/>
            <rFont val="Calibri"/>
            <family val="2"/>
            <scheme val="minor"/>
          </rPr>
          <t xml:space="preserve">It is unclear whether a business account is required, however Hume Bank offers a business account with no monthly fee. 
</t>
        </r>
        <r>
          <rPr>
            <b/>
            <sz val="10"/>
            <color indexed="81"/>
            <rFont val="Calibri"/>
            <family val="2"/>
            <scheme val="minor"/>
          </rPr>
          <t xml:space="preserve">
</t>
        </r>
        <r>
          <rPr>
            <sz val="10"/>
            <color indexed="81"/>
            <rFont val="Calibri"/>
            <family val="2"/>
            <scheme val="minor"/>
          </rPr>
          <t>Business Account
- no monthly fee
- fee-free transactions: all transactions at Hume ATMs, internal transfers, electronic baking, deposit and cheque books, direct debits, direct credits, BPAY, electronic external transfer
- cash withdrawal at branch  fee</t>
        </r>
        <r>
          <rPr>
            <sz val="9"/>
            <color indexed="81"/>
            <rFont val="Tahoma"/>
            <family val="2"/>
          </rPr>
          <t xml:space="preserve">
</t>
        </r>
      </text>
    </comment>
    <comment ref="G31" authorId="0">
      <text>
        <r>
          <rPr>
            <sz val="10"/>
            <color indexed="81"/>
            <rFont val="Calibri"/>
            <family val="2"/>
          </rPr>
          <t>American Express transactions are not included in the plan and are charged as per merchant agreement</t>
        </r>
      </text>
    </comment>
    <comment ref="H31" authorId="0">
      <text>
        <r>
          <rPr>
            <sz val="10"/>
            <color indexed="81"/>
            <rFont val="Calibri"/>
            <family val="2"/>
          </rPr>
          <t>Diners Club International transactions are not included in the plan and are charged as per merchant agreement</t>
        </r>
      </text>
    </comment>
    <comment ref="J31" authorId="0">
      <text>
        <r>
          <rPr>
            <sz val="10"/>
            <color indexed="81"/>
            <rFont val="Calibri"/>
            <family val="2"/>
            <scheme val="minor"/>
          </rPr>
          <t>It is unclear whether a business account is required, however Hume Bank offers a business account with no monthly fee. 
Business Account
- no monthly fee
- fee-free transactions: all transactions at Hume ATMs, internal transfers, electronic baking, deposit and cheque books, direct debits, direct credits, BPAY, electronic external transfer
- cash withdrawal at branch  fee</t>
        </r>
        <r>
          <rPr>
            <sz val="9"/>
            <color indexed="81"/>
            <rFont val="Tahoma"/>
            <family val="2"/>
          </rPr>
          <t xml:space="preserve">
</t>
        </r>
      </text>
    </comment>
    <comment ref="G32" authorId="0">
      <text>
        <r>
          <rPr>
            <sz val="10"/>
            <color indexed="81"/>
            <rFont val="Calibri"/>
            <family val="2"/>
          </rPr>
          <t>American Express transactions are not included in the plan and are charged as per merchant agreement</t>
        </r>
      </text>
    </comment>
    <comment ref="H32" authorId="0">
      <text>
        <r>
          <rPr>
            <sz val="10"/>
            <color indexed="81"/>
            <rFont val="Calibri"/>
            <family val="2"/>
          </rPr>
          <t>Diners Club International transactions are not included in the plan and are charged as per merchant agreement</t>
        </r>
      </text>
    </comment>
    <comment ref="J32" authorId="0">
      <text>
        <r>
          <rPr>
            <sz val="10"/>
            <color indexed="81"/>
            <rFont val="Calibri"/>
            <family val="2"/>
            <scheme val="minor"/>
          </rPr>
          <t>It is unclear whether a business account is required, however Hume Bank offers a business account with no monthly fee. 
Business Account
- no monthly fee
- fee-free transactions: all transactions at Hume ATMs, internal transfers, electronic baking, deposit and cheque books, direct debits, direct credits, BPAY, electronic external transfer
- cash withdrawal at branch  fee</t>
        </r>
        <r>
          <rPr>
            <sz val="9"/>
            <color indexed="81"/>
            <rFont val="Tahoma"/>
            <family val="2"/>
          </rPr>
          <t xml:space="preserve">
</t>
        </r>
      </text>
    </comment>
    <comment ref="J33" authorId="0">
      <text>
        <r>
          <rPr>
            <sz val="10"/>
            <color indexed="81"/>
            <rFont val="Calibri"/>
            <family val="2"/>
            <scheme val="minor"/>
          </rPr>
          <t xml:space="preserve">Live eftpos will pay into any bank account.
</t>
        </r>
      </text>
    </comment>
    <comment ref="J34" authorId="0">
      <text>
        <r>
          <rPr>
            <sz val="10"/>
            <color indexed="81"/>
            <rFont val="Calibri"/>
            <family val="2"/>
            <scheme val="minor"/>
          </rPr>
          <t>Next day settlement for all payments into</t>
        </r>
        <r>
          <rPr>
            <b/>
            <sz val="10"/>
            <color indexed="81"/>
            <rFont val="Calibri"/>
            <family val="2"/>
            <scheme val="minor"/>
          </rPr>
          <t xml:space="preserve"> </t>
        </r>
        <r>
          <rPr>
            <sz val="10"/>
            <color indexed="81"/>
            <rFont val="Calibri"/>
            <family val="2"/>
            <scheme val="minor"/>
          </rPr>
          <t>any Australian bank account.</t>
        </r>
      </text>
    </comment>
    <comment ref="A35" authorId="0">
      <text>
        <r>
          <rPr>
            <sz val="10"/>
            <color indexed="81"/>
            <rFont val="Calibri"/>
            <family val="2"/>
            <scheme val="minor"/>
          </rPr>
          <t>Settle to a NAB business transaction account</t>
        </r>
        <r>
          <rPr>
            <sz val="9"/>
            <color indexed="81"/>
            <rFont val="Tahoma"/>
            <family val="2"/>
          </rPr>
          <t xml:space="preserve">
</t>
        </r>
      </text>
    </comment>
    <comment ref="J35" authorId="0">
      <text>
        <r>
          <rPr>
            <sz val="10"/>
            <color indexed="81"/>
            <rFont val="Calibri"/>
            <family val="2"/>
            <scheme val="minor"/>
          </rPr>
          <t xml:space="preserve">To be eligible for increased monthly card transactions and reduced excess usage rate, the merchant must settle into a NAB business transaction account.
</t>
        </r>
        <r>
          <rPr>
            <b/>
            <sz val="10"/>
            <color indexed="81"/>
            <rFont val="Calibri"/>
            <family val="2"/>
            <scheme val="minor"/>
          </rPr>
          <t xml:space="preserve">
</t>
        </r>
        <r>
          <rPr>
            <sz val="10"/>
            <color indexed="81"/>
            <rFont val="Calibri"/>
            <family val="2"/>
            <scheme val="minor"/>
          </rPr>
          <t xml:space="preserve">NAB Business Everyday Account 
- $0 monthly fee
- make unlimited standard NAB electronic transactions (includes deposits or withdrawals conducted via NAB internet banking and NAB telephone banking)
- no ATM fees within Australia at NAB ATMs
</t>
        </r>
      </text>
    </comment>
    <comment ref="A36" authorId="0">
      <text>
        <r>
          <rPr>
            <sz val="10"/>
            <color indexed="81"/>
            <rFont val="Calibri"/>
            <family val="2"/>
            <scheme val="minor"/>
          </rPr>
          <t>Settle to a NAB business transaction account</t>
        </r>
        <r>
          <rPr>
            <sz val="9"/>
            <color indexed="81"/>
            <rFont val="Tahoma"/>
            <family val="2"/>
          </rPr>
          <t xml:space="preserve">
</t>
        </r>
      </text>
    </comment>
    <comment ref="J36" authorId="0">
      <text>
        <r>
          <rPr>
            <sz val="10"/>
            <color indexed="81"/>
            <rFont val="Calibri"/>
            <family val="2"/>
            <scheme val="minor"/>
          </rPr>
          <t xml:space="preserve">To be eligible for increased monthly card transactions and reduced excess usage rate, the merchant must settle into a NAB business transaction account.
</t>
        </r>
        <r>
          <rPr>
            <b/>
            <sz val="10"/>
            <color indexed="81"/>
            <rFont val="Calibri"/>
            <family val="2"/>
            <scheme val="minor"/>
          </rPr>
          <t xml:space="preserve">
</t>
        </r>
        <r>
          <rPr>
            <sz val="10"/>
            <color indexed="81"/>
            <rFont val="Calibri"/>
            <family val="2"/>
            <scheme val="minor"/>
          </rPr>
          <t xml:space="preserve">NAB Business Everyday Account 
- $0 monthly fee
- make unlimited standard NAB electronic transactions (includes deposits or withdrawals conducted via NAB internet banking and NAB telephone banking)
- no ATM fees within Australia at NAB ATMs
</t>
        </r>
      </text>
    </comment>
    <comment ref="A37" authorId="0">
      <text>
        <r>
          <rPr>
            <sz val="10"/>
            <color indexed="81"/>
            <rFont val="Calibri"/>
            <family val="2"/>
            <scheme val="minor"/>
          </rPr>
          <t>Settle to a NAB business transaction account</t>
        </r>
        <r>
          <rPr>
            <sz val="9"/>
            <color indexed="81"/>
            <rFont val="Tahoma"/>
            <family val="2"/>
          </rPr>
          <t xml:space="preserve">
</t>
        </r>
      </text>
    </comment>
    <comment ref="J37" authorId="0">
      <text>
        <r>
          <rPr>
            <sz val="10"/>
            <color indexed="81"/>
            <rFont val="Calibri"/>
            <family val="2"/>
            <scheme val="minor"/>
          </rPr>
          <t xml:space="preserve">To be eligible for increased monthly card transactions and reduced excess usage rate, the merchant must settle into a NAB business transaction account.
</t>
        </r>
        <r>
          <rPr>
            <b/>
            <sz val="10"/>
            <color indexed="81"/>
            <rFont val="Calibri"/>
            <family val="2"/>
            <scheme val="minor"/>
          </rPr>
          <t xml:space="preserve">
</t>
        </r>
        <r>
          <rPr>
            <sz val="10"/>
            <color indexed="81"/>
            <rFont val="Calibri"/>
            <family val="2"/>
            <scheme val="minor"/>
          </rPr>
          <t xml:space="preserve">NAB Business Everyday Account 
- $0 monthly fee
- make unlimited standard NAB electronic transactions (includes deposits or withdrawals conducted via NAB internet banking and NAB telephone banking)
- no ATM fees within Australia at NAB ATMs
</t>
        </r>
      </text>
    </comment>
    <comment ref="A38" authorId="0">
      <text>
        <r>
          <rPr>
            <sz val="10"/>
            <color indexed="81"/>
            <rFont val="Calibri"/>
            <family val="2"/>
            <scheme val="minor"/>
          </rPr>
          <t>Settle to a NAB business transaction account</t>
        </r>
        <r>
          <rPr>
            <sz val="9"/>
            <color indexed="81"/>
            <rFont val="Tahoma"/>
            <family val="2"/>
          </rPr>
          <t xml:space="preserve">
</t>
        </r>
      </text>
    </comment>
    <comment ref="J38" authorId="0">
      <text>
        <r>
          <rPr>
            <sz val="10"/>
            <color indexed="81"/>
            <rFont val="Calibri"/>
            <family val="2"/>
            <scheme val="minor"/>
          </rPr>
          <t xml:space="preserve">To be eligible for increased monthly card transactions and reduced excess usage rate, the merchant must settle into a NAB business transaction account.
</t>
        </r>
        <r>
          <rPr>
            <b/>
            <sz val="10"/>
            <color indexed="81"/>
            <rFont val="Calibri"/>
            <family val="2"/>
            <scheme val="minor"/>
          </rPr>
          <t xml:space="preserve">
</t>
        </r>
        <r>
          <rPr>
            <sz val="10"/>
            <color indexed="81"/>
            <rFont val="Calibri"/>
            <family val="2"/>
            <scheme val="minor"/>
          </rPr>
          <t>NAB Business Everyday Account</t>
        </r>
        <r>
          <rPr>
            <b/>
            <sz val="10"/>
            <color indexed="81"/>
            <rFont val="Calibri"/>
            <family val="2"/>
            <scheme val="minor"/>
          </rPr>
          <t xml:space="preserve"> </t>
        </r>
        <r>
          <rPr>
            <sz val="10"/>
            <color indexed="81"/>
            <rFont val="Calibri"/>
            <family val="2"/>
            <scheme val="minor"/>
          </rPr>
          <t xml:space="preserve">
- $0 monthly fee
- make unlimited standard NAB electronic transactions (includes deposits or withdrawals conducted via NAB internet banking and NAB telephone banking)
- no ATM fees within Australia at NAB ATMs
</t>
        </r>
      </text>
    </comment>
    <comment ref="A39" authorId="0">
      <text>
        <r>
          <rPr>
            <sz val="10"/>
            <color indexed="81"/>
            <rFont val="Calibri"/>
            <family val="2"/>
            <scheme val="minor"/>
          </rPr>
          <t>Settle to a NAB business transaction account</t>
        </r>
        <r>
          <rPr>
            <sz val="9"/>
            <color indexed="81"/>
            <rFont val="Tahoma"/>
            <family val="2"/>
          </rPr>
          <t xml:space="preserve">
</t>
        </r>
      </text>
    </comment>
    <comment ref="J39" authorId="0">
      <text>
        <r>
          <rPr>
            <sz val="10"/>
            <color indexed="81"/>
            <rFont val="Calibri"/>
            <family val="2"/>
            <scheme val="minor"/>
          </rPr>
          <t xml:space="preserve">To be eligible for increased monthly card transactions and reduced excess usage rate, the merchant must settle into a NAB business transaction account.
NAB Business Everyday Account 
- $0 monthly fee
- make unlimited standard NAB electronic transactions (includes deposits or withdrawals conducted via NAB internet banking and NAB telephone banking)
- no ATM fees within Australia at NAB ATMs
</t>
        </r>
      </text>
    </comment>
    <comment ref="A40" authorId="0">
      <text>
        <r>
          <rPr>
            <sz val="10"/>
            <color indexed="81"/>
            <rFont val="Calibri"/>
            <family val="2"/>
            <scheme val="minor"/>
          </rPr>
          <t>Settle to another financial institution transaction account</t>
        </r>
        <r>
          <rPr>
            <sz val="9"/>
            <color indexed="81"/>
            <rFont val="Tahoma"/>
            <family val="2"/>
          </rPr>
          <t xml:space="preserve">
</t>
        </r>
      </text>
    </comment>
    <comment ref="A41" authorId="0">
      <text>
        <r>
          <rPr>
            <sz val="10"/>
            <color indexed="81"/>
            <rFont val="Calibri"/>
            <family val="2"/>
            <scheme val="minor"/>
          </rPr>
          <t>Settle to another financial institution transaction account</t>
        </r>
        <r>
          <rPr>
            <sz val="9"/>
            <color indexed="81"/>
            <rFont val="Tahoma"/>
            <family val="2"/>
          </rPr>
          <t xml:space="preserve">
</t>
        </r>
      </text>
    </comment>
    <comment ref="A42" authorId="0">
      <text>
        <r>
          <rPr>
            <sz val="10"/>
            <color indexed="81"/>
            <rFont val="Calibri"/>
            <family val="2"/>
            <scheme val="minor"/>
          </rPr>
          <t>Settle to another financial institution transaction account</t>
        </r>
        <r>
          <rPr>
            <sz val="9"/>
            <color indexed="81"/>
            <rFont val="Tahoma"/>
            <family val="2"/>
          </rPr>
          <t xml:space="preserve">
</t>
        </r>
      </text>
    </comment>
    <comment ref="A43" authorId="0">
      <text>
        <r>
          <rPr>
            <sz val="10"/>
            <color indexed="81"/>
            <rFont val="Calibri"/>
            <family val="2"/>
            <scheme val="minor"/>
          </rPr>
          <t>Settle to another financial institution transaction account</t>
        </r>
        <r>
          <rPr>
            <sz val="9"/>
            <color indexed="81"/>
            <rFont val="Tahoma"/>
            <family val="2"/>
          </rPr>
          <t xml:space="preserve">
</t>
        </r>
      </text>
    </comment>
    <comment ref="A44" authorId="0">
      <text>
        <r>
          <rPr>
            <sz val="10"/>
            <color indexed="81"/>
            <rFont val="Calibri"/>
            <family val="2"/>
            <scheme val="minor"/>
          </rPr>
          <t>Settle to another financial institution transaction account</t>
        </r>
        <r>
          <rPr>
            <sz val="9"/>
            <color indexed="81"/>
            <rFont val="Tahoma"/>
            <family val="2"/>
          </rPr>
          <t xml:space="preserve">
</t>
        </r>
      </text>
    </comment>
    <comment ref="G45" authorId="0">
      <text>
        <r>
          <rPr>
            <sz val="10"/>
            <color indexed="81"/>
            <rFont val="Calibri"/>
            <family val="2"/>
          </rPr>
          <t>American Express will determine the pricing for your facility independently</t>
        </r>
      </text>
    </comment>
    <comment ref="H45" authorId="0">
      <text>
        <r>
          <rPr>
            <sz val="10"/>
            <color indexed="81"/>
            <rFont val="Calibri"/>
            <family val="2"/>
          </rPr>
          <t>Diners Club International will determine the pricing for your facility independently</t>
        </r>
      </text>
    </comment>
    <comment ref="J45" authorId="0">
      <text>
        <r>
          <rPr>
            <sz val="10"/>
            <color indexed="81"/>
            <rFont val="Calibri"/>
            <family val="2"/>
            <scheme val="minor"/>
          </rPr>
          <t xml:space="preserve">To be eligible for the St.George EFTPOS 1 Pricing Plan you must hold and settle into a St.George business transaction account in the same name as the Merchant Facility
Freedom Business Account monthly fee waived for the first 12 months (saving you $120).
Spoke to St George representative 25/1/2019. The Freedom Business Account is the lowest cost account option with $10 monthly fee.
</t>
        </r>
      </text>
    </comment>
    <comment ref="G46" authorId="0">
      <text>
        <r>
          <rPr>
            <sz val="10"/>
            <color indexed="81"/>
            <rFont val="Calibri"/>
            <family val="2"/>
          </rPr>
          <t>American Express will determine the pricing for your facility independently</t>
        </r>
      </text>
    </comment>
    <comment ref="H46" authorId="0">
      <text>
        <r>
          <rPr>
            <sz val="10"/>
            <color indexed="81"/>
            <rFont val="Calibri"/>
            <family val="2"/>
          </rPr>
          <t>Diners Club International will determine the pricing for your facility independently</t>
        </r>
      </text>
    </comment>
    <comment ref="J46" authorId="0">
      <text>
        <r>
          <rPr>
            <sz val="10"/>
            <color indexed="81"/>
            <rFont val="Calibri"/>
            <family val="2"/>
            <scheme val="minor"/>
          </rPr>
          <t xml:space="preserve">To be eligible for the St.George EFTPOS 1 Pricing Plan you must hold and settle into a St.George business transaction account in the same name as the Merchant Facility
Freedom Business Account monthly fee waived for the first 12 months (saving you $120).
Spoke to St George representative 25/1/2019. The Freedom Business Account is the lowest cost account option with $10 monthly fee.
</t>
        </r>
      </text>
    </comment>
    <comment ref="G47" authorId="0">
      <text>
        <r>
          <rPr>
            <sz val="10"/>
            <color indexed="81"/>
            <rFont val="Calibri"/>
            <family val="2"/>
          </rPr>
          <t>American Express will determine the pricing for your facility independently</t>
        </r>
      </text>
    </comment>
    <comment ref="H47" authorId="0">
      <text>
        <r>
          <rPr>
            <sz val="10"/>
            <color indexed="81"/>
            <rFont val="Calibri"/>
            <family val="2"/>
          </rPr>
          <t>Diners Club International will determine the pricing for your facility independently</t>
        </r>
      </text>
    </comment>
    <comment ref="J47" authorId="0">
      <text>
        <r>
          <rPr>
            <sz val="10"/>
            <color indexed="81"/>
            <rFont val="Calibri"/>
            <family val="2"/>
            <scheme val="minor"/>
          </rPr>
          <t xml:space="preserve">To be eligible for the St.George EFTPOS 1 Pricing Plan you must hold and settle into a St.George business transaction account in the same name as the Merchant Facility
Freedom Business Account monthly fee waived for the first 12 months (saving you $120).
Spoke to St George representative 25/1/2019. The Freedom Business Account is the lowest cost account option with $10 monthly fee.
</t>
        </r>
      </text>
    </comment>
    <comment ref="G48" authorId="0">
      <text>
        <r>
          <rPr>
            <sz val="10"/>
            <color indexed="81"/>
            <rFont val="Calibri"/>
            <family val="2"/>
          </rPr>
          <t>American Express will determine the pricing for your facility independently</t>
        </r>
      </text>
    </comment>
    <comment ref="H48" authorId="0">
      <text>
        <r>
          <rPr>
            <sz val="10"/>
            <color indexed="81"/>
            <rFont val="Calibri"/>
            <family val="2"/>
          </rPr>
          <t>Diners Club International will determine the pricing for your facility independently</t>
        </r>
      </text>
    </comment>
    <comment ref="J48" authorId="0">
      <text>
        <r>
          <rPr>
            <sz val="10"/>
            <color indexed="81"/>
            <rFont val="Calibri"/>
            <family val="2"/>
            <scheme val="minor"/>
          </rPr>
          <t xml:space="preserve">To be eligible for the St.George EFTPOS 1 Pricing Plan you must hold and settle into a St.George business transaction account in the same name as the Merchant Facility
Freedom Business Account monthly fee waived for the first 12 months (saving you $120).
Spoke to St George representative 25/1/2019. The Freedom Business Account is the lowest cost account option with $10 monthly fee.
</t>
        </r>
      </text>
    </comment>
    <comment ref="G49" authorId="0">
      <text>
        <r>
          <rPr>
            <sz val="10"/>
            <color indexed="81"/>
            <rFont val="Calibri"/>
            <family val="2"/>
          </rPr>
          <t>American Express will determine the pricing for your facility independently</t>
        </r>
      </text>
    </comment>
    <comment ref="H49" authorId="0">
      <text>
        <r>
          <rPr>
            <sz val="10"/>
            <color indexed="81"/>
            <rFont val="Calibri"/>
            <family val="2"/>
          </rPr>
          <t>Diners Club International will determine the pricing for your facility independently</t>
        </r>
      </text>
    </comment>
    <comment ref="J49" authorId="0">
      <text>
        <r>
          <rPr>
            <sz val="10"/>
            <color indexed="81"/>
            <rFont val="Calibri"/>
            <family val="2"/>
            <scheme val="minor"/>
          </rPr>
          <t xml:space="preserve">To be eligible for the St.George EFTPOS 1 Pricing Plan you must hold and settle into a St.George business transaction account in the same name as the Merchant Facility
Freedom Business Account monthly fee waived for the first 12 months (saving you $120).
Spoke to St George representative 25/1/2019. The Freedom Business Account is the lowest cost account option with $10 monthly fee.
</t>
        </r>
      </text>
    </comment>
    <comment ref="A50" authorId="0">
      <text>
        <r>
          <rPr>
            <sz val="10"/>
            <color indexed="81"/>
            <rFont val="Calibri"/>
            <family val="2"/>
            <scheme val="minor"/>
          </rPr>
          <t>Figures adjusted to include GST.</t>
        </r>
        <r>
          <rPr>
            <sz val="9"/>
            <color indexed="81"/>
            <rFont val="Tahoma"/>
            <family val="2"/>
          </rPr>
          <t xml:space="preserve">
</t>
        </r>
      </text>
    </comment>
    <comment ref="G50" authorId="0">
      <text>
        <r>
          <rPr>
            <sz val="10"/>
            <color indexed="81"/>
            <rFont val="Calibri"/>
            <family val="2"/>
          </rPr>
          <t xml:space="preserve">American Express transactions will incur a 0.10% switching fee in addition to agreed rate with respective merchants </t>
        </r>
      </text>
    </comment>
    <comment ref="H50" authorId="0">
      <text>
        <r>
          <rPr>
            <sz val="10"/>
            <color indexed="81"/>
            <rFont val="Calibri"/>
            <family val="2"/>
          </rPr>
          <t xml:space="preserve">Diners Club transactions will incur a 0.10% switching fee in addition to agreed rate with respective merchants </t>
        </r>
      </text>
    </comment>
    <comment ref="J50" authorId="0">
      <text>
        <r>
          <rPr>
            <sz val="10"/>
            <color indexed="81"/>
            <rFont val="Calibri"/>
            <family val="2"/>
            <scheme val="minor"/>
          </rPr>
          <t xml:space="preserve">Tyro Bank Account has no batching fees, no monthly account keeping fees, no dishonour fees and no ABA upload fees or transaction fees.
</t>
        </r>
      </text>
    </comment>
    <comment ref="G51" authorId="0">
      <text>
        <r>
          <rPr>
            <sz val="10"/>
            <color indexed="81"/>
            <rFont val="Calibri"/>
            <family val="2"/>
          </rPr>
          <t>Other card types are not included in the Westpac Merchant Pricing Plans and are subject to separate pricing</t>
        </r>
      </text>
    </comment>
    <comment ref="H51" authorId="0">
      <text>
        <r>
          <rPr>
            <sz val="10"/>
            <color indexed="81"/>
            <rFont val="Calibri"/>
            <family val="2"/>
          </rPr>
          <t>Other card types are not included in the Westpac Merchant Pricing Plans and are subject to separate pricing</t>
        </r>
      </text>
    </comment>
    <comment ref="J51" authorId="0">
      <text>
        <r>
          <rPr>
            <sz val="10"/>
            <color indexed="81"/>
            <rFont val="Calibri"/>
            <family val="2"/>
            <scheme val="minor"/>
          </rPr>
          <t xml:space="preserve">To be eligible for the Westpac Merchant Pricing Plan you must hold and settle into a Westpac business transaction account in the same name as the Merchant Facility.
Get the monthly plan fee on a Business One Low transaction account waived for the first 12 months when you take out an EFTPOS 1 terminal on merchant pricing plan (saving you $120).
Business One Flexi
- no monthly service fee
- pay-as-you-go fee structure
- no ATM withdrawal fee at over 10,000 Australia ATMs
- business online banking FREE
Spoke to Westpac representative 25/1/2019. It is possible for merchant to switch to Business One Flexi account after 12 months, however most customers would continue with Business One Low account. 
</t>
        </r>
        <r>
          <rPr>
            <sz val="9"/>
            <color indexed="81"/>
            <rFont val="Tahoma"/>
            <family val="2"/>
          </rPr>
          <t xml:space="preserve">
</t>
        </r>
      </text>
    </comment>
    <comment ref="G52" authorId="0">
      <text>
        <r>
          <rPr>
            <sz val="10"/>
            <color indexed="81"/>
            <rFont val="Calibri"/>
            <family val="2"/>
          </rPr>
          <t>Other card types are not included in the Westpac Merchant Pricing Plans and are subject to separate pricing</t>
        </r>
      </text>
    </comment>
    <comment ref="H52" authorId="0">
      <text>
        <r>
          <rPr>
            <sz val="10"/>
            <color indexed="81"/>
            <rFont val="Calibri"/>
            <family val="2"/>
          </rPr>
          <t>Other card types are not included in the Westpac Merchant Pricing Plans and are subject to separate pricing</t>
        </r>
      </text>
    </comment>
    <comment ref="J52" authorId="0">
      <text>
        <r>
          <rPr>
            <sz val="10"/>
            <color indexed="81"/>
            <rFont val="Calibri"/>
            <family val="2"/>
            <scheme val="minor"/>
          </rPr>
          <t xml:space="preserve">To be eligible for the Westpac Merchant Pricing Plan you must hold and settle into a Westpac business transaction account in the same name as the Merchant Facility.
Get the monthly plan fee on a Business One Low transaction account waived for the first 12 months when you take out an EFTPOS 1 terminal on merchant pricing plan (saving you $120).
Business One Flexi
- no monthly service fee
- pay-as-you-go fee structure
- no ATM withdrawal fee at over 10,000 Australia ATMs
- business online banking FREE
Spoke to Westpac representative 25/1/2019. It is possible for merchant to switch to Business One Flexi account after 12 months, however most customers would continue with Business One Low account. 
</t>
        </r>
        <r>
          <rPr>
            <sz val="9"/>
            <color indexed="81"/>
            <rFont val="Tahoma"/>
            <family val="2"/>
          </rPr>
          <t xml:space="preserve">
</t>
        </r>
      </text>
    </comment>
    <comment ref="G53" authorId="0">
      <text>
        <r>
          <rPr>
            <sz val="10"/>
            <color indexed="81"/>
            <rFont val="Calibri"/>
            <family val="2"/>
          </rPr>
          <t>Other card types are not included in the Westpac Merchant Pricing Plans and are subject to separate pricing</t>
        </r>
      </text>
    </comment>
    <comment ref="H53" authorId="0">
      <text>
        <r>
          <rPr>
            <sz val="10"/>
            <color indexed="81"/>
            <rFont val="Calibri"/>
            <family val="2"/>
          </rPr>
          <t>Other card types are not included in the Westpac Merchant Pricing Plans and are subject to separate pricing</t>
        </r>
      </text>
    </comment>
    <comment ref="J53" authorId="0">
      <text>
        <r>
          <rPr>
            <sz val="10"/>
            <color indexed="81"/>
            <rFont val="Calibri"/>
            <family val="2"/>
            <scheme val="minor"/>
          </rPr>
          <t xml:space="preserve">To be eligible for the Westpac Merchant Pricing Plan you must hold and settle into a Westpac business transaction account in the same name as the Merchant Facility.
Get the monthly plan fee on a Business One Low transaction account waived for the first 12 months when you take out an EFTPOS 1 terminal on merchant pricing plan (saving you $120).
Business One Flexi
- no monthly service fee
- pay-as-you-go fee structure
- no ATM withdrawal fee at over 10,000 Australia ATMs
- business online banking FREE
Spoke to Westpac representative 25/1/2019. It is possible for merchant to switch to Business One Flexi account after 12 months, however most customers would continue with Business One Low account. 
</t>
        </r>
        <r>
          <rPr>
            <sz val="9"/>
            <color indexed="81"/>
            <rFont val="Tahoma"/>
            <family val="2"/>
          </rPr>
          <t xml:space="preserve">
</t>
        </r>
      </text>
    </comment>
    <comment ref="G54" authorId="0">
      <text>
        <r>
          <rPr>
            <sz val="10"/>
            <color indexed="81"/>
            <rFont val="Calibri"/>
            <family val="2"/>
          </rPr>
          <t>Other card types are not included in the Westpac Merchant Pricing Plans and are subject to separate pricing</t>
        </r>
      </text>
    </comment>
    <comment ref="H54" authorId="0">
      <text>
        <r>
          <rPr>
            <sz val="10"/>
            <color indexed="81"/>
            <rFont val="Calibri"/>
            <family val="2"/>
          </rPr>
          <t>Other card types are not included in the Westpac Merchant Pricing Plans and are subject to separate pricing</t>
        </r>
      </text>
    </comment>
    <comment ref="J54" authorId="0">
      <text>
        <r>
          <rPr>
            <sz val="10"/>
            <color indexed="81"/>
            <rFont val="Calibri"/>
            <family val="2"/>
            <scheme val="minor"/>
          </rPr>
          <t xml:space="preserve">To be eligible for the Westpac Merchant Pricing Plan you must hold and settle into a Westpac business transaction account in the same name as the Merchant Facility.
Get the monthly plan fee on a Business One Low transaction account waived for the first 12 months when you take out an EFTPOS 1 terminal on merchant pricing plan (saving you $120).
Business One Flexi
- no monthly service fee
- pay-as-you-go fee structure
- no ATM withdrawal fee at over 10,000 Australia ATMs
- business online banking FREE
Spoke to Westpac representative 25/1/2019. It is possible for merchant to switch to Business One Flexi account after 12 months, however most customers would continue with Business One Low account. 
</t>
        </r>
        <r>
          <rPr>
            <sz val="9"/>
            <color indexed="81"/>
            <rFont val="Tahoma"/>
            <family val="2"/>
          </rPr>
          <t xml:space="preserve">
</t>
        </r>
      </text>
    </comment>
    <comment ref="G55" authorId="0">
      <text>
        <r>
          <rPr>
            <sz val="10"/>
            <color indexed="81"/>
            <rFont val="Calibri"/>
            <family val="2"/>
          </rPr>
          <t>Other card types are not included in the Westpac Merchant Pricing Plans and are subject to separate pricing</t>
        </r>
      </text>
    </comment>
    <comment ref="H55" authorId="0">
      <text>
        <r>
          <rPr>
            <sz val="10"/>
            <color indexed="81"/>
            <rFont val="Calibri"/>
            <family val="2"/>
          </rPr>
          <t>Other card types are not included in the Westpac Merchant Pricing Plans and are subject to separate pricing</t>
        </r>
      </text>
    </comment>
    <comment ref="J55" authorId="0">
      <text>
        <r>
          <rPr>
            <sz val="10"/>
            <color indexed="81"/>
            <rFont val="Calibri"/>
            <family val="2"/>
            <scheme val="minor"/>
          </rPr>
          <t xml:space="preserve">To be eligible for the Westpac Merchant Pricing Plan you must hold and settle into a Westpac business transaction account in the same name as the Merchant Facility.
Get the monthly plan fee on a Business One Low transaction account waived for the first 12 months when you take out an EFTPOS 1 terminal on merchant pricing plan (saving you $120).
Business One Flexi
- no monthly service fee
- pay-as-you-go fee structure
- no ATM withdrawal fee at over 10,000 Australia ATMs
- business online banking FREE
Spoke to Westpac representative 25/1/2019. It is possible for merchant to switch to Business One Flexi account after 12 months, however most customers would continue with Business One Low account. 
</t>
        </r>
        <r>
          <rPr>
            <sz val="9"/>
            <color indexed="81"/>
            <rFont val="Tahoma"/>
            <family val="2"/>
          </rPr>
          <t xml:space="preserve">
</t>
        </r>
      </text>
    </comment>
    <comment ref="F57" authorId="0">
      <text>
        <r>
          <rPr>
            <sz val="10"/>
            <color indexed="81"/>
            <rFont val="Calibri"/>
            <family val="2"/>
            <scheme val="minor"/>
          </rPr>
          <t>Minimum merchant service fee applies to Visa and MasterCard transactions $10</t>
        </r>
        <r>
          <rPr>
            <sz val="9"/>
            <color indexed="81"/>
            <rFont val="Tahoma"/>
            <family val="2"/>
          </rPr>
          <t xml:space="preserve">
</t>
        </r>
      </text>
    </comment>
    <comment ref="G57" authorId="0">
      <text>
        <r>
          <rPr>
            <sz val="10"/>
            <color indexed="81"/>
            <rFont val="Calibri"/>
            <family val="2"/>
          </rPr>
          <t>If you wish to accept American Express cards then you need to contact American Express directly</t>
        </r>
      </text>
    </comment>
    <comment ref="I57" authorId="0">
      <text>
        <r>
          <rPr>
            <sz val="10"/>
            <color indexed="81"/>
            <rFont val="Calibri"/>
            <family val="2"/>
            <scheme val="minor"/>
          </rPr>
          <t>A minimum merchant service fee of $10 a month applies to Visa and MasterCard transactions</t>
        </r>
      </text>
    </comment>
    <comment ref="J57" authorId="0">
      <text>
        <r>
          <rPr>
            <sz val="10"/>
            <color indexed="81"/>
            <rFont val="Calibri"/>
            <family val="2"/>
            <scheme val="minor"/>
          </rPr>
          <t>Spoke to representative of ANZ 25/1/19. The merchant is required to have a business account but it does not have to be with ANZ. There is no additional cost if the business account is not with ANZ.</t>
        </r>
      </text>
    </comment>
    <comment ref="A58" authorId="0">
      <text>
        <r>
          <rPr>
            <sz val="10"/>
            <color indexed="81"/>
            <rFont val="Calibri"/>
            <family val="2"/>
            <scheme val="minor"/>
          </rPr>
          <t>Figures adjusted to include GST.</t>
        </r>
        <r>
          <rPr>
            <sz val="9"/>
            <color indexed="81"/>
            <rFont val="Tahoma"/>
            <family val="2"/>
          </rPr>
          <t xml:space="preserve">
</t>
        </r>
      </text>
    </comment>
    <comment ref="G58" authorId="0">
      <text>
        <r>
          <rPr>
            <sz val="10"/>
            <color indexed="81"/>
            <rFont val="Calibri"/>
            <family val="2"/>
          </rPr>
          <t>American Express acceptance priced on approval</t>
        </r>
      </text>
    </comment>
    <comment ref="H58" authorId="0">
      <text>
        <r>
          <rPr>
            <sz val="10"/>
            <color indexed="81"/>
            <rFont val="Calibri"/>
            <family val="2"/>
          </rPr>
          <t>Diners Club International acceptance priced on approval</t>
        </r>
      </text>
    </comment>
    <comment ref="J58" authorId="0">
      <text>
        <r>
          <rPr>
            <sz val="10"/>
            <color indexed="81"/>
            <rFont val="Calibri"/>
            <family val="2"/>
            <scheme val="minor"/>
          </rPr>
          <t xml:space="preserve">Merchant facilities that do not settle to a Bendigo Bank Business transaction account will incur an additional $10 charge per month. Available business transaction accounts include the Business Everyday Account $15 monthly for unlimited transactions, Business Basic Account $0 monthly, transaction fees pay as you go. 
</t>
        </r>
      </text>
    </comment>
    <comment ref="G59" authorId="0">
      <text>
        <r>
          <rPr>
            <sz val="10"/>
            <color indexed="81"/>
            <rFont val="Calibri"/>
            <family val="2"/>
          </rPr>
          <t>American Express is available for eligible customers only at no extra charge</t>
        </r>
      </text>
    </comment>
    <comment ref="H59" authorId="0">
      <text>
        <r>
          <rPr>
            <sz val="10"/>
            <color indexed="81"/>
            <rFont val="Calibri"/>
            <family val="2"/>
          </rPr>
          <t>Diners transactions are available at an additional cost</t>
        </r>
      </text>
    </comment>
    <comment ref="J59" authorId="0">
      <text>
        <r>
          <rPr>
            <sz val="10"/>
            <color indexed="81"/>
            <rFont val="Calibri"/>
            <family val="2"/>
            <scheme val="minor"/>
          </rPr>
          <t>Open a Business Transaction Account or link your account to our EFTPOS devices as part of a Simple Merchant Plan and we’ll waive the $10 monthly account fee.</t>
        </r>
      </text>
    </comment>
    <comment ref="C60" authorId="0">
      <text>
        <r>
          <rPr>
            <sz val="10"/>
            <color indexed="81"/>
            <rFont val="Calibri"/>
            <family val="2"/>
            <scheme val="minor"/>
          </rPr>
          <t xml:space="preserve">Minimum $2,000/month transacted or a $10 fee will apply.
</t>
        </r>
      </text>
    </comment>
    <comment ref="J60" authorId="0">
      <text>
        <r>
          <rPr>
            <sz val="10"/>
            <color indexed="81"/>
            <rFont val="Calibri"/>
            <family val="2"/>
            <scheme val="minor"/>
          </rPr>
          <t>Next day settlement for all payments into any Australian bank account.</t>
        </r>
      </text>
    </comment>
    <comment ref="F61" authorId="0">
      <text>
        <r>
          <rPr>
            <sz val="10"/>
            <color indexed="81"/>
            <rFont val="Calibri"/>
            <family val="2"/>
            <scheme val="minor"/>
          </rPr>
          <t>Minimum merchant service fee $15</t>
        </r>
        <r>
          <rPr>
            <sz val="9"/>
            <color indexed="81"/>
            <rFont val="Tahoma"/>
            <family val="2"/>
          </rPr>
          <t xml:space="preserve">
</t>
        </r>
      </text>
    </comment>
    <comment ref="J61" authorId="0">
      <text>
        <r>
          <rPr>
            <sz val="10"/>
            <color indexed="81"/>
            <rFont val="Tahoma"/>
            <family val="2"/>
          </rPr>
          <t xml:space="preserve">It is not clear if a business transaction account is required for NAB Now, however NAB offers a business account with no monthly fee.
</t>
        </r>
        <r>
          <rPr>
            <b/>
            <sz val="10"/>
            <color indexed="81"/>
            <rFont val="Tahoma"/>
            <family val="2"/>
          </rPr>
          <t xml:space="preserve">
</t>
        </r>
        <r>
          <rPr>
            <sz val="10"/>
            <color indexed="81"/>
            <rFont val="Tahoma"/>
            <family val="2"/>
          </rPr>
          <t>NAB Business Everyday Account ($0 monthly fee)
- make unlimited standard NAB electronic transactions (includes deposits or withdrawals conducted via NAB internet banking and NAB telephone banking)
- no ATM fees within Australia at NAB ATMs
https://www.nab.com.au/business/accounts/transaction-accounts/no-monthly-fee-business-account</t>
        </r>
      </text>
    </comment>
    <comment ref="A63" authorId="0">
      <text>
        <r>
          <rPr>
            <sz val="10"/>
            <color indexed="81"/>
            <rFont val="Calibri"/>
            <family val="2"/>
            <scheme val="minor"/>
          </rPr>
          <t>Figures adjusted to include GST.</t>
        </r>
        <r>
          <rPr>
            <sz val="9"/>
            <color indexed="81"/>
            <rFont val="Tahoma"/>
            <family val="2"/>
          </rPr>
          <t xml:space="preserve">
</t>
        </r>
      </text>
    </comment>
    <comment ref="J63" authorId="0">
      <text>
        <r>
          <rPr>
            <sz val="10"/>
            <color indexed="81"/>
            <rFont val="Calibri"/>
            <family val="2"/>
            <scheme val="minor"/>
          </rPr>
          <t>Do I need to have a bank account with a particular financial institution to use Pocket Pay?
- No, you’re able to specify the bank account that your settlement funds will be deposited into.  The only pre-requisite is that it must be an Australian Bank, and you must be the account holder.</t>
        </r>
      </text>
    </comment>
    <comment ref="J64" authorId="0">
      <text>
        <r>
          <rPr>
            <sz val="10"/>
            <color indexed="81"/>
            <rFont val="Calibri"/>
            <family val="2"/>
            <scheme val="minor"/>
          </rPr>
          <t>The payments you accept with Square are sent directly to your linked bank account.</t>
        </r>
      </text>
    </comment>
    <comment ref="J65" authorId="0">
      <text>
        <r>
          <rPr>
            <sz val="10"/>
            <color indexed="81"/>
            <rFont val="Calibri"/>
            <family val="2"/>
            <scheme val="minor"/>
          </rPr>
          <t>To be eligible for Mobile PayWay you must have a St George bank account to receive your funds.</t>
        </r>
        <r>
          <rPr>
            <sz val="9"/>
            <color indexed="81"/>
            <rFont val="Tahoma"/>
            <family val="2"/>
          </rPr>
          <t xml:space="preserve">
</t>
        </r>
      </text>
    </comment>
    <comment ref="J66" authorId="0">
      <text>
        <r>
          <rPr>
            <sz val="10"/>
            <color indexed="81"/>
            <rFont val="Calibri"/>
            <family val="2"/>
            <scheme val="minor"/>
          </rPr>
          <t xml:space="preserve">You must hold a Westpac business bank account and settle Card transactions processed through Genie to this account.
Get the monthly plan fee on a Business One Low transaction account waived for the first 12 months when you take out an EFTPOS 1 terminal on merchant pricing plan (saving you $120).
Business One Flexi
- no monthly service fee
- pay-as-you-go fee structure
- no ATM withdrawal fee at over 10,000 Australia ATMs
- business online banking FREE
Spoke to Westpac representative 25/1/2019. It is possible for merchant to switch to Business One Flexi account after 12 months, however most customers would continue with Business One Low account. 
</t>
        </r>
        <r>
          <rPr>
            <sz val="9"/>
            <color indexed="81"/>
            <rFont val="Tahoma"/>
            <family val="2"/>
          </rPr>
          <t xml:space="preserve">
</t>
        </r>
      </text>
    </comment>
    <comment ref="A68" authorId="0">
      <text>
        <r>
          <rPr>
            <sz val="10"/>
            <color indexed="81"/>
            <rFont val="Calibri"/>
            <family val="2"/>
          </rPr>
          <t>We understand that in many cases merchants are required to enter individual agreements with American Express and or Diners Club to accept these cards. We do not have access to information on the merchant service fees set under these individual agreements in the broader economy. 
Where payment processors do not have publicly available information on merchant service fees for American Express and Diners Club, we have used merchant service fees reported by taxi payment processors. This information from taxi payment processors might reflect the types of individual agreements that merchants have with American Express and Diners Club in the broader economy.
Taxi payment processors reported merchant service fees GST exclusive, so we have adjusted these to be GST inclusive.</t>
        </r>
      </text>
    </comment>
  </commentList>
</comments>
</file>

<file path=xl/comments10.xml><?xml version="1.0" encoding="utf-8"?>
<comments xmlns="http://schemas.openxmlformats.org/spreadsheetml/2006/main">
  <authors>
    <author>Author</author>
  </authors>
  <commentList>
    <comment ref="D5"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List>
</comments>
</file>

<file path=xl/comments11.xml><?xml version="1.0" encoding="utf-8"?>
<comments xmlns="http://schemas.openxmlformats.org/spreadsheetml/2006/main">
  <authors>
    <author>Author</author>
  </authors>
  <commentList>
    <comment ref="E5"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5" authorId="0">
      <text>
        <r>
          <rPr>
            <sz val="10"/>
            <color indexed="81"/>
            <rFont val="Calibri"/>
            <family val="2"/>
            <scheme val="minor"/>
          </rPr>
          <t>Assume useful life of a card reader is three years (i.e. 36 months). To determine the monthly cost of the card reader, divide the cost of card reader by 36.</t>
        </r>
      </text>
    </comment>
    <comment ref="D12" authorId="0">
      <text>
        <r>
          <rPr>
            <sz val="10"/>
            <color indexed="81"/>
            <rFont val="Calibri"/>
            <family val="2"/>
            <scheme val="minor"/>
          </rPr>
          <t>Minimum $2,000/month transacted or a $10 fee will apply</t>
        </r>
        <r>
          <rPr>
            <sz val="9"/>
            <color indexed="81"/>
            <rFont val="Tahoma"/>
            <family val="2"/>
          </rPr>
          <t xml:space="preserve">
</t>
        </r>
      </text>
    </comment>
  </commentList>
</comments>
</file>

<file path=xl/comments12.xml><?xml version="1.0" encoding="utf-8"?>
<comments xmlns="http://schemas.openxmlformats.org/spreadsheetml/2006/main">
  <authors>
    <author>Author</author>
  </authors>
  <commentList>
    <comment ref="D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D41"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D75"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D109"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List>
</comments>
</file>

<file path=xl/comments13.xml><?xml version="1.0" encoding="utf-8"?>
<comments xmlns="http://schemas.openxmlformats.org/spreadsheetml/2006/main">
  <authors>
    <author>Author</author>
  </authors>
  <commentList>
    <comment ref="E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7" authorId="0">
      <text>
        <r>
          <rPr>
            <sz val="10"/>
            <color indexed="81"/>
            <rFont val="Calibri"/>
            <family val="2"/>
            <scheme val="minor"/>
          </rPr>
          <t>Assume useful life of a card reader is three years (i.e. 36 months). To determine the monthly cost of the card reader, divide the cost of card reader by 36.</t>
        </r>
      </text>
    </comment>
    <comment ref="D14" authorId="0">
      <text>
        <r>
          <rPr>
            <sz val="10"/>
            <color indexed="81"/>
            <rFont val="Calibri"/>
            <family val="2"/>
            <scheme val="minor"/>
          </rPr>
          <t>Minimum $2,000/month transacted or a $10 fee will apply</t>
        </r>
        <r>
          <rPr>
            <sz val="9"/>
            <color indexed="81"/>
            <rFont val="Tahoma"/>
            <family val="2"/>
          </rPr>
          <t xml:space="preserve">
</t>
        </r>
      </text>
    </comment>
    <comment ref="E3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37" authorId="0">
      <text>
        <r>
          <rPr>
            <sz val="10"/>
            <color indexed="81"/>
            <rFont val="Calibri"/>
            <family val="2"/>
            <scheme val="minor"/>
          </rPr>
          <t>Assume useful life of a card reader is three years (i.e. 36 months). To determine the monthly cost of the card reader, divide the cost of card reader by 36.</t>
        </r>
      </text>
    </comment>
    <comment ref="D44" authorId="0">
      <text>
        <r>
          <rPr>
            <sz val="10"/>
            <color indexed="81"/>
            <rFont val="Calibri"/>
            <family val="2"/>
            <scheme val="minor"/>
          </rPr>
          <t>Minimum $2,000/month transacted or a $10 fee will apply</t>
        </r>
        <r>
          <rPr>
            <sz val="9"/>
            <color indexed="81"/>
            <rFont val="Tahoma"/>
            <family val="2"/>
          </rPr>
          <t xml:space="preserve">
</t>
        </r>
      </text>
    </comment>
    <comment ref="E6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67" authorId="0">
      <text>
        <r>
          <rPr>
            <sz val="10"/>
            <color indexed="81"/>
            <rFont val="Calibri"/>
            <family val="2"/>
            <scheme val="minor"/>
          </rPr>
          <t>Assume useful life of a card reader is three years (i.e. 36 months). To determine the monthly cost of the card reader, divide the cost of card reader by 36.</t>
        </r>
      </text>
    </comment>
    <comment ref="D74" authorId="0">
      <text>
        <r>
          <rPr>
            <sz val="10"/>
            <color indexed="81"/>
            <rFont val="Calibri"/>
            <family val="2"/>
            <scheme val="minor"/>
          </rPr>
          <t>Minimum $2,000/month transacted or a $10 fee will apply</t>
        </r>
        <r>
          <rPr>
            <sz val="9"/>
            <color indexed="81"/>
            <rFont val="Tahoma"/>
            <family val="2"/>
          </rPr>
          <t xml:space="preserve">
</t>
        </r>
      </text>
    </comment>
    <comment ref="E9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97" authorId="0">
      <text>
        <r>
          <rPr>
            <sz val="10"/>
            <color indexed="81"/>
            <rFont val="Calibri"/>
            <family val="2"/>
            <scheme val="minor"/>
          </rPr>
          <t>Assume useful life of a card reader is three years (i.e. 36 months). To determine the monthly cost of the card reader, divide the cost of card reader by 36.</t>
        </r>
      </text>
    </comment>
    <comment ref="D104" authorId="0">
      <text>
        <r>
          <rPr>
            <sz val="10"/>
            <color indexed="81"/>
            <rFont val="Calibri"/>
            <family val="2"/>
            <scheme val="minor"/>
          </rPr>
          <t>Minimum $2,000/month transacted or a $10 fee will apply</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C4" authorId="0">
      <text>
        <r>
          <rPr>
            <sz val="10"/>
            <color indexed="81"/>
            <rFont val="Calibri"/>
            <family val="2"/>
            <scheme val="minor"/>
          </rPr>
          <t xml:space="preserve">Source: taxi trip data
</t>
        </r>
      </text>
    </comment>
    <comment ref="C6" authorId="0">
      <text>
        <r>
          <rPr>
            <sz val="10"/>
            <color indexed="81"/>
            <rFont val="Calibri"/>
            <family val="2"/>
            <scheme val="minor"/>
          </rPr>
          <t xml:space="preserve">Source: taxi payment processors
</t>
        </r>
      </text>
    </comment>
    <comment ref="B18" authorId="0">
      <text>
        <r>
          <rPr>
            <sz val="10"/>
            <color indexed="81"/>
            <rFont val="Calibri"/>
            <family val="2"/>
            <scheme val="minor"/>
          </rPr>
          <t>Source: taxi payment processors</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D20"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List>
</comments>
</file>

<file path=xl/comments4.xml><?xml version="1.0" encoding="utf-8"?>
<comments xmlns="http://schemas.openxmlformats.org/spreadsheetml/2006/main">
  <authors>
    <author>Author</author>
  </authors>
  <commentList>
    <comment ref="D5" authorId="0">
      <text>
        <r>
          <rPr>
            <sz val="10"/>
            <color indexed="81"/>
            <rFont val="Calibri"/>
            <family val="2"/>
            <scheme val="minor"/>
          </rPr>
          <t>Included value means the total maximum dollar value of Visa, Mastercard and eftpos transactions that can be processed through the Merchant Facility per calendar month included in the Plan Fee. If the Included Value is exceeded in a calendar month, an excess fee applies.</t>
        </r>
      </text>
    </comment>
  </commentList>
</comments>
</file>

<file path=xl/comments5.xml><?xml version="1.0" encoding="utf-8"?>
<comments xmlns="http://schemas.openxmlformats.org/spreadsheetml/2006/main">
  <authors>
    <author>Author</author>
  </authors>
  <commentList>
    <comment ref="E5"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5" authorId="0">
      <text>
        <r>
          <rPr>
            <sz val="10"/>
            <color indexed="81"/>
            <rFont val="Calibri"/>
            <family val="2"/>
            <scheme val="minor"/>
          </rPr>
          <t>Assume useful life of a card reader is three years (i.e. 36 months). To determine the monthly cost of the card reader, divide the cost of card reader by 36.</t>
        </r>
      </text>
    </comment>
    <comment ref="D12" authorId="0">
      <text>
        <r>
          <rPr>
            <sz val="10"/>
            <color indexed="81"/>
            <rFont val="Calibri"/>
            <family val="2"/>
            <scheme val="minor"/>
          </rPr>
          <t>Minimum $2,000/month transacted or a $10 fee will apply</t>
        </r>
        <r>
          <rPr>
            <sz val="9"/>
            <color indexed="81"/>
            <rFont val="Tahoma"/>
            <family val="2"/>
          </rPr>
          <t xml:space="preserve">
</t>
        </r>
      </text>
    </comment>
  </commentList>
</comments>
</file>

<file path=xl/comments6.xml><?xml version="1.0" encoding="utf-8"?>
<comments xmlns="http://schemas.openxmlformats.org/spreadsheetml/2006/main">
  <authors>
    <author>Author</author>
  </authors>
  <commentList>
    <comment ref="D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D41"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D75"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D109"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List>
</comments>
</file>

<file path=xl/comments7.xml><?xml version="1.0" encoding="utf-8"?>
<comments xmlns="http://schemas.openxmlformats.org/spreadsheetml/2006/main">
  <authors>
    <author>Author</author>
  </authors>
  <commentList>
    <comment ref="E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7" authorId="0">
      <text>
        <r>
          <rPr>
            <sz val="10"/>
            <color indexed="81"/>
            <rFont val="Calibri"/>
            <family val="2"/>
            <scheme val="minor"/>
          </rPr>
          <t>Assume useful life of a card reader is three years (i.e. 36 months). To determine the monthly cost of the card reader, divide the cost of card reader by 36.</t>
        </r>
      </text>
    </comment>
    <comment ref="D14" authorId="0">
      <text>
        <r>
          <rPr>
            <sz val="10"/>
            <color indexed="81"/>
            <rFont val="Calibri"/>
            <family val="2"/>
            <scheme val="minor"/>
          </rPr>
          <t>Minimum $2,000/month transacted or a $10 fee will apply</t>
        </r>
        <r>
          <rPr>
            <sz val="9"/>
            <color indexed="81"/>
            <rFont val="Tahoma"/>
            <family val="2"/>
          </rPr>
          <t xml:space="preserve">
</t>
        </r>
      </text>
    </comment>
    <comment ref="E3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37" authorId="0">
      <text>
        <r>
          <rPr>
            <sz val="10"/>
            <color indexed="81"/>
            <rFont val="Calibri"/>
            <family val="2"/>
            <scheme val="minor"/>
          </rPr>
          <t>Assume useful life of a card reader is three years (i.e. 36 months). To determine the monthly cost of the card reader, divide the cost of card reader by 36.</t>
        </r>
      </text>
    </comment>
    <comment ref="D44" authorId="0">
      <text>
        <r>
          <rPr>
            <sz val="10"/>
            <color indexed="81"/>
            <rFont val="Calibri"/>
            <family val="2"/>
            <scheme val="minor"/>
          </rPr>
          <t>Minimum $2,000/month transacted or a $10 fee will apply</t>
        </r>
        <r>
          <rPr>
            <sz val="9"/>
            <color indexed="81"/>
            <rFont val="Tahoma"/>
            <family val="2"/>
          </rPr>
          <t xml:space="preserve">
</t>
        </r>
      </text>
    </comment>
    <comment ref="E6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67" authorId="0">
      <text>
        <r>
          <rPr>
            <sz val="10"/>
            <color indexed="81"/>
            <rFont val="Calibri"/>
            <family val="2"/>
            <scheme val="minor"/>
          </rPr>
          <t>Assume useful life of a card reader is three years (i.e. 36 months). To determine the monthly cost of the card reader, divide the cost of card reader by 36.</t>
        </r>
      </text>
    </comment>
    <comment ref="D74" authorId="0">
      <text>
        <r>
          <rPr>
            <sz val="10"/>
            <color indexed="81"/>
            <rFont val="Calibri"/>
            <family val="2"/>
            <scheme val="minor"/>
          </rPr>
          <t>Minimum $2,000/month transacted or a $10 fee will apply</t>
        </r>
        <r>
          <rPr>
            <sz val="9"/>
            <color indexed="81"/>
            <rFont val="Tahoma"/>
            <family val="2"/>
          </rPr>
          <t xml:space="preserve">
</t>
        </r>
      </text>
    </comment>
    <comment ref="E97"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 ref="K97" authorId="0">
      <text>
        <r>
          <rPr>
            <sz val="10"/>
            <color indexed="81"/>
            <rFont val="Calibri"/>
            <family val="2"/>
            <scheme val="minor"/>
          </rPr>
          <t>Assume useful life of a card reader is three years (i.e. 36 months). To determine the monthly cost of the card reader, divide the cost of card reader by 36.</t>
        </r>
      </text>
    </comment>
    <comment ref="D104" authorId="0">
      <text>
        <r>
          <rPr>
            <sz val="10"/>
            <color indexed="81"/>
            <rFont val="Calibri"/>
            <family val="2"/>
            <scheme val="minor"/>
          </rPr>
          <t>Minimum $2,000/month transacted or a $10 fee will apply</t>
        </r>
        <r>
          <rPr>
            <sz val="9"/>
            <color indexed="81"/>
            <rFont val="Tahoma"/>
            <family val="2"/>
          </rPr>
          <t xml:space="preserve">
</t>
        </r>
      </text>
    </comment>
  </commentList>
</comments>
</file>

<file path=xl/comments8.xml><?xml version="1.0" encoding="utf-8"?>
<comments xmlns="http://schemas.openxmlformats.org/spreadsheetml/2006/main">
  <authors>
    <author>Author</author>
  </authors>
  <commentList>
    <comment ref="C4" authorId="0">
      <text>
        <r>
          <rPr>
            <sz val="10"/>
            <color indexed="81"/>
            <rFont val="Calibri"/>
            <family val="2"/>
            <scheme val="minor"/>
          </rPr>
          <t xml:space="preserve">Source: taxi trip data
</t>
        </r>
      </text>
    </comment>
    <comment ref="C6" authorId="0">
      <text>
        <r>
          <rPr>
            <sz val="10"/>
            <color indexed="81"/>
            <rFont val="Calibri"/>
            <family val="2"/>
            <scheme val="minor"/>
          </rPr>
          <t xml:space="preserve">Source: taxi payment processors
</t>
        </r>
      </text>
    </comment>
    <comment ref="B18" authorId="0">
      <text>
        <r>
          <rPr>
            <sz val="10"/>
            <color indexed="81"/>
            <rFont val="Calibri"/>
            <family val="2"/>
            <scheme val="minor"/>
          </rPr>
          <t>Source: taxi payment processors</t>
        </r>
        <r>
          <rPr>
            <sz val="9"/>
            <color indexed="81"/>
            <rFont val="Tahoma"/>
            <family val="2"/>
          </rPr>
          <t xml:space="preserve">
</t>
        </r>
      </text>
    </comment>
  </commentList>
</comments>
</file>

<file path=xl/comments9.xml><?xml version="1.0" encoding="utf-8"?>
<comments xmlns="http://schemas.openxmlformats.org/spreadsheetml/2006/main">
  <authors>
    <author>Author</author>
  </authors>
  <commentList>
    <comment ref="D20" authorId="0">
      <text>
        <r>
          <rPr>
            <sz val="10"/>
            <color indexed="81"/>
            <rFont val="Calibri"/>
            <family val="2"/>
            <scheme val="minor"/>
          </rPr>
          <t>Included value means the total maximum dollar value of Visa, Mastercard and eftpos transactions that can be processed through your Merchant Facility per calendar month included in the Plan Fee. If the Included Value is exceeded in a calendar month, an excess fee applies.</t>
        </r>
      </text>
    </comment>
  </commentList>
</comments>
</file>

<file path=xl/sharedStrings.xml><?xml version="1.0" encoding="utf-8"?>
<sst xmlns="http://schemas.openxmlformats.org/spreadsheetml/2006/main" count="1126" uniqueCount="200">
  <si>
    <t>ANZ</t>
  </si>
  <si>
    <t>Commonwealth Bank</t>
  </si>
  <si>
    <t>NAB</t>
  </si>
  <si>
    <t>Westpac</t>
  </si>
  <si>
    <t>Tyro</t>
  </si>
  <si>
    <t>Square</t>
  </si>
  <si>
    <t>Bendigo Bank</t>
  </si>
  <si>
    <t>St George</t>
  </si>
  <si>
    <t>Revenue</t>
  </si>
  <si>
    <t>Hume Bank</t>
  </si>
  <si>
    <t>Terminal offer</t>
  </si>
  <si>
    <t>Costs</t>
  </si>
  <si>
    <t>Mint</t>
  </si>
  <si>
    <t>Average</t>
  </si>
  <si>
    <t>Business account fee</t>
  </si>
  <si>
    <t>Total monthly cost</t>
  </si>
  <si>
    <t>Monthly fees</t>
  </si>
  <si>
    <t>Minimum</t>
  </si>
  <si>
    <t>Maximum</t>
  </si>
  <si>
    <t>Included value</t>
  </si>
  <si>
    <t>Monthly fee</t>
  </si>
  <si>
    <t>Average fare</t>
  </si>
  <si>
    <t>PayPal</t>
  </si>
  <si>
    <t>Taxi maximum surcharge</t>
  </si>
  <si>
    <t>First Data</t>
  </si>
  <si>
    <t>Payment processor</t>
  </si>
  <si>
    <t>Bankwest</t>
  </si>
  <si>
    <t>Card reader fee</t>
  </si>
  <si>
    <t>Visa/Mastercard</t>
  </si>
  <si>
    <t>Diners</t>
  </si>
  <si>
    <t>Bank of Melbourne</t>
  </si>
  <si>
    <t>Bank SA</t>
  </si>
  <si>
    <t>Quest</t>
  </si>
  <si>
    <t>Revenue per terminal (non-cash)</t>
  </si>
  <si>
    <t>Revenue per terminal (eftpos)</t>
  </si>
  <si>
    <t>eftpos</t>
  </si>
  <si>
    <t>American Express</t>
  </si>
  <si>
    <t>Trips per terminal (non-cash)</t>
  </si>
  <si>
    <t>Trips per terminal (eftpos)</t>
  </si>
  <si>
    <t>Revenue per terminal (American Express)</t>
  </si>
  <si>
    <t>Revenue per terminal (Diners)</t>
  </si>
  <si>
    <t>Trips per terminal (American Express)</t>
  </si>
  <si>
    <t>Trips per terminal (Diners)</t>
  </si>
  <si>
    <t>PAYMENT PROCESSOR</t>
  </si>
  <si>
    <t>MONTHLY FEE</t>
  </si>
  <si>
    <t>INCLUDED VALUE</t>
  </si>
  <si>
    <t>BUSINESS ACCOUNT FEE</t>
  </si>
  <si>
    <t>MERCHANT SERVICE FEE 
(Diners Club)</t>
  </si>
  <si>
    <t>MERCHANT SERVICE FEE 
(American Express)</t>
  </si>
  <si>
    <t>MINIMUM MERCHANT SERVICE FEE</t>
  </si>
  <si>
    <t>CARD READER FEE</t>
  </si>
  <si>
    <t>https://www.commbank.com.au/business/merchant-services/eftpos-terminals/simple-merchant-plan.html</t>
  </si>
  <si>
    <t>https://www.westpac.com.au/business-banking/merchant-services/mobile-payments/genie/
https://www.westpac.com.au/content/dam/public/wbc/documents/pdf/bb/360571/Genie_Terms-and-Conditions.pdf</t>
  </si>
  <si>
    <t>https://www.bankofmelbourne.com.au/business/payment-solutions/eftpos
https://www.bankofmelbourne.com.au/business/bank-accounts/compare</t>
  </si>
  <si>
    <t>Bendigo Bank GoPOS Lite</t>
  </si>
  <si>
    <t>https://www.stgeorge.com.au/business/payment-solutions/eftpos</t>
  </si>
  <si>
    <t>https://www.stgeorge.com.au/business/payment-solutions/mobile-payway</t>
  </si>
  <si>
    <t>https://www.paypal.com/au/webapps/mpp/credit-card-reader</t>
  </si>
  <si>
    <t>Early termination fees, chargeback fees and other charges may apply as per merchant agreement</t>
  </si>
  <si>
    <t>Quest PocketPay</t>
  </si>
  <si>
    <t>CHARGEBACK FEE</t>
  </si>
  <si>
    <t>CANCELLATION FEE</t>
  </si>
  <si>
    <t>LOST/DAMAGED TERMINAL FEE</t>
  </si>
  <si>
    <t>ADDITIONAL TERMINAL FEE</t>
  </si>
  <si>
    <t>MERCHANT SERVICE FEE
(eftpos)</t>
  </si>
  <si>
    <t>SOURCE</t>
  </si>
  <si>
    <t>https://www.nab.com.au/business/payments-and-merchants/eftpos-terminals
https://www.nab.com.au/business/accounts/transaction-accounts</t>
  </si>
  <si>
    <t>ANZ Fastpay</t>
  </si>
  <si>
    <t>Commonwealth Bank Emmy</t>
  </si>
  <si>
    <t>NAB Now</t>
  </si>
  <si>
    <t>St George Mobile PayWay</t>
  </si>
  <si>
    <t>PayPal Here</t>
  </si>
  <si>
    <t>Mint mPOS</t>
  </si>
  <si>
    <t>https://www.anz.com.au/business/products/merchants-payments/eftpos-machines/fastpay/</t>
  </si>
  <si>
    <t>https://www.bendigobank.com.au/public/business/our-business-products/manage-payments-and-receipts/gopos-lite</t>
  </si>
  <si>
    <t>https://www.tyro.com/blog/eftpos-machine-hire-cost/#special-offer
https://www.tyro.com/faqs/
https://www.tyro.com/bank-account/</t>
  </si>
  <si>
    <t>https://www.mintpayments.com/index.php/pricing/
http://www.businesses.com.au/reports/business-reports/317779-mint-payments-limited-launched-mint-mpos</t>
  </si>
  <si>
    <t>https://www.westpac.com.au/business-banking/merchant-services/eftpos/mobile/
https://www.westpac.com.au/business-banking/bank-accounts/flexi-account/?pid=iwb:dp:FLctaFOM_1711::link</t>
  </si>
  <si>
    <t>https://www.banksa.com.au/business/payment-solutions/eftpos
https://www.banksa.com.au/business/bank-accounts/compare</t>
  </si>
  <si>
    <t>https://www.bendigobank.com.au/business/our-business-products/manage-payments-and-receipts/mobile-eftpos</t>
  </si>
  <si>
    <t>https://www.humebank.com.au/business/eftpos-for-business
https://www.humebank.com.au/MediaLibraries/HB/Hume-Bank/Documents/Compliance%20documents/Fees-Charges.pdf</t>
  </si>
  <si>
    <t>https://www.bankwest.com.au/business/learn/merchant-services
https://www.bankwest.com.au/business/accounts/zero-transaction-account</t>
  </si>
  <si>
    <t xml:space="preserve">https://www.bankwest.com.au/business/learn/merchant-services
https://www.bankwest.com.au/business/accounts/zero-transaction-account </t>
  </si>
  <si>
    <t>https://www.questpocketpay.com.au/pocket-pay-pricing.html
https://www.questpocketpay.com.au/pocket-pay-faq.html</t>
  </si>
  <si>
    <t>https://squareup.com/au/pricing
https://squareup.com/au/en/hardware/reader
https://squareup.com/help/au/en/article/5068-what-are-square-s-fees
https://squareup.com/help/au/en/article/3896-link-and-edit-your-bank-account</t>
  </si>
  <si>
    <t>EFTPOS TERMINALS (two terminal assumption)</t>
  </si>
  <si>
    <t>mPOS TERMINALS (two terminal assumption)</t>
  </si>
  <si>
    <t>EFTPOS TERMINALS (single terminal assumption)</t>
  </si>
  <si>
    <t>mPOS TERMINALS (single terminal assumption)</t>
  </si>
  <si>
    <t>https://www.liveeftpos.com.au/compare-plans
https://www.liveeftpos.com.au/payments</t>
  </si>
  <si>
    <t>BENCHMARKING - EFTPOS TERMINALS (single terminal assumption)</t>
  </si>
  <si>
    <t>SENSITIVITY  ANAYLSIS: BENCHMARKING - EFTPOS TERMINALS (single terminal assumption)</t>
  </si>
  <si>
    <t>BENCHMARKING - EFTPOS TERMINALS (two terminal assumption)</t>
  </si>
  <si>
    <t>SENSITIVITY ANAYLSIS: BENCHMARKING - EFTPOS TERMINALS (two terminal assumption)</t>
  </si>
  <si>
    <t>Merchant service fee (eftpos)</t>
  </si>
  <si>
    <t>Merchant service fee (American Express)</t>
  </si>
  <si>
    <t>Merchant service fee (Diners Club)</t>
  </si>
  <si>
    <t>Card reader fees</t>
  </si>
  <si>
    <t>Merchant service fees (eftpos, Visa, Mastercard)</t>
  </si>
  <si>
    <t>Merchant service fees (American Express, Diners Club)</t>
  </si>
  <si>
    <t>Total monthly revenue</t>
  </si>
  <si>
    <t>Cost</t>
  </si>
  <si>
    <t>Merchant service fee (Visa, Mastercard)</t>
  </si>
  <si>
    <t>Merchant service fees (eftpos, Visa, MasterCard)</t>
  </si>
  <si>
    <t>Percentage cost
(total monthly cost/total monthly revenue)</t>
  </si>
  <si>
    <t>EFTPOS Terminals</t>
  </si>
  <si>
    <t>mPOS Terminals</t>
  </si>
  <si>
    <t>Share of transaction value</t>
  </si>
  <si>
    <t>Monthly revenue and trips</t>
  </si>
  <si>
    <t>Assumption: monthly revenue is 5% higher</t>
  </si>
  <si>
    <t>Assumption: monthly revenue is 5% lower</t>
  </si>
  <si>
    <t>Assumption: monthly revenue is 10% higher</t>
  </si>
  <si>
    <t>Assumption: monthly revenue is 10% lower</t>
  </si>
  <si>
    <t>Trips per terminal (Diners Club)</t>
  </si>
  <si>
    <t>Revenue per terminal (Diners Club)</t>
  </si>
  <si>
    <t>BENCHMARKING - mPOS TERMINALS (two terminal assumption)</t>
  </si>
  <si>
    <t>SENSITIVITY  ANAYLSIS: BENCHMARKING - mPOS TERMINALS (single terminal assumption)</t>
  </si>
  <si>
    <t>https://www.firstdata.com/downloads/fd_au/pdfs/EFTPOS_Plans_Sales_Sheet.pdf
https://www.firstdata.com/downloads/international/fdcn1306w.pdf</t>
  </si>
  <si>
    <t>https://www.nab.com.au/business/payments-and-merchants/eftpos-terminals
https://www.nab.com.au/business/accounts/transaction-accounts/no-monthly-fee-business-account</t>
  </si>
  <si>
    <t>MERCHANT SERVICE FEE 
(Visa, MasterCard)</t>
  </si>
  <si>
    <t>MONTHLY REVENUE AND TRIPS (two terminal assumption)</t>
  </si>
  <si>
    <t>SENSITIVITY  ANAYLSIS: BENCHMARKING - mPOS TERMINALS (two terminal assumption)</t>
  </si>
  <si>
    <t>Live eftpos</t>
  </si>
  <si>
    <t>Westpac Genie</t>
  </si>
  <si>
    <t>Taxi payment processors</t>
  </si>
  <si>
    <t>Lowest cost offer</t>
  </si>
  <si>
    <t>BankSA</t>
  </si>
  <si>
    <t>St George Bank</t>
  </si>
  <si>
    <t>Offer number</t>
  </si>
  <si>
    <t>ANZ 1</t>
  </si>
  <si>
    <t>Commonwealth Bank 1</t>
  </si>
  <si>
    <t>Commonwealth Bank 2</t>
  </si>
  <si>
    <t>Commonwealth Bank 3</t>
  </si>
  <si>
    <t>Commonwealth Bank 4</t>
  </si>
  <si>
    <t>NAB 1</t>
  </si>
  <si>
    <t>NAB 2</t>
  </si>
  <si>
    <t>NAB 3</t>
  </si>
  <si>
    <t>NAB 4</t>
  </si>
  <si>
    <t>NAB 5</t>
  </si>
  <si>
    <t>Westpac 1</t>
  </si>
  <si>
    <t>Westpac 2</t>
  </si>
  <si>
    <t>Westpac 3</t>
  </si>
  <si>
    <t>Westpac 4</t>
  </si>
  <si>
    <t>Westpac 5</t>
  </si>
  <si>
    <t>Bank of Melbourne 1</t>
  </si>
  <si>
    <t>Bank of Melbourne 2</t>
  </si>
  <si>
    <t>Bank of Melbourne 3</t>
  </si>
  <si>
    <t>Bank of Melbourne 4</t>
  </si>
  <si>
    <t>Bank of Melbourne 5</t>
  </si>
  <si>
    <t>Bank SA 1</t>
  </si>
  <si>
    <t>Bank SA 2</t>
  </si>
  <si>
    <t>Bank SA 3</t>
  </si>
  <si>
    <t>Bank SA 4</t>
  </si>
  <si>
    <t>Bank SA 5</t>
  </si>
  <si>
    <t>Bendigo Bank 1</t>
  </si>
  <si>
    <t>Bankwest 1</t>
  </si>
  <si>
    <t>Bankwest 2</t>
  </si>
  <si>
    <t>Bankwest 3</t>
  </si>
  <si>
    <t>Bankwest 4</t>
  </si>
  <si>
    <t>Hume Bank 1</t>
  </si>
  <si>
    <t>Hume Bank 2</t>
  </si>
  <si>
    <t>Hume Bank 4</t>
  </si>
  <si>
    <t>Hume Bank 3</t>
  </si>
  <si>
    <t>Hume Bank 5</t>
  </si>
  <si>
    <t>St George 1</t>
  </si>
  <si>
    <t>St George 2</t>
  </si>
  <si>
    <t>St George 3</t>
  </si>
  <si>
    <t>St George 4</t>
  </si>
  <si>
    <t>St George 5</t>
  </si>
  <si>
    <t>Live eftpos 1</t>
  </si>
  <si>
    <t>Tyro 1</t>
  </si>
  <si>
    <t>First Data 1</t>
  </si>
  <si>
    <t>First Data 2</t>
  </si>
  <si>
    <t>First Data 3</t>
  </si>
  <si>
    <t>First Data 4</t>
  </si>
  <si>
    <t>First Data 5</t>
  </si>
  <si>
    <t>Mint 1</t>
  </si>
  <si>
    <t>MONTHLY REVENUE AND TRIPS (single terminal assumption)</t>
  </si>
  <si>
    <t>Explanatory sheet</t>
  </si>
  <si>
    <t>Description</t>
  </si>
  <si>
    <t>Monthly revenue &amp; trips</t>
  </si>
  <si>
    <t>Costs (all EFTPOS offers)</t>
  </si>
  <si>
    <t>Benchmarking (EFTPOS)</t>
  </si>
  <si>
    <t>Benchmarking (mPOS)</t>
  </si>
  <si>
    <t>Sensitivity (EFTPOS)</t>
  </si>
  <si>
    <t>Sensitivity (mPOS)</t>
  </si>
  <si>
    <t>Charts</t>
  </si>
  <si>
    <t>Terminal offers</t>
  </si>
  <si>
    <r>
      <t xml:space="preserve">This sheet estimates the cost of the lowest cost EFTPOS offer from each payment processor:
- if the payment processor has one EFTPOS offer, this offer is the lowest cost offer
- if the payment processor has more than one EFTPOS offer, the lowest cost offer is identified in </t>
    </r>
    <r>
      <rPr>
        <b/>
        <sz val="8"/>
        <color theme="1"/>
        <rFont val="Arial"/>
        <family val="2"/>
      </rPr>
      <t>Costs (all EFTPOS offers)</t>
    </r>
  </si>
  <si>
    <t xml:space="preserve">This sheet shows the total monthly revenue and trips processed through each terminal. It also estimates the monthly revenue and trips processed through each terminal attributable to each non-cash payment method: eftpos, Visa/Mastercard, American Express and Diners Club.
</t>
  </si>
  <si>
    <t xml:space="preserve">This sheet estimates the cost of the lowest cost mPOS offer from each payment processor. As each payment processor has only one mPOS offer, this offer is the lowest cost offer.
</t>
  </si>
  <si>
    <r>
      <t xml:space="preserve">This sheet estimates the cost of all EFTPOS offers from each payment processor that has more than one EFTPOS offer, and identifies the lowest cost offer from each of these payment processors.
</t>
    </r>
    <r>
      <rPr>
        <sz val="8"/>
        <color theme="1"/>
        <rFont val="Arial"/>
        <family val="2"/>
      </rPr>
      <t xml:space="preserve">
</t>
    </r>
  </si>
  <si>
    <r>
      <t>This workbook estimates the cost of processing non-cash payments for the typical taxi in Victoria. The cost is defined as the monthly cost of processing non-cash payments divided by the monthly revenue from non-cash payments.</t>
    </r>
    <r>
      <rPr>
        <sz val="8"/>
        <color theme="1"/>
        <rFont val="Arial"/>
        <family val="2"/>
      </rPr>
      <t xml:space="preserve">
Sheet 1 to 7 (blue tabs) assume that there are </t>
    </r>
    <r>
      <rPr>
        <b/>
        <sz val="8"/>
        <color theme="1"/>
        <rFont val="Arial"/>
        <family val="2"/>
      </rPr>
      <t>two terminals per taxi</t>
    </r>
    <r>
      <rPr>
        <sz val="8"/>
        <color theme="1"/>
        <rFont val="Arial"/>
        <family val="2"/>
      </rPr>
      <t xml:space="preserve">; this means that the monthly revenue processed through each terminal is $2,138. Sheet 8 to 14 (purple tabs) assume that there is </t>
    </r>
    <r>
      <rPr>
        <b/>
        <sz val="8"/>
        <color theme="1"/>
        <rFont val="Arial"/>
        <family val="2"/>
      </rPr>
      <t>one terminal per taxi</t>
    </r>
    <r>
      <rPr>
        <sz val="8"/>
        <color theme="1"/>
        <rFont val="Arial"/>
        <family val="2"/>
      </rPr>
      <t xml:space="preserve">; this means that the monthly revenue processed through the terminal is $4,276.
</t>
    </r>
  </si>
  <si>
    <r>
      <t xml:space="preserve">This sheet shows the spread of costs of:
- the lowest cost EFTPOS offers
- the lowest cost mPOS offers.
This is based on the costs estimated in </t>
    </r>
    <r>
      <rPr>
        <b/>
        <sz val="8"/>
        <color theme="1"/>
        <rFont val="Arial"/>
        <family val="2"/>
      </rPr>
      <t>Benchmarking (EFTPOS)</t>
    </r>
    <r>
      <rPr>
        <sz val="8"/>
        <color theme="1"/>
        <rFont val="Arial"/>
        <family val="2"/>
      </rPr>
      <t xml:space="preserve"> and </t>
    </r>
    <r>
      <rPr>
        <b/>
        <sz val="8"/>
        <color theme="1"/>
        <rFont val="Arial"/>
        <family val="2"/>
      </rPr>
      <t>Benchmarking (mPOS)</t>
    </r>
  </si>
  <si>
    <t xml:space="preserve">This sheet estimates the cost of the lowest cost mPOS offer from each payment processor if:
- monthly revenue is five per cent higher and five per cent lower
- monthly revenue is ten per cent higher and ten per cent lower.
</t>
  </si>
  <si>
    <t xml:space="preserve">This sheet estimates the cost of the lowest cost EFTPOS offer from each payment processor if:
- monthly revenue is five per cent higher and five per cent lower
- monthly revenue is ten per cent higher and five per cent lower.
</t>
  </si>
  <si>
    <t>This sheet shows the details of publicly available offers for EFTPOS and mPOS terminals for small businesses from payment processors servicing the entire economy. It includes card reader fees, monthly fees, merchant service fees, business account fees, additional terminal fees, chargeback fees, cancellation fees and lost/damaged terminal fees.
We are aware that some offers may have changed since we released our draft decision in late May 2019. We will update these offers for our final decision.</t>
  </si>
  <si>
    <t>Revenue per terminal (Visa, Mastercard)</t>
  </si>
  <si>
    <t>Trips per terminal (Visa, Mastercard)</t>
  </si>
  <si>
    <t>Trips per terminal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</si>
</sst>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0.000000%"/>
    <numFmt numFmtId="167" formatCode="0.0%"/>
    <numFmt numFmtId="168" formatCode="_-* #,##0_-;\-* #,##0_-;_-* &quot;-&quot;??_-;_-@_-"/>
  </numFmts>
  <fonts count="28">
    <font>
      <sz val="11"/>
      <color theme="1"/>
      <name val="Calibri"/>
      <family val="2"/>
      <scheme val="minor"/>
    </font>
    <font>
      <sz val="11"/>
      <color theme="1"/>
      <name val="Calibri"/>
      <family val="2"/>
      <scheme val="minor"/>
    </font>
    <font>
      <sz val="9"/>
      <color indexed="81"/>
      <name val="Tahoma"/>
      <family val="2"/>
    </font>
    <font>
      <b/>
      <sz val="11"/>
      <color theme="1"/>
      <name val="Calibri"/>
      <family val="2"/>
      <scheme val="minor"/>
    </font>
    <font>
      <sz val="10"/>
      <name val="Arial"/>
      <family val="2"/>
    </font>
    <font>
      <sz val="9"/>
      <color theme="1"/>
      <name val="Calibri"/>
      <family val="2"/>
      <scheme val="minor"/>
    </font>
    <font>
      <b/>
      <sz val="9"/>
      <color theme="1"/>
      <name val="Calibri"/>
      <family val="2"/>
      <scheme val="minor"/>
    </font>
    <font>
      <u/>
      <sz val="11"/>
      <color theme="10"/>
      <name val="Calibri"/>
      <family val="2"/>
      <scheme val="minor"/>
    </font>
    <font>
      <b/>
      <sz val="12"/>
      <color theme="1"/>
      <name val="Calibri"/>
      <family val="2"/>
      <scheme val="minor"/>
    </font>
    <font>
      <sz val="10"/>
      <name val="Arial"/>
      <family val="2"/>
    </font>
    <font>
      <u/>
      <sz val="10"/>
      <color indexed="12"/>
      <name val="Geneva"/>
    </font>
    <font>
      <sz val="10"/>
      <color indexed="81"/>
      <name val="Tahoma"/>
      <family val="2"/>
    </font>
    <font>
      <sz val="9"/>
      <color rgb="FF000000"/>
      <name val="Arial"/>
      <family val="2"/>
    </font>
    <font>
      <sz val="9"/>
      <color rgb="FF000000"/>
      <name val="Arial"/>
      <family val="2"/>
    </font>
    <font>
      <sz val="8"/>
      <color theme="1"/>
      <name val="Calibri"/>
      <family val="2"/>
      <scheme val="minor"/>
    </font>
    <font>
      <b/>
      <sz val="8"/>
      <color theme="1"/>
      <name val="Calibri"/>
      <family val="2"/>
      <scheme val="minor"/>
    </font>
    <font>
      <u/>
      <sz val="8"/>
      <color theme="10"/>
      <name val="Calibri"/>
      <family val="2"/>
      <scheme val="minor"/>
    </font>
    <font>
      <b/>
      <sz val="10"/>
      <color theme="1"/>
      <name val="Calibri"/>
      <family val="2"/>
      <scheme val="minor"/>
    </font>
    <font>
      <sz val="10"/>
      <color theme="1"/>
      <name val="Calibri"/>
      <family val="2"/>
      <scheme val="minor"/>
    </font>
    <font>
      <sz val="10"/>
      <color indexed="81"/>
      <name val="Calibri"/>
      <family val="2"/>
      <scheme val="minor"/>
    </font>
    <font>
      <b/>
      <sz val="10"/>
      <color indexed="81"/>
      <name val="Calibri"/>
      <family val="2"/>
      <scheme val="minor"/>
    </font>
    <font>
      <b/>
      <sz val="10"/>
      <color indexed="81"/>
      <name val="Tahoma"/>
      <family val="2"/>
    </font>
    <font>
      <sz val="10"/>
      <color indexed="81"/>
      <name val="Calibri"/>
      <family val="2"/>
    </font>
    <font>
      <b/>
      <sz val="11"/>
      <color theme="1"/>
      <name val="Arial"/>
      <family val="2"/>
    </font>
    <font>
      <sz val="11"/>
      <color theme="1"/>
      <name val="Arial"/>
      <family val="2"/>
    </font>
    <font>
      <sz val="8"/>
      <color theme="1"/>
      <name val="Arial"/>
      <family val="2"/>
    </font>
    <font>
      <b/>
      <sz val="8"/>
      <color theme="1"/>
      <name val="Arial"/>
      <family val="2"/>
    </font>
    <font>
      <sz val="8"/>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theme="0" tint="-0.249977111117893"/>
      </right>
      <top style="thin">
        <color indexed="64"/>
      </top>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bottom style="thin">
        <color theme="0" tint="-0.249977111117893"/>
      </bottom>
      <diagonal/>
    </border>
    <border>
      <left/>
      <right style="thin">
        <color indexed="64"/>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Alignment="0" applyProtection="0"/>
    <xf numFmtId="0" fontId="9" fillId="0" borderId="0"/>
    <xf numFmtId="0" fontId="10" fillId="0" borderId="0" applyNumberFormat="0" applyFill="0" applyBorder="0" applyAlignment="0" applyProtection="0">
      <alignment vertical="top"/>
      <protection locked="0"/>
    </xf>
    <xf numFmtId="0" fontId="12" fillId="0" borderId="0"/>
    <xf numFmtId="0" fontId="13" fillId="0" borderId="0"/>
    <xf numFmtId="0" fontId="4" fillId="0" borderId="0"/>
    <xf numFmtId="43" fontId="1" fillId="0" borderId="0" applyFont="0" applyFill="0" applyBorder="0" applyAlignment="0" applyProtection="0"/>
  </cellStyleXfs>
  <cellXfs count="378">
    <xf numFmtId="0" fontId="0" fillId="0" borderId="0" xfId="0"/>
    <xf numFmtId="0" fontId="5" fillId="0" borderId="0" xfId="0" applyFont="1" applyAlignment="1">
      <alignment wrapText="1"/>
    </xf>
    <xf numFmtId="0" fontId="5" fillId="0" borderId="0" xfId="0" applyFont="1"/>
    <xf numFmtId="0" fontId="5" fillId="0" borderId="0" xfId="0" applyFont="1" applyFill="1"/>
    <xf numFmtId="0" fontId="5" fillId="0" borderId="4" xfId="0" applyFont="1" applyFill="1" applyBorder="1" applyAlignment="1">
      <alignment horizontal="left" vertical="center"/>
    </xf>
    <xf numFmtId="0" fontId="6" fillId="0" borderId="4" xfId="0" applyFont="1" applyFill="1" applyBorder="1" applyAlignment="1">
      <alignment horizontal="left" vertical="center" wrapText="1"/>
    </xf>
    <xf numFmtId="9" fontId="5" fillId="0" borderId="4" xfId="0" applyNumberFormat="1" applyFont="1" applyBorder="1"/>
    <xf numFmtId="0" fontId="5" fillId="0" borderId="4" xfId="0" applyFont="1" applyFill="1" applyBorder="1" applyAlignment="1">
      <alignment horizontal="left" vertical="center" wrapText="1"/>
    </xf>
    <xf numFmtId="0" fontId="6" fillId="0" borderId="4" xfId="0" applyFont="1" applyBorder="1" applyAlignment="1">
      <alignment vertical="center" wrapText="1"/>
    </xf>
    <xf numFmtId="0" fontId="5" fillId="0" borderId="0" xfId="0" applyFont="1" applyFill="1" applyBorder="1"/>
    <xf numFmtId="9" fontId="5" fillId="0" borderId="0" xfId="2" applyFont="1"/>
    <xf numFmtId="164" fontId="5" fillId="0" borderId="0" xfId="0" applyNumberFormat="1" applyFont="1"/>
    <xf numFmtId="1" fontId="5" fillId="0" borderId="0" xfId="0" applyNumberFormat="1" applyFont="1"/>
    <xf numFmtId="0" fontId="5" fillId="4" borderId="0" xfId="0" applyFont="1" applyFill="1"/>
    <xf numFmtId="0" fontId="5" fillId="4" borderId="0" xfId="0" applyFont="1" applyFill="1" applyAlignment="1">
      <alignment wrapText="1"/>
    </xf>
    <xf numFmtId="0" fontId="14" fillId="4" borderId="0" xfId="0" applyFont="1" applyFill="1"/>
    <xf numFmtId="0" fontId="14" fillId="4" borderId="0" xfId="0" applyFont="1" applyFill="1" applyAlignment="1">
      <alignment wrapText="1"/>
    </xf>
    <xf numFmtId="0" fontId="14" fillId="4"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0" borderId="2" xfId="0" applyFont="1" applyFill="1" applyBorder="1" applyAlignment="1">
      <alignment horizontal="left" vertical="center"/>
    </xf>
    <xf numFmtId="6" fontId="14" fillId="0" borderId="1" xfId="0" applyNumberFormat="1" applyFont="1" applyFill="1" applyBorder="1" applyAlignment="1">
      <alignment wrapText="1"/>
    </xf>
    <xf numFmtId="10" fontId="14" fillId="0" borderId="7" xfId="0" applyNumberFormat="1" applyFont="1" applyFill="1" applyBorder="1" applyAlignment="1">
      <alignment wrapText="1"/>
    </xf>
    <xf numFmtId="10" fontId="14" fillId="0" borderId="1" xfId="2" applyNumberFormat="1" applyFont="1" applyFill="1" applyBorder="1" applyAlignment="1">
      <alignment horizontal="right" wrapText="1"/>
    </xf>
    <xf numFmtId="6" fontId="14" fillId="0" borderId="0" xfId="0" applyNumberFormat="1" applyFont="1" applyFill="1" applyBorder="1"/>
    <xf numFmtId="6" fontId="14" fillId="0" borderId="1" xfId="0" applyNumberFormat="1" applyFont="1" applyFill="1" applyBorder="1"/>
    <xf numFmtId="6" fontId="14" fillId="0" borderId="1" xfId="0" applyNumberFormat="1" applyFont="1" applyFill="1" applyBorder="1" applyAlignment="1">
      <alignment horizontal="right"/>
    </xf>
    <xf numFmtId="6" fontId="14" fillId="0" borderId="7" xfId="0" applyNumberFormat="1" applyFont="1" applyFill="1" applyBorder="1" applyAlignment="1">
      <alignment horizontal="right"/>
    </xf>
    <xf numFmtId="164" fontId="14" fillId="0" borderId="1" xfId="0" applyNumberFormat="1" applyFont="1" applyFill="1" applyBorder="1"/>
    <xf numFmtId="167" fontId="14" fillId="0" borderId="1" xfId="2" applyNumberFormat="1" applyFont="1" applyFill="1" applyBorder="1"/>
    <xf numFmtId="0" fontId="14" fillId="0" borderId="2" xfId="0" applyFont="1" applyFill="1" applyBorder="1" applyAlignment="1">
      <alignment horizontal="left" vertical="center" wrapText="1"/>
    </xf>
    <xf numFmtId="6" fontId="14" fillId="0" borderId="0" xfId="0" applyNumberFormat="1" applyFont="1" applyFill="1" applyBorder="1" applyAlignment="1">
      <alignment horizontal="right"/>
    </xf>
    <xf numFmtId="6" fontId="14" fillId="0" borderId="1" xfId="1" applyNumberFormat="1" applyFont="1" applyFill="1" applyBorder="1" applyAlignment="1">
      <alignment horizontal="right"/>
    </xf>
    <xf numFmtId="6" fontId="14" fillId="0" borderId="11" xfId="0" applyNumberFormat="1" applyFont="1" applyFill="1" applyBorder="1"/>
    <xf numFmtId="6" fontId="14" fillId="0" borderId="11" xfId="0" applyNumberFormat="1" applyFont="1" applyFill="1" applyBorder="1" applyAlignment="1">
      <alignment horizontal="right"/>
    </xf>
    <xf numFmtId="6" fontId="14" fillId="0" borderId="9" xfId="0" applyNumberFormat="1" applyFont="1" applyFill="1" applyBorder="1" applyAlignment="1">
      <alignment horizontal="right"/>
    </xf>
    <xf numFmtId="164" fontId="14" fillId="0" borderId="11" xfId="0" applyNumberFormat="1" applyFont="1" applyFill="1" applyBorder="1"/>
    <xf numFmtId="167" fontId="14" fillId="0" borderId="11" xfId="2" applyNumberFormat="1" applyFont="1" applyFill="1" applyBorder="1"/>
    <xf numFmtId="10" fontId="5" fillId="4" borderId="0" xfId="0" applyNumberFormat="1" applyFont="1" applyFill="1"/>
    <xf numFmtId="0" fontId="15" fillId="5" borderId="5" xfId="0" applyFont="1" applyFill="1" applyBorder="1"/>
    <xf numFmtId="0" fontId="14" fillId="5" borderId="6" xfId="0" applyFont="1" applyFill="1" applyBorder="1"/>
    <xf numFmtId="0" fontId="14" fillId="5" borderId="2" xfId="0" applyFont="1" applyFill="1" applyBorder="1"/>
    <xf numFmtId="6" fontId="14" fillId="5" borderId="7" xfId="0" applyNumberFormat="1" applyFont="1" applyFill="1" applyBorder="1"/>
    <xf numFmtId="0" fontId="14" fillId="5" borderId="8" xfId="0" applyFont="1" applyFill="1" applyBorder="1"/>
    <xf numFmtId="8" fontId="14" fillId="5" borderId="7" xfId="0" applyNumberFormat="1" applyFont="1" applyFill="1" applyBorder="1"/>
    <xf numFmtId="164" fontId="14" fillId="5" borderId="7" xfId="0" applyNumberFormat="1" applyFont="1" applyFill="1" applyBorder="1"/>
    <xf numFmtId="1" fontId="14" fillId="4" borderId="0" xfId="0" applyNumberFormat="1" applyFont="1" applyFill="1" applyAlignment="1">
      <alignment wrapText="1"/>
    </xf>
    <xf numFmtId="0" fontId="16" fillId="4" borderId="0" xfId="4" applyFont="1" applyFill="1"/>
    <xf numFmtId="8" fontId="14" fillId="4" borderId="0" xfId="0" applyNumberFormat="1" applyFont="1" applyFill="1" applyAlignment="1">
      <alignment wrapText="1"/>
    </xf>
    <xf numFmtId="165" fontId="14" fillId="4" borderId="0" xfId="0" applyNumberFormat="1" applyFont="1" applyFill="1" applyAlignment="1">
      <alignment wrapText="1"/>
    </xf>
    <xf numFmtId="1" fontId="14" fillId="5" borderId="7" xfId="0" applyNumberFormat="1" applyFont="1" applyFill="1" applyBorder="1"/>
    <xf numFmtId="164" fontId="14" fillId="4" borderId="0" xfId="0" applyNumberFormat="1" applyFont="1" applyFill="1"/>
    <xf numFmtId="166" fontId="14" fillId="4" borderId="0" xfId="2" applyNumberFormat="1" applyFont="1" applyFill="1"/>
    <xf numFmtId="1" fontId="14" fillId="5" borderId="9" xfId="0" applyNumberFormat="1" applyFont="1" applyFill="1" applyBorder="1"/>
    <xf numFmtId="165" fontId="14" fillId="4" borderId="0" xfId="0" applyNumberFormat="1" applyFont="1" applyFill="1"/>
    <xf numFmtId="0" fontId="14" fillId="0" borderId="0" xfId="0" applyFont="1"/>
    <xf numFmtId="0" fontId="14" fillId="0" borderId="0" xfId="0" applyFont="1" applyAlignment="1">
      <alignment wrapText="1"/>
    </xf>
    <xf numFmtId="0" fontId="18" fillId="0" borderId="0" xfId="0" applyFont="1" applyFill="1"/>
    <xf numFmtId="0" fontId="18" fillId="0" borderId="0" xfId="0" applyFont="1"/>
    <xf numFmtId="0" fontId="14" fillId="0" borderId="0" xfId="0" applyFont="1" applyBorder="1" applyAlignment="1">
      <alignment horizontal="center" vertical="center"/>
    </xf>
    <xf numFmtId="0" fontId="14" fillId="2" borderId="3" xfId="0" applyFont="1" applyFill="1" applyBorder="1" applyAlignment="1">
      <alignment horizontal="center" vertical="center" wrapText="1"/>
    </xf>
    <xf numFmtId="6" fontId="14" fillId="0" borderId="1" xfId="0" applyNumberFormat="1" applyFont="1" applyFill="1" applyBorder="1" applyAlignment="1">
      <alignment horizontal="right" wrapText="1"/>
    </xf>
    <xf numFmtId="6" fontId="14" fillId="0" borderId="0" xfId="0" applyNumberFormat="1" applyFont="1" applyFill="1" applyBorder="1" applyAlignment="1">
      <alignment horizontal="right" wrapText="1"/>
    </xf>
    <xf numFmtId="164" fontId="14" fillId="0" borderId="0" xfId="0" applyNumberFormat="1" applyFont="1" applyFill="1" applyBorder="1" applyAlignment="1">
      <alignment horizontal="right" wrapText="1"/>
    </xf>
    <xf numFmtId="164" fontId="14" fillId="0" borderId="1" xfId="0" applyNumberFormat="1" applyFont="1" applyFill="1" applyBorder="1" applyAlignment="1">
      <alignment horizontal="right" wrapText="1"/>
    </xf>
    <xf numFmtId="6" fontId="14" fillId="0" borderId="0" xfId="1" applyNumberFormat="1" applyFont="1" applyFill="1" applyBorder="1" applyAlignment="1">
      <alignment horizontal="right"/>
    </xf>
    <xf numFmtId="0" fontId="14" fillId="4" borderId="0" xfId="0" applyFont="1" applyFill="1" applyAlignment="1">
      <alignment vertical="center"/>
    </xf>
    <xf numFmtId="10" fontId="14" fillId="4" borderId="0" xfId="0" applyNumberFormat="1" applyFont="1" applyFill="1" applyBorder="1" applyAlignment="1">
      <alignment horizontal="center" wrapText="1"/>
    </xf>
    <xf numFmtId="0" fontId="5" fillId="0" borderId="0" xfId="0" applyFont="1" applyFill="1" applyAlignment="1">
      <alignment wrapText="1"/>
    </xf>
    <xf numFmtId="0" fontId="18" fillId="0" borderId="0" xfId="0" applyFont="1" applyFill="1" applyBorder="1" applyAlignment="1">
      <alignment horizontal="left"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5" fillId="0" borderId="15" xfId="0" applyFont="1" applyFill="1" applyBorder="1"/>
    <xf numFmtId="0" fontId="18" fillId="0" borderId="7"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5" fillId="0" borderId="17" xfId="0" applyFont="1" applyFill="1" applyBorder="1"/>
    <xf numFmtId="6" fontId="18" fillId="0" borderId="17" xfId="0" applyNumberFormat="1" applyFont="1" applyFill="1" applyBorder="1" applyAlignment="1">
      <alignment horizontal="left" vertical="center" wrapText="1"/>
    </xf>
    <xf numFmtId="0" fontId="5" fillId="0" borderId="17" xfId="0" applyFont="1" applyFill="1" applyBorder="1" applyAlignment="1">
      <alignment wrapText="1"/>
    </xf>
    <xf numFmtId="8" fontId="18" fillId="0" borderId="17" xfId="0" applyNumberFormat="1" applyFont="1" applyFill="1" applyBorder="1" applyAlignment="1">
      <alignment horizontal="left" vertical="center" wrapText="1"/>
    </xf>
    <xf numFmtId="0" fontId="5" fillId="0" borderId="17" xfId="0" applyFont="1" applyFill="1" applyBorder="1" applyAlignment="1">
      <alignment horizontal="left" vertical="center" wrapText="1"/>
    </xf>
    <xf numFmtId="6" fontId="5" fillId="0" borderId="17" xfId="0"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6" fontId="18" fillId="0" borderId="19" xfId="0" applyNumberFormat="1" applyFont="1" applyFill="1" applyBorder="1" applyAlignment="1">
      <alignment horizontal="left" vertical="center" wrapText="1"/>
    </xf>
    <xf numFmtId="10" fontId="18" fillId="0" borderId="19" xfId="0" applyNumberFormat="1" applyFont="1" applyFill="1" applyBorder="1" applyAlignment="1">
      <alignment horizontal="left" vertical="center" wrapText="1"/>
    </xf>
    <xf numFmtId="0" fontId="5" fillId="0" borderId="19" xfId="0" applyFont="1" applyFill="1" applyBorder="1" applyAlignment="1">
      <alignment horizontal="left" vertical="center" wrapText="1"/>
    </xf>
    <xf numFmtId="8" fontId="18" fillId="0" borderId="19" xfId="0" applyNumberFormat="1" applyFont="1" applyFill="1" applyBorder="1" applyAlignment="1">
      <alignment horizontal="left" vertical="center" wrapText="1"/>
    </xf>
    <xf numFmtId="6" fontId="5" fillId="0" borderId="19" xfId="0" applyNumberFormat="1"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6" fontId="18" fillId="0" borderId="22" xfId="0" applyNumberFormat="1" applyFont="1" applyFill="1" applyBorder="1" applyAlignment="1">
      <alignment horizontal="left" vertical="center" wrapText="1"/>
    </xf>
    <xf numFmtId="0" fontId="5" fillId="0" borderId="22" xfId="0" applyFont="1" applyFill="1" applyBorder="1" applyAlignment="1">
      <alignment horizontal="left" vertical="center" wrapText="1"/>
    </xf>
    <xf numFmtId="8" fontId="18" fillId="0" borderId="22" xfId="0" applyNumberFormat="1" applyFont="1" applyFill="1" applyBorder="1" applyAlignment="1">
      <alignment horizontal="left" vertical="center" wrapText="1"/>
    </xf>
    <xf numFmtId="6" fontId="5" fillId="0" borderId="22" xfId="0" applyNumberFormat="1"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5" xfId="0" applyFont="1" applyFill="1" applyBorder="1" applyAlignment="1">
      <alignment horizontal="left" vertical="center" wrapText="1"/>
    </xf>
    <xf numFmtId="6" fontId="18" fillId="0" borderId="25" xfId="0" applyNumberFormat="1" applyFont="1" applyFill="1" applyBorder="1" applyAlignment="1">
      <alignment horizontal="left" vertical="center" wrapText="1"/>
    </xf>
    <xf numFmtId="8" fontId="18" fillId="0" borderId="25" xfId="0" applyNumberFormat="1" applyFont="1" applyFill="1" applyBorder="1" applyAlignment="1">
      <alignment horizontal="left" vertical="center" wrapText="1"/>
    </xf>
    <xf numFmtId="10" fontId="18" fillId="0" borderId="25" xfId="0" applyNumberFormat="1" applyFont="1" applyFill="1" applyBorder="1" applyAlignment="1">
      <alignment horizontal="left" vertical="center" wrapText="1"/>
    </xf>
    <xf numFmtId="0" fontId="5" fillId="0" borderId="25" xfId="0" applyFont="1" applyFill="1" applyBorder="1" applyAlignment="1">
      <alignment horizontal="left" vertical="center" wrapText="1"/>
    </xf>
    <xf numFmtId="10" fontId="14" fillId="0" borderId="10" xfId="2" applyNumberFormat="1" applyFont="1" applyFill="1" applyBorder="1" applyAlignment="1">
      <alignment horizontal="right" wrapText="1"/>
    </xf>
    <xf numFmtId="167" fontId="14" fillId="0" borderId="10" xfId="2" applyNumberFormat="1" applyFont="1" applyFill="1" applyBorder="1"/>
    <xf numFmtId="6" fontId="14" fillId="0" borderId="7" xfId="0" applyNumberFormat="1" applyFont="1" applyFill="1" applyBorder="1"/>
    <xf numFmtId="0" fontId="14" fillId="5" borderId="2" xfId="0" applyFont="1" applyFill="1" applyBorder="1" applyAlignment="1">
      <alignment horizontal="left" vertical="center"/>
    </xf>
    <xf numFmtId="6" fontId="14" fillId="5" borderId="1" xfId="0" applyNumberFormat="1" applyFont="1" applyFill="1" applyBorder="1" applyAlignment="1">
      <alignment horizontal="right" wrapText="1"/>
    </xf>
    <xf numFmtId="10" fontId="14" fillId="5" borderId="7" xfId="0" applyNumberFormat="1" applyFont="1" applyFill="1" applyBorder="1" applyAlignment="1">
      <alignment wrapText="1"/>
    </xf>
    <xf numFmtId="10" fontId="14" fillId="5" borderId="1" xfId="2" applyNumberFormat="1" applyFont="1" applyFill="1" applyBorder="1" applyAlignment="1">
      <alignment horizontal="right" wrapText="1"/>
    </xf>
    <xf numFmtId="164" fontId="14" fillId="5" borderId="1" xfId="0" applyNumberFormat="1" applyFont="1" applyFill="1" applyBorder="1" applyAlignment="1">
      <alignment horizontal="right" wrapText="1"/>
    </xf>
    <xf numFmtId="6" fontId="14" fillId="5" borderId="7" xfId="0" applyNumberFormat="1" applyFont="1" applyFill="1" applyBorder="1" applyAlignment="1">
      <alignment horizontal="right"/>
    </xf>
    <xf numFmtId="0" fontId="14" fillId="5" borderId="2" xfId="0" applyFont="1" applyFill="1" applyBorder="1" applyAlignment="1">
      <alignment horizontal="left" vertical="center" wrapText="1"/>
    </xf>
    <xf numFmtId="6" fontId="14" fillId="5" borderId="0" xfId="0" applyNumberFormat="1" applyFont="1" applyFill="1" applyBorder="1"/>
    <xf numFmtId="6" fontId="14" fillId="5" borderId="1" xfId="0" applyNumberFormat="1" applyFont="1" applyFill="1" applyBorder="1"/>
    <xf numFmtId="6" fontId="14" fillId="5" borderId="0" xfId="0" applyNumberFormat="1" applyFont="1" applyFill="1" applyBorder="1" applyAlignment="1">
      <alignment horizontal="right"/>
    </xf>
    <xf numFmtId="6" fontId="14" fillId="5" borderId="1" xfId="0" applyNumberFormat="1" applyFont="1" applyFill="1" applyBorder="1" applyAlignment="1">
      <alignment horizontal="right"/>
    </xf>
    <xf numFmtId="6" fontId="14" fillId="5" borderId="1" xfId="0" applyNumberFormat="1" applyFont="1" applyFill="1" applyBorder="1" applyAlignment="1">
      <alignment wrapText="1"/>
    </xf>
    <xf numFmtId="164" fontId="14" fillId="5" borderId="1" xfId="0" applyNumberFormat="1" applyFont="1" applyFill="1" applyBorder="1"/>
    <xf numFmtId="0" fontId="14" fillId="5" borderId="8" xfId="0" applyFont="1" applyFill="1" applyBorder="1" applyAlignment="1">
      <alignment horizontal="left" vertical="center"/>
    </xf>
    <xf numFmtId="6" fontId="14" fillId="5" borderId="11" xfId="0" applyNumberFormat="1" applyFont="1" applyFill="1" applyBorder="1" applyAlignment="1">
      <alignment wrapText="1"/>
    </xf>
    <xf numFmtId="10" fontId="14" fillId="5" borderId="9" xfId="0" applyNumberFormat="1" applyFont="1" applyFill="1" applyBorder="1" applyAlignment="1">
      <alignment wrapText="1"/>
    </xf>
    <xf numFmtId="10" fontId="14" fillId="5" borderId="11" xfId="2" applyNumberFormat="1" applyFont="1" applyFill="1" applyBorder="1" applyAlignment="1">
      <alignment horizontal="right" wrapText="1"/>
    </xf>
    <xf numFmtId="6" fontId="14" fillId="5" borderId="3" xfId="0" applyNumberFormat="1" applyFont="1" applyFill="1" applyBorder="1"/>
    <xf numFmtId="6" fontId="14" fillId="5" borderId="11" xfId="0" applyNumberFormat="1" applyFont="1" applyFill="1" applyBorder="1"/>
    <xf numFmtId="6" fontId="14" fillId="5" borderId="11" xfId="0" applyNumberFormat="1" applyFont="1" applyFill="1" applyBorder="1" applyAlignment="1">
      <alignment horizontal="right"/>
    </xf>
    <xf numFmtId="6" fontId="14" fillId="5" borderId="9" xfId="0" applyNumberFormat="1" applyFont="1" applyFill="1" applyBorder="1" applyAlignment="1">
      <alignment horizontal="right"/>
    </xf>
    <xf numFmtId="164" fontId="14" fillId="5" borderId="11" xfId="0" applyNumberFormat="1" applyFont="1" applyFill="1" applyBorder="1"/>
    <xf numFmtId="0" fontId="14" fillId="4" borderId="5" xfId="0" applyFont="1" applyFill="1" applyBorder="1"/>
    <xf numFmtId="165" fontId="14" fillId="4" borderId="2" xfId="0" applyNumberFormat="1" applyFont="1" applyFill="1" applyBorder="1"/>
    <xf numFmtId="0" fontId="14" fillId="4" borderId="8" xfId="0" applyFont="1" applyFill="1" applyBorder="1"/>
    <xf numFmtId="0" fontId="14" fillId="5" borderId="8" xfId="0" applyFont="1" applyFill="1" applyBorder="1" applyAlignment="1">
      <alignment horizontal="left" vertical="center" wrapText="1"/>
    </xf>
    <xf numFmtId="6" fontId="14" fillId="5" borderId="3" xfId="1" applyNumberFormat="1" applyFont="1" applyFill="1" applyBorder="1" applyAlignment="1">
      <alignment horizontal="right"/>
    </xf>
    <xf numFmtId="164" fontId="14" fillId="5" borderId="11" xfId="0" applyNumberFormat="1" applyFont="1" applyFill="1" applyBorder="1" applyAlignment="1">
      <alignment horizontal="right" wrapText="1"/>
    </xf>
    <xf numFmtId="6" fontId="14" fillId="5" borderId="11" xfId="0" applyNumberFormat="1" applyFont="1" applyFill="1" applyBorder="1" applyAlignment="1">
      <alignment horizontal="right" wrapText="1"/>
    </xf>
    <xf numFmtId="167" fontId="14" fillId="5" borderId="1" xfId="2" applyNumberFormat="1" applyFont="1" applyFill="1" applyBorder="1"/>
    <xf numFmtId="167" fontId="14" fillId="5" borderId="11" xfId="2" applyNumberFormat="1" applyFont="1" applyFill="1" applyBorder="1"/>
    <xf numFmtId="6" fontId="14" fillId="5" borderId="1" xfId="1" applyNumberFormat="1" applyFont="1" applyFill="1" applyBorder="1" applyAlignment="1">
      <alignment horizontal="right"/>
    </xf>
    <xf numFmtId="167" fontId="14" fillId="4" borderId="6" xfId="0" applyNumberFormat="1" applyFont="1" applyFill="1" applyBorder="1"/>
    <xf numFmtId="167" fontId="14" fillId="4" borderId="7" xfId="0" applyNumberFormat="1" applyFont="1" applyFill="1" applyBorder="1"/>
    <xf numFmtId="167" fontId="14" fillId="4" borderId="9" xfId="0" applyNumberFormat="1" applyFont="1" applyFill="1" applyBorder="1"/>
    <xf numFmtId="6" fontId="14" fillId="5" borderId="9" xfId="0" applyNumberFormat="1" applyFont="1" applyFill="1" applyBorder="1"/>
    <xf numFmtId="0" fontId="14" fillId="4" borderId="2" xfId="0" applyFont="1" applyFill="1" applyBorder="1"/>
    <xf numFmtId="167" fontId="14" fillId="0" borderId="7" xfId="2" applyNumberFormat="1" applyFont="1" applyFill="1" applyBorder="1" applyAlignment="1"/>
    <xf numFmtId="167" fontId="14" fillId="5" borderId="7" xfId="2" applyNumberFormat="1" applyFont="1" applyFill="1" applyBorder="1"/>
    <xf numFmtId="167" fontId="14" fillId="0" borderId="7" xfId="2" applyNumberFormat="1" applyFont="1" applyFill="1" applyBorder="1"/>
    <xf numFmtId="167" fontId="14" fillId="5" borderId="9" xfId="2" applyNumberFormat="1" applyFont="1" applyFill="1" applyBorder="1"/>
    <xf numFmtId="0" fontId="18" fillId="5" borderId="17" xfId="0" applyFont="1" applyFill="1" applyBorder="1" applyAlignment="1">
      <alignment horizontal="left" vertical="center" wrapText="1"/>
    </xf>
    <xf numFmtId="6" fontId="18" fillId="5" borderId="17" xfId="0" applyNumberFormat="1" applyFont="1" applyFill="1" applyBorder="1" applyAlignment="1">
      <alignment horizontal="left" vertical="center" wrapText="1"/>
    </xf>
    <xf numFmtId="0" fontId="5" fillId="5" borderId="17" xfId="0" applyFont="1" applyFill="1" applyBorder="1" applyAlignment="1">
      <alignment horizontal="left" vertical="center" wrapText="1"/>
    </xf>
    <xf numFmtId="8" fontId="18" fillId="5" borderId="17" xfId="0" applyNumberFormat="1" applyFont="1" applyFill="1" applyBorder="1" applyAlignment="1">
      <alignment horizontal="left" vertical="center" wrapText="1"/>
    </xf>
    <xf numFmtId="0" fontId="5" fillId="5" borderId="0" xfId="0" applyFont="1" applyFill="1" applyBorder="1"/>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6" fontId="18" fillId="5" borderId="19" xfId="0" applyNumberFormat="1" applyFont="1" applyFill="1" applyBorder="1" applyAlignment="1">
      <alignment horizontal="left" vertical="center" wrapText="1"/>
    </xf>
    <xf numFmtId="10" fontId="18" fillId="5" borderId="19" xfId="0" applyNumberFormat="1" applyFont="1" applyFill="1" applyBorder="1" applyAlignment="1">
      <alignment horizontal="left" vertical="center" wrapText="1"/>
    </xf>
    <xf numFmtId="0" fontId="5" fillId="5" borderId="19" xfId="0" applyFont="1" applyFill="1" applyBorder="1" applyAlignment="1">
      <alignment horizontal="left" vertical="center" wrapText="1"/>
    </xf>
    <xf numFmtId="8" fontId="18" fillId="5" borderId="19" xfId="0" applyNumberFormat="1"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6" fontId="18" fillId="5" borderId="22" xfId="0" applyNumberFormat="1" applyFont="1" applyFill="1" applyBorder="1" applyAlignment="1">
      <alignment horizontal="left" vertical="center" wrapText="1"/>
    </xf>
    <xf numFmtId="0" fontId="5" fillId="5" borderId="22" xfId="0" applyFont="1" applyFill="1" applyBorder="1" applyAlignment="1">
      <alignment horizontal="left" vertical="center" wrapText="1"/>
    </xf>
    <xf numFmtId="8" fontId="18" fillId="5" borderId="22" xfId="0" applyNumberFormat="1" applyFont="1" applyFill="1" applyBorder="1" applyAlignment="1">
      <alignment horizontal="left" vertical="center" wrapText="1"/>
    </xf>
    <xf numFmtId="165" fontId="18" fillId="5" borderId="19" xfId="0" applyNumberFormat="1" applyFont="1" applyFill="1" applyBorder="1" applyAlignment="1">
      <alignment horizontal="left" vertical="center" wrapText="1"/>
    </xf>
    <xf numFmtId="6" fontId="5" fillId="5" borderId="17" xfId="0" applyNumberFormat="1"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5" xfId="0" applyFont="1" applyFill="1" applyBorder="1" applyAlignment="1">
      <alignment horizontal="left" vertical="center" wrapText="1"/>
    </xf>
    <xf numFmtId="6" fontId="18" fillId="5" borderId="25" xfId="0" applyNumberFormat="1" applyFont="1" applyFill="1" applyBorder="1" applyAlignment="1">
      <alignment horizontal="left" vertical="center" wrapText="1"/>
    </xf>
    <xf numFmtId="10" fontId="18" fillId="5" borderId="25" xfId="0" applyNumberFormat="1" applyFont="1" applyFill="1" applyBorder="1" applyAlignment="1">
      <alignment horizontal="left" vertical="center" wrapText="1"/>
    </xf>
    <xf numFmtId="0" fontId="5" fillId="5" borderId="25" xfId="0" applyFont="1" applyFill="1" applyBorder="1" applyAlignment="1">
      <alignment horizontal="left" vertical="center" wrapText="1"/>
    </xf>
    <xf numFmtId="8" fontId="18" fillId="5" borderId="25" xfId="0" applyNumberFormat="1"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7" xfId="0" applyFont="1" applyFill="1" applyBorder="1" applyAlignment="1">
      <alignment horizontal="left" vertical="center" wrapText="1"/>
    </xf>
    <xf numFmtId="10" fontId="5" fillId="5" borderId="25" xfId="0" applyNumberFormat="1" applyFont="1" applyFill="1" applyBorder="1" applyAlignment="1">
      <alignment horizontal="left" vertical="center" wrapText="1"/>
    </xf>
    <xf numFmtId="0" fontId="5" fillId="3" borderId="0" xfId="0" applyFont="1" applyFill="1" applyBorder="1"/>
    <xf numFmtId="6" fontId="18" fillId="5" borderId="26" xfId="0" applyNumberFormat="1" applyFont="1" applyFill="1" applyBorder="1" applyAlignment="1">
      <alignment horizontal="left" vertical="center" wrapText="1"/>
    </xf>
    <xf numFmtId="0" fontId="18" fillId="2" borderId="5" xfId="0"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15" xfId="0" applyFont="1" applyFill="1" applyBorder="1" applyAlignment="1">
      <alignment horizontal="center" vertical="center"/>
    </xf>
    <xf numFmtId="0" fontId="0" fillId="4" borderId="0" xfId="0" applyFill="1"/>
    <xf numFmtId="0" fontId="18" fillId="3" borderId="28" xfId="0" applyFont="1" applyFill="1" applyBorder="1" applyAlignment="1">
      <alignment horizontal="left" vertical="center" wrapText="1"/>
    </xf>
    <xf numFmtId="0" fontId="18" fillId="3" borderId="27" xfId="0" applyFont="1" applyFill="1" applyBorder="1" applyAlignment="1">
      <alignment horizontal="left" vertical="center"/>
    </xf>
    <xf numFmtId="165" fontId="5" fillId="0" borderId="0" xfId="0" applyNumberFormat="1" applyFont="1"/>
    <xf numFmtId="0" fontId="6" fillId="0" borderId="0" xfId="0" applyFont="1"/>
    <xf numFmtId="0" fontId="17" fillId="0" borderId="4" xfId="0" applyFont="1" applyFill="1" applyBorder="1" applyAlignment="1">
      <alignment horizontal="left" vertical="center" wrapText="1"/>
    </xf>
    <xf numFmtId="0" fontId="17" fillId="0" borderId="4" xfId="0" applyFont="1" applyBorder="1" applyAlignment="1">
      <alignment vertical="center" wrapText="1"/>
    </xf>
    <xf numFmtId="0" fontId="18" fillId="0" borderId="4" xfId="0" applyFont="1" applyFill="1" applyBorder="1" applyAlignment="1">
      <alignment horizontal="left" vertical="center" wrapText="1"/>
    </xf>
    <xf numFmtId="9" fontId="18" fillId="0" borderId="4" xfId="0" applyNumberFormat="1" applyFont="1" applyBorder="1"/>
    <xf numFmtId="0" fontId="18" fillId="0" borderId="4" xfId="0" applyFont="1" applyFill="1" applyBorder="1" applyAlignment="1">
      <alignment horizontal="left" vertical="center"/>
    </xf>
    <xf numFmtId="0" fontId="14" fillId="4" borderId="0" xfId="0" applyFont="1" applyFill="1" applyBorder="1"/>
    <xf numFmtId="1" fontId="14" fillId="4" borderId="0" xfId="0" applyNumberFormat="1" applyFont="1" applyFill="1" applyBorder="1"/>
    <xf numFmtId="6" fontId="18" fillId="5" borderId="0" xfId="0" applyNumberFormat="1" applyFont="1" applyFill="1" applyBorder="1" applyAlignment="1">
      <alignment horizontal="left" vertical="center" wrapText="1"/>
    </xf>
    <xf numFmtId="6" fontId="18" fillId="5" borderId="29" xfId="0" applyNumberFormat="1" applyFont="1" applyFill="1" applyBorder="1" applyAlignment="1">
      <alignment horizontal="left" vertical="center" wrapText="1"/>
    </xf>
    <xf numFmtId="8" fontId="18" fillId="5" borderId="30" xfId="0" applyNumberFormat="1" applyFont="1" applyFill="1" applyBorder="1" applyAlignment="1">
      <alignment horizontal="left" vertical="center" wrapText="1"/>
    </xf>
    <xf numFmtId="6" fontId="18" fillId="0" borderId="29" xfId="0" applyNumberFormat="1" applyFont="1" applyFill="1" applyBorder="1" applyAlignment="1">
      <alignment horizontal="left" vertical="center" wrapText="1"/>
    </xf>
    <xf numFmtId="6" fontId="18" fillId="5" borderId="30" xfId="0" applyNumberFormat="1" applyFont="1" applyFill="1" applyBorder="1" applyAlignment="1">
      <alignment horizontal="left" vertical="center" wrapText="1"/>
    </xf>
    <xf numFmtId="6" fontId="18" fillId="0" borderId="30" xfId="0" applyNumberFormat="1" applyFont="1" applyFill="1" applyBorder="1" applyAlignment="1">
      <alignment horizontal="left" vertical="center" wrapText="1"/>
    </xf>
    <xf numFmtId="0" fontId="18" fillId="5" borderId="30" xfId="0" applyFont="1" applyFill="1" applyBorder="1" applyAlignment="1">
      <alignment horizontal="left" vertical="center" wrapText="1"/>
    </xf>
    <xf numFmtId="0" fontId="18" fillId="0" borderId="28" xfId="0" applyFont="1" applyFill="1" applyBorder="1" applyAlignment="1">
      <alignment horizontal="left" vertical="center" wrapText="1"/>
    </xf>
    <xf numFmtId="6" fontId="18" fillId="0" borderId="20" xfId="0" applyNumberFormat="1" applyFont="1" applyFill="1" applyBorder="1" applyAlignment="1">
      <alignment horizontal="left" vertical="center" wrapText="1"/>
    </xf>
    <xf numFmtId="6" fontId="18" fillId="4" borderId="27" xfId="0" applyNumberFormat="1" applyFont="1" applyFill="1" applyBorder="1" applyAlignment="1">
      <alignment horizontal="left" vertical="center"/>
    </xf>
    <xf numFmtId="0" fontId="8" fillId="0" borderId="0" xfId="0" applyFont="1" applyFill="1" applyBorder="1" applyAlignment="1"/>
    <xf numFmtId="167" fontId="5" fillId="0" borderId="4" xfId="2" applyNumberFormat="1" applyFont="1" applyBorder="1"/>
    <xf numFmtId="167" fontId="18" fillId="0" borderId="4" xfId="2" applyNumberFormat="1" applyFont="1" applyBorder="1"/>
    <xf numFmtId="167" fontId="18" fillId="0" borderId="4" xfId="0" applyNumberFormat="1" applyFont="1" applyBorder="1"/>
    <xf numFmtId="6" fontId="18" fillId="0" borderId="0" xfId="0" applyNumberFormat="1" applyFont="1" applyFill="1" applyBorder="1" applyAlignment="1">
      <alignment horizontal="left" vertical="center" wrapText="1"/>
    </xf>
    <xf numFmtId="6" fontId="18" fillId="0" borderId="21" xfId="0" applyNumberFormat="1" applyFont="1" applyFill="1" applyBorder="1" applyAlignment="1">
      <alignment horizontal="left" vertical="center" wrapText="1"/>
    </xf>
    <xf numFmtId="6" fontId="18" fillId="0" borderId="18" xfId="0" applyNumberFormat="1"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31" xfId="0" applyFont="1" applyFill="1" applyBorder="1" applyAlignment="1">
      <alignment horizontal="left" vertical="center" wrapText="1"/>
    </xf>
    <xf numFmtId="6" fontId="14" fillId="4" borderId="1" xfId="0" applyNumberFormat="1" applyFont="1" applyFill="1" applyBorder="1"/>
    <xf numFmtId="6" fontId="14" fillId="4" borderId="1" xfId="0" applyNumberFormat="1" applyFont="1" applyFill="1" applyBorder="1" applyAlignment="1">
      <alignment horizontal="right"/>
    </xf>
    <xf numFmtId="6" fontId="14" fillId="4" borderId="7" xfId="0" applyNumberFormat="1" applyFont="1" applyFill="1" applyBorder="1" applyAlignment="1">
      <alignment horizontal="right"/>
    </xf>
    <xf numFmtId="164" fontId="14" fillId="4" borderId="1" xfId="0" applyNumberFormat="1" applyFont="1" applyFill="1" applyBorder="1"/>
    <xf numFmtId="167" fontId="14" fillId="4" borderId="1" xfId="2" applyNumberFormat="1" applyFont="1" applyFill="1" applyBorder="1"/>
    <xf numFmtId="164" fontId="14" fillId="5" borderId="1" xfId="0" applyNumberFormat="1" applyFont="1" applyFill="1" applyBorder="1" applyAlignment="1">
      <alignment horizontal="right" vertical="center" wrapText="1"/>
    </xf>
    <xf numFmtId="164" fontId="14" fillId="0" borderId="10" xfId="0" applyNumberFormat="1" applyFont="1" applyFill="1" applyBorder="1" applyAlignment="1">
      <alignment horizontal="right" wrapText="1"/>
    </xf>
    <xf numFmtId="164" fontId="14" fillId="0" borderId="1" xfId="0" applyNumberFormat="1" applyFont="1" applyFill="1" applyBorder="1" applyAlignment="1">
      <alignment horizontal="right"/>
    </xf>
    <xf numFmtId="8" fontId="14" fillId="0" borderId="10" xfId="0" applyNumberFormat="1" applyFont="1" applyFill="1" applyBorder="1" applyAlignment="1">
      <alignment wrapText="1"/>
    </xf>
    <xf numFmtId="8" fontId="14" fillId="0" borderId="1" xfId="0" applyNumberFormat="1" applyFont="1" applyFill="1" applyBorder="1" applyAlignment="1">
      <alignment wrapText="1"/>
    </xf>
    <xf numFmtId="8" fontId="14" fillId="5" borderId="11" xfId="0" applyNumberFormat="1" applyFont="1" applyFill="1" applyBorder="1" applyAlignment="1">
      <alignment wrapText="1"/>
    </xf>
    <xf numFmtId="8" fontId="14" fillId="0" borderId="1" xfId="0" applyNumberFormat="1" applyFont="1" applyFill="1" applyBorder="1" applyAlignment="1">
      <alignment horizontal="right" wrapText="1"/>
    </xf>
    <xf numFmtId="165" fontId="14" fillId="0" borderId="1" xfId="0" applyNumberFormat="1" applyFont="1" applyFill="1" applyBorder="1" applyAlignment="1">
      <alignment wrapText="1"/>
    </xf>
    <xf numFmtId="8" fontId="14" fillId="5" borderId="1" xfId="0" applyNumberFormat="1" applyFont="1" applyFill="1" applyBorder="1" applyAlignment="1">
      <alignment wrapText="1"/>
    </xf>
    <xf numFmtId="165" fontId="14" fillId="5" borderId="11" xfId="0" applyNumberFormat="1" applyFont="1" applyFill="1" applyBorder="1" applyAlignment="1">
      <alignment horizontal="right" wrapText="1"/>
    </xf>
    <xf numFmtId="10" fontId="14" fillId="5" borderId="9" xfId="0" applyNumberFormat="1" applyFont="1" applyFill="1" applyBorder="1" applyAlignment="1">
      <alignment horizontal="right" wrapText="1"/>
    </xf>
    <xf numFmtId="0" fontId="18" fillId="4" borderId="0" xfId="0" applyFont="1" applyFill="1" applyBorder="1" applyAlignment="1">
      <alignment horizontal="left" vertical="center" wrapText="1"/>
    </xf>
    <xf numFmtId="10" fontId="18" fillId="4" borderId="0" xfId="0" applyNumberFormat="1" applyFont="1" applyFill="1" applyBorder="1" applyAlignment="1">
      <alignment horizontal="center" vertical="center" wrapText="1"/>
    </xf>
    <xf numFmtId="6" fontId="18" fillId="4" borderId="0" xfId="0" applyNumberFormat="1" applyFont="1" applyFill="1" applyBorder="1" applyAlignment="1">
      <alignment horizontal="left" vertical="center" wrapText="1"/>
    </xf>
    <xf numFmtId="8" fontId="18" fillId="4" borderId="0" xfId="0" applyNumberFormat="1" applyFont="1" applyFill="1" applyBorder="1" applyAlignment="1">
      <alignment horizontal="left" vertical="center" wrapText="1"/>
    </xf>
    <xf numFmtId="6" fontId="17" fillId="5" borderId="27" xfId="0" applyNumberFormat="1" applyFont="1" applyFill="1" applyBorder="1" applyAlignment="1">
      <alignment vertical="center" wrapText="1"/>
    </xf>
    <xf numFmtId="10" fontId="18" fillId="5" borderId="27" xfId="0" applyNumberFormat="1" applyFont="1" applyFill="1" applyBorder="1" applyAlignment="1">
      <alignment horizontal="center" vertical="center" wrapText="1"/>
    </xf>
    <xf numFmtId="10" fontId="18" fillId="5" borderId="27" xfId="0" applyNumberFormat="1" applyFont="1" applyFill="1" applyBorder="1" applyAlignment="1">
      <alignment horizontal="left" vertical="center" wrapText="1"/>
    </xf>
    <xf numFmtId="0" fontId="18" fillId="5" borderId="27" xfId="0" applyFont="1" applyFill="1" applyBorder="1" applyAlignment="1">
      <alignment horizontal="left" vertical="center" wrapText="1"/>
    </xf>
    <xf numFmtId="6" fontId="18" fillId="5" borderId="27" xfId="0" applyNumberFormat="1" applyFont="1" applyFill="1" applyBorder="1" applyAlignment="1">
      <alignment horizontal="left" vertical="center" wrapText="1"/>
    </xf>
    <xf numFmtId="8" fontId="18" fillId="5" borderId="27" xfId="0" applyNumberFormat="1" applyFont="1" applyFill="1" applyBorder="1" applyAlignment="1">
      <alignment horizontal="left" vertical="center" wrapText="1"/>
    </xf>
    <xf numFmtId="6" fontId="18" fillId="5" borderId="28" xfId="0" applyNumberFormat="1" applyFont="1" applyFill="1" applyBorder="1" applyAlignment="1">
      <alignment vertical="center" wrapText="1"/>
    </xf>
    <xf numFmtId="0" fontId="18" fillId="4" borderId="21" xfId="0" applyFont="1" applyFill="1" applyBorder="1" applyAlignment="1">
      <alignment horizontal="left" vertical="center" wrapText="1"/>
    </xf>
    <xf numFmtId="6" fontId="18" fillId="4" borderId="21" xfId="0" applyNumberFormat="1" applyFont="1" applyFill="1" applyBorder="1" applyAlignment="1">
      <alignment horizontal="left" vertical="center" wrapText="1"/>
    </xf>
    <xf numFmtId="167" fontId="5" fillId="0" borderId="4" xfId="0" applyNumberFormat="1" applyFont="1" applyBorder="1"/>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xf>
    <xf numFmtId="0" fontId="14" fillId="2" borderId="11" xfId="0" applyFont="1" applyFill="1" applyBorder="1" applyAlignment="1">
      <alignment horizontal="center" vertical="center" wrapText="1"/>
    </xf>
    <xf numFmtId="6" fontId="14" fillId="4" borderId="0" xfId="0" applyNumberFormat="1" applyFont="1" applyFill="1" applyAlignment="1">
      <alignment wrapText="1"/>
    </xf>
    <xf numFmtId="0" fontId="14" fillId="2" borderId="10" xfId="0" applyFont="1" applyFill="1" applyBorder="1" applyAlignment="1">
      <alignment horizontal="center" vertical="center" wrapText="1"/>
    </xf>
    <xf numFmtId="168" fontId="14" fillId="5" borderId="7" xfId="10" applyNumberFormat="1" applyFont="1" applyFill="1" applyBorder="1"/>
    <xf numFmtId="168" fontId="14" fillId="5" borderId="9" xfId="10" applyNumberFormat="1" applyFont="1" applyFill="1" applyBorder="1"/>
    <xf numFmtId="6" fontId="14" fillId="0" borderId="11" xfId="0" applyNumberFormat="1" applyFont="1" applyFill="1" applyBorder="1" applyAlignment="1">
      <alignment wrapText="1"/>
    </xf>
    <xf numFmtId="10" fontId="14" fillId="0" borderId="11" xfId="2" applyNumberFormat="1" applyFont="1" applyFill="1" applyBorder="1" applyAlignment="1">
      <alignment horizontal="right" wrapText="1"/>
    </xf>
    <xf numFmtId="6" fontId="14" fillId="0" borderId="3" xfId="0" applyNumberFormat="1" applyFont="1" applyFill="1" applyBorder="1"/>
    <xf numFmtId="6" fontId="14" fillId="0" borderId="11" xfId="1" applyNumberFormat="1" applyFont="1" applyFill="1" applyBorder="1" applyAlignment="1">
      <alignment horizontal="right"/>
    </xf>
    <xf numFmtId="6" fontId="14" fillId="0" borderId="3" xfId="0" applyNumberFormat="1" applyFont="1" applyFill="1" applyBorder="1" applyAlignment="1">
      <alignment horizontal="right"/>
    </xf>
    <xf numFmtId="0" fontId="14" fillId="2" borderId="6" xfId="0" applyFont="1" applyFill="1" applyBorder="1" applyAlignment="1">
      <alignment horizontal="center" vertical="center" wrapText="1"/>
    </xf>
    <xf numFmtId="0" fontId="14" fillId="2" borderId="15" xfId="0" applyFont="1" applyFill="1" applyBorder="1" applyAlignment="1">
      <alignment horizontal="center" vertical="center" wrapText="1"/>
    </xf>
    <xf numFmtId="6" fontId="14" fillId="0" borderId="0" xfId="0" applyNumberFormat="1" applyFont="1" applyFill="1" applyBorder="1" applyAlignment="1">
      <alignment wrapText="1"/>
    </xf>
    <xf numFmtId="164" fontId="14" fillId="0" borderId="0" xfId="0" applyNumberFormat="1" applyFont="1" applyFill="1" applyBorder="1"/>
    <xf numFmtId="6" fontId="14" fillId="0" borderId="3" xfId="0" applyNumberFormat="1" applyFont="1" applyFill="1" applyBorder="1" applyAlignment="1">
      <alignment wrapText="1"/>
    </xf>
    <xf numFmtId="164" fontId="14" fillId="0" borderId="3" xfId="0" applyNumberFormat="1" applyFont="1" applyFill="1" applyBorder="1"/>
    <xf numFmtId="0" fontId="14" fillId="2" borderId="10"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1" xfId="0" applyFont="1" applyFill="1" applyBorder="1" applyAlignment="1">
      <alignment horizontal="left" vertical="center"/>
    </xf>
    <xf numFmtId="0" fontId="14" fillId="2" borderId="5" xfId="0" applyFont="1" applyFill="1" applyBorder="1" applyAlignment="1">
      <alignment horizontal="center" vertical="center" wrapText="1"/>
    </xf>
    <xf numFmtId="10" fontId="14" fillId="0" borderId="2" xfId="2" applyNumberFormat="1" applyFont="1" applyFill="1" applyBorder="1" applyAlignment="1">
      <alignment horizontal="right" wrapText="1"/>
    </xf>
    <xf numFmtId="10" fontId="14" fillId="0" borderId="8" xfId="2" applyNumberFormat="1" applyFont="1" applyFill="1" applyBorder="1" applyAlignment="1">
      <alignment horizontal="right" wrapText="1"/>
    </xf>
    <xf numFmtId="167" fontId="14" fillId="4" borderId="0" xfId="0" applyNumberFormat="1" applyFont="1" applyFill="1" applyBorder="1"/>
    <xf numFmtId="165" fontId="14" fillId="4" borderId="0" xfId="0" applyNumberFormat="1" applyFont="1" applyFill="1" applyBorder="1"/>
    <xf numFmtId="0" fontId="8" fillId="4" borderId="0" xfId="0" applyFont="1" applyFill="1" applyBorder="1" applyAlignment="1">
      <alignment horizontal="left" vertical="center"/>
    </xf>
    <xf numFmtId="0" fontId="8" fillId="3" borderId="0" xfId="0" applyFont="1" applyFill="1" applyBorder="1" applyAlignment="1">
      <alignment horizontal="left" vertical="center"/>
    </xf>
    <xf numFmtId="0" fontId="14" fillId="0" borderId="10" xfId="0" applyFont="1" applyFill="1" applyBorder="1" applyAlignment="1">
      <alignment horizontal="left" vertical="center" wrapText="1"/>
    </xf>
    <xf numFmtId="6" fontId="14" fillId="0" borderId="15" xfId="0" applyNumberFormat="1" applyFont="1" applyFill="1" applyBorder="1" applyAlignment="1">
      <alignment wrapText="1"/>
    </xf>
    <xf numFmtId="6" fontId="14" fillId="0" borderId="10" xfId="0" applyNumberFormat="1" applyFont="1" applyFill="1" applyBorder="1" applyAlignment="1">
      <alignment wrapText="1"/>
    </xf>
    <xf numFmtId="6" fontId="14" fillId="0" borderId="10" xfId="0" applyNumberFormat="1" applyFont="1" applyFill="1" applyBorder="1" applyAlignment="1">
      <alignment horizontal="right"/>
    </xf>
    <xf numFmtId="6" fontId="14" fillId="0" borderId="15" xfId="0" applyNumberFormat="1" applyFont="1" applyFill="1" applyBorder="1"/>
    <xf numFmtId="6" fontId="14" fillId="0" borderId="15" xfId="0" applyNumberFormat="1" applyFont="1" applyFill="1" applyBorder="1" applyAlignment="1">
      <alignment horizontal="right"/>
    </xf>
    <xf numFmtId="164" fontId="14" fillId="0" borderId="15" xfId="0" applyNumberFormat="1" applyFont="1" applyFill="1" applyBorder="1"/>
    <xf numFmtId="6" fontId="14" fillId="0" borderId="10" xfId="0" applyNumberFormat="1" applyFont="1" applyFill="1" applyBorder="1"/>
    <xf numFmtId="6" fontId="14" fillId="0" borderId="10" xfId="1" applyNumberFormat="1" applyFont="1" applyFill="1" applyBorder="1" applyAlignment="1">
      <alignment horizontal="right"/>
    </xf>
    <xf numFmtId="0" fontId="14" fillId="0" borderId="10" xfId="0" applyFont="1" applyFill="1" applyBorder="1" applyAlignment="1">
      <alignment horizontal="left" vertical="center"/>
    </xf>
    <xf numFmtId="10" fontId="14" fillId="0" borderId="5" xfId="2" applyNumberFormat="1" applyFont="1" applyFill="1" applyBorder="1" applyAlignment="1">
      <alignment horizontal="right" wrapText="1"/>
    </xf>
    <xf numFmtId="0" fontId="14" fillId="0" borderId="4" xfId="0" applyFont="1" applyFill="1" applyBorder="1" applyAlignment="1">
      <alignment horizontal="left" vertical="center"/>
    </xf>
    <xf numFmtId="6" fontId="14" fillId="0" borderId="14" xfId="0" applyNumberFormat="1" applyFont="1" applyFill="1" applyBorder="1" applyAlignment="1">
      <alignment wrapText="1"/>
    </xf>
    <xf numFmtId="6" fontId="14" fillId="0" borderId="4" xfId="0" applyNumberFormat="1" applyFont="1" applyFill="1" applyBorder="1" applyAlignment="1">
      <alignment wrapText="1"/>
    </xf>
    <xf numFmtId="8" fontId="14" fillId="0" borderId="4" xfId="0" applyNumberFormat="1" applyFont="1" applyFill="1" applyBorder="1" applyAlignment="1">
      <alignment wrapText="1"/>
    </xf>
    <xf numFmtId="10" fontId="14" fillId="0" borderId="13" xfId="0" applyNumberFormat="1" applyFont="1" applyFill="1" applyBorder="1" applyAlignment="1">
      <alignment wrapText="1"/>
    </xf>
    <xf numFmtId="10" fontId="14" fillId="0" borderId="4" xfId="2" applyNumberFormat="1" applyFont="1" applyFill="1" applyBorder="1" applyAlignment="1">
      <alignment horizontal="right" wrapText="1"/>
    </xf>
    <xf numFmtId="6" fontId="14" fillId="0" borderId="14" xfId="0" applyNumberFormat="1" applyFont="1" applyFill="1" applyBorder="1"/>
    <xf numFmtId="6" fontId="14" fillId="0" borderId="4" xfId="0" applyNumberFormat="1" applyFont="1" applyFill="1" applyBorder="1"/>
    <xf numFmtId="6" fontId="14" fillId="0" borderId="14" xfId="0" applyNumberFormat="1" applyFont="1" applyFill="1" applyBorder="1" applyAlignment="1">
      <alignment horizontal="right"/>
    </xf>
    <xf numFmtId="6" fontId="14" fillId="0" borderId="4" xfId="0" applyNumberFormat="1" applyFont="1" applyFill="1" applyBorder="1" applyAlignment="1">
      <alignment horizontal="right"/>
    </xf>
    <xf numFmtId="164" fontId="14" fillId="0" borderId="14" xfId="0" applyNumberFormat="1" applyFont="1" applyFill="1" applyBorder="1"/>
    <xf numFmtId="167" fontId="14" fillId="0" borderId="4" xfId="2" applyNumberFormat="1" applyFont="1" applyFill="1" applyBorder="1"/>
    <xf numFmtId="10" fontId="14" fillId="0" borderId="12" xfId="2" applyNumberFormat="1" applyFont="1" applyFill="1" applyBorder="1" applyAlignment="1">
      <alignment horizontal="right" wrapText="1"/>
    </xf>
    <xf numFmtId="164" fontId="14" fillId="0" borderId="12" xfId="0" applyNumberFormat="1" applyFont="1" applyFill="1" applyBorder="1"/>
    <xf numFmtId="0" fontId="17" fillId="4" borderId="0"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4" xfId="0" applyFont="1" applyFill="1" applyBorder="1" applyAlignment="1">
      <alignment horizontal="left" vertical="center"/>
    </xf>
    <xf numFmtId="0" fontId="18" fillId="5" borderId="2" xfId="0" applyFont="1" applyFill="1" applyBorder="1" applyAlignment="1">
      <alignment horizontal="left" vertical="center"/>
    </xf>
    <xf numFmtId="0" fontId="18" fillId="5" borderId="1" xfId="0" applyFont="1" applyFill="1" applyBorder="1" applyAlignment="1">
      <alignment horizontal="left" vertical="center"/>
    </xf>
    <xf numFmtId="0" fontId="18" fillId="5" borderId="8" xfId="0" applyFont="1" applyFill="1" applyBorder="1" applyAlignment="1">
      <alignment horizontal="left" vertical="center"/>
    </xf>
    <xf numFmtId="0" fontId="18" fillId="5" borderId="11" xfId="0" applyFont="1" applyFill="1" applyBorder="1" applyAlignment="1">
      <alignment horizontal="left" vertical="center"/>
    </xf>
    <xf numFmtId="0" fontId="17" fillId="4" borderId="0" xfId="0" applyFont="1" applyFill="1" applyBorder="1" applyAlignment="1">
      <alignment vertical="center"/>
    </xf>
    <xf numFmtId="0" fontId="17" fillId="5" borderId="4" xfId="0" applyFont="1" applyFill="1" applyBorder="1" applyAlignment="1">
      <alignment vertical="center"/>
    </xf>
    <xf numFmtId="0" fontId="23" fillId="4" borderId="0" xfId="0" applyFont="1" applyFill="1"/>
    <xf numFmtId="0" fontId="24" fillId="4" borderId="0" xfId="0" applyFont="1" applyFill="1"/>
    <xf numFmtId="0" fontId="26" fillId="4" borderId="4" xfId="0" applyFont="1" applyFill="1" applyBorder="1" applyAlignment="1">
      <alignment vertical="center"/>
    </xf>
    <xf numFmtId="0" fontId="25" fillId="4" borderId="4" xfId="0" applyFont="1" applyFill="1" applyBorder="1" applyAlignment="1">
      <alignment vertical="top" wrapText="1"/>
    </xf>
    <xf numFmtId="0" fontId="25" fillId="0" borderId="13" xfId="0" applyFont="1" applyFill="1" applyBorder="1" applyAlignment="1">
      <alignment vertical="top" wrapText="1"/>
    </xf>
    <xf numFmtId="0" fontId="25" fillId="4" borderId="10" xfId="0" applyFont="1" applyFill="1" applyBorder="1" applyAlignment="1">
      <alignment vertical="top" wrapText="1"/>
    </xf>
    <xf numFmtId="0" fontId="27" fillId="0" borderId="13" xfId="0" applyFont="1" applyFill="1" applyBorder="1" applyAlignment="1">
      <alignment vertical="top" wrapText="1"/>
    </xf>
    <xf numFmtId="0" fontId="25" fillId="0" borderId="6" xfId="0" applyFont="1" applyFill="1" applyBorder="1" applyAlignment="1">
      <alignment vertical="top" wrapText="1"/>
    </xf>
    <xf numFmtId="0" fontId="25" fillId="4" borderId="0" xfId="0" applyFont="1" applyFill="1" applyAlignment="1">
      <alignment horizontal="left" vertical="top" wrapText="1"/>
    </xf>
    <xf numFmtId="0" fontId="25" fillId="4" borderId="0" xfId="0" applyFont="1" applyFill="1" applyAlignment="1">
      <alignment horizontal="left" vertical="top" wrapText="1"/>
    </xf>
    <xf numFmtId="0" fontId="17" fillId="3" borderId="28"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5" xfId="0" applyFont="1" applyFill="1" applyBorder="1" applyAlignment="1">
      <alignment horizontal="center" vertical="center" wrapText="1"/>
    </xf>
    <xf numFmtId="10" fontId="18" fillId="5" borderId="32" xfId="0" applyNumberFormat="1" applyFont="1" applyFill="1" applyBorder="1" applyAlignment="1">
      <alignment horizontal="center" vertical="center" wrapText="1"/>
    </xf>
    <xf numFmtId="10" fontId="18" fillId="5" borderId="22" xfId="0" applyNumberFormat="1" applyFont="1" applyFill="1" applyBorder="1" applyAlignment="1">
      <alignment horizontal="center" vertical="center" wrapText="1"/>
    </xf>
    <xf numFmtId="10" fontId="18" fillId="0" borderId="29" xfId="0" applyNumberFormat="1" applyFont="1" applyFill="1" applyBorder="1" applyAlignment="1">
      <alignment horizontal="center" vertical="center" wrapText="1"/>
    </xf>
    <xf numFmtId="10" fontId="18" fillId="0" borderId="17" xfId="0" applyNumberFormat="1" applyFont="1" applyFill="1" applyBorder="1" applyAlignment="1">
      <alignment horizontal="center" vertical="center" wrapText="1"/>
    </xf>
    <xf numFmtId="10" fontId="18" fillId="5" borderId="29" xfId="0" applyNumberFormat="1" applyFont="1" applyFill="1" applyBorder="1" applyAlignment="1">
      <alignment horizontal="center" vertical="center" wrapText="1"/>
    </xf>
    <xf numFmtId="10" fontId="18" fillId="5" borderId="17" xfId="0" applyNumberFormat="1" applyFont="1" applyFill="1" applyBorder="1" applyAlignment="1">
      <alignment horizontal="center" vertical="center" wrapText="1"/>
    </xf>
    <xf numFmtId="10" fontId="18" fillId="5" borderId="33" xfId="0" applyNumberFormat="1" applyFont="1" applyFill="1" applyBorder="1" applyAlignment="1">
      <alignment horizontal="center" vertical="center" wrapText="1"/>
    </xf>
    <xf numFmtId="10" fontId="18" fillId="5" borderId="19" xfId="0" applyNumberFormat="1" applyFont="1" applyFill="1" applyBorder="1" applyAlignment="1">
      <alignment horizontal="center" vertical="center" wrapText="1"/>
    </xf>
    <xf numFmtId="10" fontId="18" fillId="0" borderId="32" xfId="0" applyNumberFormat="1" applyFont="1" applyFill="1" applyBorder="1" applyAlignment="1">
      <alignment horizontal="center" vertical="center" wrapText="1"/>
    </xf>
    <xf numFmtId="10" fontId="18" fillId="0" borderId="22" xfId="0" applyNumberFormat="1" applyFont="1" applyFill="1" applyBorder="1" applyAlignment="1">
      <alignment horizontal="center" vertical="center" wrapText="1"/>
    </xf>
    <xf numFmtId="10" fontId="18" fillId="0" borderId="33" xfId="0" applyNumberFormat="1" applyFont="1" applyFill="1" applyBorder="1" applyAlignment="1">
      <alignment horizontal="center" vertical="center" wrapText="1"/>
    </xf>
    <xf numFmtId="10" fontId="18" fillId="0" borderId="19" xfId="0" applyNumberFormat="1" applyFont="1" applyFill="1" applyBorder="1" applyAlignment="1">
      <alignment horizontal="center" vertical="center" wrapText="1"/>
    </xf>
    <xf numFmtId="10" fontId="18" fillId="0" borderId="32" xfId="2" applyNumberFormat="1" applyFont="1" applyFill="1" applyBorder="1" applyAlignment="1">
      <alignment horizontal="center" vertical="center" wrapText="1"/>
    </xf>
    <xf numFmtId="10" fontId="18" fillId="0" borderId="22" xfId="2" applyNumberFormat="1" applyFont="1" applyFill="1" applyBorder="1" applyAlignment="1">
      <alignment horizontal="center" vertical="center" wrapText="1"/>
    </xf>
    <xf numFmtId="10" fontId="18" fillId="5" borderId="29" xfId="2" applyNumberFormat="1" applyFont="1" applyFill="1" applyBorder="1" applyAlignment="1">
      <alignment horizontal="center" vertical="center" wrapText="1"/>
    </xf>
    <xf numFmtId="10" fontId="18" fillId="5" borderId="17" xfId="2" applyNumberFormat="1" applyFont="1" applyFill="1" applyBorder="1" applyAlignment="1">
      <alignment horizontal="center" vertical="center" wrapText="1"/>
    </xf>
    <xf numFmtId="10" fontId="18" fillId="0" borderId="29" xfId="2" applyNumberFormat="1" applyFont="1" applyFill="1" applyBorder="1" applyAlignment="1">
      <alignment horizontal="center" vertical="center" wrapText="1"/>
    </xf>
    <xf numFmtId="10" fontId="18" fillId="0" borderId="17" xfId="2" applyNumberFormat="1" applyFont="1" applyFill="1" applyBorder="1" applyAlignment="1">
      <alignment horizontal="center" vertical="center" wrapText="1"/>
    </xf>
    <xf numFmtId="10" fontId="18" fillId="5" borderId="28" xfId="2" applyNumberFormat="1" applyFont="1" applyFill="1" applyBorder="1" applyAlignment="1">
      <alignment horizontal="center" vertical="center" wrapText="1"/>
    </xf>
    <xf numFmtId="10" fontId="18" fillId="5" borderId="25" xfId="2" applyNumberFormat="1" applyFont="1" applyFill="1" applyBorder="1" applyAlignment="1">
      <alignment horizontal="center" vertical="center" wrapText="1"/>
    </xf>
    <xf numFmtId="10" fontId="18" fillId="5" borderId="28" xfId="0" applyNumberFormat="1" applyFont="1" applyFill="1" applyBorder="1" applyAlignment="1">
      <alignment horizontal="center" vertical="center" wrapText="1"/>
    </xf>
    <xf numFmtId="10" fontId="18" fillId="5" borderId="25" xfId="0" applyNumberFormat="1" applyFont="1" applyFill="1" applyBorder="1" applyAlignment="1">
      <alignment horizontal="center" vertical="center" wrapText="1"/>
    </xf>
    <xf numFmtId="10" fontId="18" fillId="0" borderId="28" xfId="0" applyNumberFormat="1" applyFont="1" applyFill="1" applyBorder="1" applyAlignment="1">
      <alignment horizontal="center" vertical="center" wrapText="1"/>
    </xf>
    <xf numFmtId="10" fontId="18" fillId="0" borderId="25" xfId="0" applyNumberFormat="1"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10" fontId="14" fillId="0" borderId="2" xfId="0" applyNumberFormat="1" applyFont="1" applyFill="1" applyBorder="1" applyAlignment="1">
      <alignment horizontal="center" wrapText="1"/>
    </xf>
    <xf numFmtId="10" fontId="14" fillId="0" borderId="7" xfId="0" applyNumberFormat="1" applyFont="1" applyFill="1" applyBorder="1" applyAlignment="1">
      <alignment horizontal="center" wrapText="1"/>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0" fontId="14" fillId="2" borderId="1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 xfId="0" applyFont="1" applyFill="1" applyBorder="1" applyAlignment="1">
      <alignment horizontal="center" vertical="center" wrapText="1"/>
    </xf>
    <xf numFmtId="10" fontId="14" fillId="0" borderId="5" xfId="0" applyNumberFormat="1" applyFont="1" applyFill="1" applyBorder="1" applyAlignment="1">
      <alignment horizontal="center" wrapText="1"/>
    </xf>
    <xf numFmtId="10" fontId="14" fillId="0" borderId="6" xfId="0" applyNumberFormat="1" applyFont="1" applyFill="1" applyBorder="1" applyAlignment="1">
      <alignment horizontal="center" wrapText="1"/>
    </xf>
    <xf numFmtId="10" fontId="14" fillId="0" borderId="8" xfId="0" applyNumberFormat="1" applyFont="1" applyFill="1" applyBorder="1" applyAlignment="1">
      <alignment horizontal="center" wrapText="1"/>
    </xf>
    <xf numFmtId="10" fontId="14" fillId="0" borderId="9" xfId="0" applyNumberFormat="1" applyFont="1" applyFill="1" applyBorder="1" applyAlignment="1">
      <alignment horizontal="center" wrapText="1"/>
    </xf>
    <xf numFmtId="10" fontId="14" fillId="0" borderId="12" xfId="2" applyNumberFormat="1" applyFont="1" applyFill="1" applyBorder="1" applyAlignment="1">
      <alignment horizontal="center" wrapText="1"/>
    </xf>
    <xf numFmtId="10" fontId="14" fillId="0" borderId="13" xfId="2" applyNumberFormat="1" applyFont="1" applyFill="1" applyBorder="1" applyAlignment="1">
      <alignment horizontal="center" wrapText="1"/>
    </xf>
    <xf numFmtId="10" fontId="14" fillId="5" borderId="2" xfId="0" applyNumberFormat="1" applyFont="1" applyFill="1" applyBorder="1" applyAlignment="1">
      <alignment horizontal="center" wrapText="1"/>
    </xf>
    <xf numFmtId="10" fontId="14" fillId="5" borderId="7" xfId="0" applyNumberFormat="1" applyFont="1" applyFill="1" applyBorder="1" applyAlignment="1">
      <alignment horizontal="center" wrapText="1"/>
    </xf>
    <xf numFmtId="10" fontId="14" fillId="5" borderId="2" xfId="2" applyNumberFormat="1" applyFont="1" applyFill="1" applyBorder="1" applyAlignment="1">
      <alignment horizontal="center" wrapText="1"/>
    </xf>
    <xf numFmtId="10" fontId="14" fillId="5" borderId="7" xfId="2" applyNumberFormat="1" applyFont="1" applyFill="1" applyBorder="1" applyAlignment="1">
      <alignment horizontal="center" wrapText="1"/>
    </xf>
    <xf numFmtId="0" fontId="3" fillId="2" borderId="12" xfId="0" applyFont="1" applyFill="1" applyBorder="1" applyAlignment="1">
      <alignment horizontal="left" vertical="center"/>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cellXfs>
  <cellStyles count="11">
    <cellStyle name="Comma" xfId="10" builtinId="3"/>
    <cellStyle name="Currency" xfId="1" builtinId="4"/>
    <cellStyle name="Hyperlink" xfId="4" builtinId="8"/>
    <cellStyle name="Hyperlink 2" xfId="6"/>
    <cellStyle name="Normal" xfId="0" builtinId="0"/>
    <cellStyle name="Normal 2" xfId="3"/>
    <cellStyle name="Normal 3" xfId="5"/>
    <cellStyle name="Normal 3 2" xfId="9"/>
    <cellStyle name="Normal 4" xfId="7"/>
    <cellStyle name="Normal 5" xfId="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6373446382523E-2"/>
          <c:y val="4.7043099542453962E-2"/>
          <c:w val="0.65416377257548697"/>
          <c:h val="0.6276731611913946"/>
        </c:manualLayout>
      </c:layout>
      <c:lineChart>
        <c:grouping val="standard"/>
        <c:varyColors val="0"/>
        <c:ser>
          <c:idx val="1"/>
          <c:order val="1"/>
          <c:tx>
            <c:strRef>
              <c:f>'7. Charts '!$D$4</c:f>
              <c:strCache>
                <c:ptCount val="1"/>
                <c:pt idx="0">
                  <c:v>Taxi maximum surcharge</c:v>
                </c:pt>
              </c:strCache>
            </c:strRef>
          </c:tx>
          <c:marker>
            <c:symbol val="none"/>
          </c:marker>
          <c:cat>
            <c:strRef>
              <c:f>'7. Charts '!$B$5:$B$18</c:f>
              <c:strCache>
                <c:ptCount val="14"/>
                <c:pt idx="0">
                  <c:v>Hume Bank</c:v>
                </c:pt>
                <c:pt idx="1">
                  <c:v>NAB</c:v>
                </c:pt>
                <c:pt idx="2">
                  <c:v>First Data</c:v>
                </c:pt>
                <c:pt idx="3">
                  <c:v>Westpac</c:v>
                </c:pt>
                <c:pt idx="4">
                  <c:v>Bendigo Bank</c:v>
                </c:pt>
                <c:pt idx="5">
                  <c:v>Live eftpos</c:v>
                </c:pt>
                <c:pt idx="6">
                  <c:v>Bankwest</c:v>
                </c:pt>
                <c:pt idx="7">
                  <c:v>Commonwealth Bank</c:v>
                </c:pt>
                <c:pt idx="8">
                  <c:v>Mint</c:v>
                </c:pt>
                <c:pt idx="9">
                  <c:v>Tyro</c:v>
                </c:pt>
                <c:pt idx="10">
                  <c:v>Bank of Melbourne</c:v>
                </c:pt>
                <c:pt idx="11">
                  <c:v>Bank SA</c:v>
                </c:pt>
                <c:pt idx="12">
                  <c:v>St George</c:v>
                </c:pt>
                <c:pt idx="13">
                  <c:v>ANZ</c:v>
                </c:pt>
              </c:strCache>
            </c:strRef>
          </c:cat>
          <c:val>
            <c:numRef>
              <c:f>'7. Charts '!$D$5:$D$18</c:f>
              <c:numCache>
                <c:formatCode>0%</c:formatCode>
                <c:ptCount val="14"/>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numCache>
            </c:numRef>
          </c:val>
          <c:smooth val="0"/>
        </c:ser>
        <c:dLbls>
          <c:showLegendKey val="0"/>
          <c:showVal val="0"/>
          <c:showCatName val="0"/>
          <c:showSerName val="0"/>
          <c:showPercent val="0"/>
          <c:showBubbleSize val="0"/>
        </c:dLbls>
        <c:marker val="1"/>
        <c:smooth val="0"/>
        <c:axId val="112971776"/>
        <c:axId val="112973312"/>
      </c:lineChart>
      <c:scatterChart>
        <c:scatterStyle val="lineMarker"/>
        <c:varyColors val="0"/>
        <c:ser>
          <c:idx val="0"/>
          <c:order val="0"/>
          <c:tx>
            <c:strRef>
              <c:f>'7. Charts '!$C$4</c:f>
              <c:strCache>
                <c:ptCount val="1"/>
                <c:pt idx="0">
                  <c:v>Costs</c:v>
                </c:pt>
              </c:strCache>
            </c:strRef>
          </c:tx>
          <c:spPr>
            <a:ln w="28575">
              <a:noFill/>
            </a:ln>
          </c:spPr>
          <c:xVal>
            <c:strRef>
              <c:f>'7. Charts '!$B$5:$B$18</c:f>
              <c:strCache>
                <c:ptCount val="14"/>
                <c:pt idx="0">
                  <c:v>Hume Bank</c:v>
                </c:pt>
                <c:pt idx="1">
                  <c:v>NAB</c:v>
                </c:pt>
                <c:pt idx="2">
                  <c:v>First Data</c:v>
                </c:pt>
                <c:pt idx="3">
                  <c:v>Westpac</c:v>
                </c:pt>
                <c:pt idx="4">
                  <c:v>Bendigo Bank</c:v>
                </c:pt>
                <c:pt idx="5">
                  <c:v>Live eftpos</c:v>
                </c:pt>
                <c:pt idx="6">
                  <c:v>Bankwest</c:v>
                </c:pt>
                <c:pt idx="7">
                  <c:v>Commonwealth Bank</c:v>
                </c:pt>
                <c:pt idx="8">
                  <c:v>Mint</c:v>
                </c:pt>
                <c:pt idx="9">
                  <c:v>Tyro</c:v>
                </c:pt>
                <c:pt idx="10">
                  <c:v>Bank of Melbourne</c:v>
                </c:pt>
                <c:pt idx="11">
                  <c:v>Bank SA</c:v>
                </c:pt>
                <c:pt idx="12">
                  <c:v>St George</c:v>
                </c:pt>
                <c:pt idx="13">
                  <c:v>ANZ</c:v>
                </c:pt>
              </c:strCache>
            </c:strRef>
          </c:xVal>
          <c:yVal>
            <c:numRef>
              <c:f>'7. Charts '!$C$5:$C$18</c:f>
              <c:numCache>
                <c:formatCode>0.0%</c:formatCode>
                <c:ptCount val="14"/>
                <c:pt idx="0">
                  <c:v>2.464059445272393E-2</c:v>
                </c:pt>
                <c:pt idx="1">
                  <c:v>2.464059445272393E-2</c:v>
                </c:pt>
                <c:pt idx="2">
                  <c:v>2.4980293505465712E-2</c:v>
                </c:pt>
                <c:pt idx="3">
                  <c:v>2.9658007450687807E-2</c:v>
                </c:pt>
                <c:pt idx="4">
                  <c:v>3.0676583823296744E-2</c:v>
                </c:pt>
                <c:pt idx="5">
                  <c:v>3.0944876140884592E-2</c:v>
                </c:pt>
                <c:pt idx="6">
                  <c:v>3.1996864423298854E-2</c:v>
                </c:pt>
                <c:pt idx="7">
                  <c:v>3.1996864423298854E-2</c:v>
                </c:pt>
                <c:pt idx="8">
                  <c:v>3.2455071549330139E-2</c:v>
                </c:pt>
                <c:pt idx="9">
                  <c:v>3.4100678442908317E-2</c:v>
                </c:pt>
                <c:pt idx="10">
                  <c:v>3.4335721395909902E-2</c:v>
                </c:pt>
                <c:pt idx="11">
                  <c:v>3.4335721395909902E-2</c:v>
                </c:pt>
                <c:pt idx="12">
                  <c:v>3.4335721395909902E-2</c:v>
                </c:pt>
                <c:pt idx="13">
                  <c:v>3.6206806973998695E-2</c:v>
                </c:pt>
              </c:numCache>
            </c:numRef>
          </c:yVal>
          <c:smooth val="0"/>
        </c:ser>
        <c:dLbls>
          <c:showLegendKey val="0"/>
          <c:showVal val="0"/>
          <c:showCatName val="0"/>
          <c:showSerName val="0"/>
          <c:showPercent val="0"/>
          <c:showBubbleSize val="0"/>
        </c:dLbls>
        <c:axId val="112971776"/>
        <c:axId val="112973312"/>
      </c:scatterChart>
      <c:catAx>
        <c:axId val="112971776"/>
        <c:scaling>
          <c:orientation val="minMax"/>
        </c:scaling>
        <c:delete val="0"/>
        <c:axPos val="b"/>
        <c:majorTickMark val="out"/>
        <c:minorTickMark val="none"/>
        <c:tickLblPos val="nextTo"/>
        <c:txPr>
          <a:bodyPr rot="-2700000"/>
          <a:lstStyle/>
          <a:p>
            <a:pPr>
              <a:defRPr/>
            </a:pPr>
            <a:endParaRPr lang="en-US"/>
          </a:p>
        </c:txPr>
        <c:crossAx val="112973312"/>
        <c:crosses val="autoZero"/>
        <c:auto val="1"/>
        <c:lblAlgn val="ctr"/>
        <c:lblOffset val="100"/>
        <c:noMultiLvlLbl val="0"/>
      </c:catAx>
      <c:valAx>
        <c:axId val="112973312"/>
        <c:scaling>
          <c:orientation val="minMax"/>
        </c:scaling>
        <c:delete val="0"/>
        <c:axPos val="l"/>
        <c:majorGridlines/>
        <c:numFmt formatCode="0%" sourceLinked="1"/>
        <c:majorTickMark val="out"/>
        <c:minorTickMark val="none"/>
        <c:tickLblPos val="nextTo"/>
        <c:crossAx val="11297177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'7. Charts '!$D$23</c:f>
              <c:strCache>
                <c:ptCount val="1"/>
                <c:pt idx="0">
                  <c:v>Taxi maximum surcharge</c:v>
                </c:pt>
              </c:strCache>
            </c:strRef>
          </c:tx>
          <c:marker>
            <c:symbol val="none"/>
          </c:marker>
          <c:cat>
            <c:strRef>
              <c:f>'7. Charts '!$B$24:$B$33</c:f>
              <c:strCache>
                <c:ptCount val="10"/>
                <c:pt idx="0">
                  <c:v>Mint</c:v>
                </c:pt>
                <c:pt idx="1">
                  <c:v>Square</c:v>
                </c:pt>
                <c:pt idx="2">
                  <c:v>Commonwealth Bank</c:v>
                </c:pt>
                <c:pt idx="3">
                  <c:v>PayPal</c:v>
                </c:pt>
                <c:pt idx="4">
                  <c:v>Westpac</c:v>
                </c:pt>
                <c:pt idx="5">
                  <c:v>NAB</c:v>
                </c:pt>
                <c:pt idx="6">
                  <c:v>St George</c:v>
                </c:pt>
                <c:pt idx="7">
                  <c:v>ANZ</c:v>
                </c:pt>
                <c:pt idx="8">
                  <c:v>Bendigo Bank</c:v>
                </c:pt>
                <c:pt idx="9">
                  <c:v>Quest</c:v>
                </c:pt>
              </c:strCache>
            </c:strRef>
          </c:cat>
          <c:val>
            <c:numRef>
              <c:f>'7. Charts '!$D$24:$D$33</c:f>
              <c:numCache>
                <c:formatCode>0%</c:formatCode>
                <c:ptCount val="10"/>
                <c:pt idx="0">
                  <c:v>0.05</c:v>
                </c:pt>
                <c:pt idx="1">
                  <c:v>0.05</c:v>
                </c:pt>
                <c:pt idx="2">
                  <c:v>0.05</c:v>
                </c:pt>
                <c:pt idx="3">
                  <c:v>0.05</c:v>
                </c:pt>
                <c:pt idx="4">
                  <c:v>0.05</c:v>
                </c:pt>
                <c:pt idx="5">
                  <c:v>0.05</c:v>
                </c:pt>
                <c:pt idx="6">
                  <c:v>0.05</c:v>
                </c:pt>
                <c:pt idx="7">
                  <c:v>0.05</c:v>
                </c:pt>
                <c:pt idx="8">
                  <c:v>0.05</c:v>
                </c:pt>
                <c:pt idx="9">
                  <c:v>0.05</c:v>
                </c:pt>
              </c:numCache>
            </c:numRef>
          </c:val>
          <c:smooth val="0"/>
        </c:ser>
        <c:dLbls>
          <c:showLegendKey val="0"/>
          <c:showVal val="0"/>
          <c:showCatName val="0"/>
          <c:showSerName val="0"/>
          <c:showPercent val="0"/>
          <c:showBubbleSize val="0"/>
        </c:dLbls>
        <c:marker val="1"/>
        <c:smooth val="0"/>
        <c:axId val="123394304"/>
        <c:axId val="123408384"/>
      </c:lineChart>
      <c:scatterChart>
        <c:scatterStyle val="lineMarker"/>
        <c:varyColors val="0"/>
        <c:ser>
          <c:idx val="0"/>
          <c:order val="0"/>
          <c:tx>
            <c:strRef>
              <c:f>'7. Charts '!$C$23</c:f>
              <c:strCache>
                <c:ptCount val="1"/>
                <c:pt idx="0">
                  <c:v>Costs</c:v>
                </c:pt>
              </c:strCache>
            </c:strRef>
          </c:tx>
          <c:spPr>
            <a:ln w="28575">
              <a:noFill/>
            </a:ln>
          </c:spPr>
          <c:xVal>
            <c:strRef>
              <c:f>'7. Charts '!$B$24:$B$33</c:f>
              <c:strCache>
                <c:ptCount val="10"/>
                <c:pt idx="0">
                  <c:v>Mint</c:v>
                </c:pt>
                <c:pt idx="1">
                  <c:v>Square</c:v>
                </c:pt>
                <c:pt idx="2">
                  <c:v>Commonwealth Bank</c:v>
                </c:pt>
                <c:pt idx="3">
                  <c:v>PayPal</c:v>
                </c:pt>
                <c:pt idx="4">
                  <c:v>Westpac</c:v>
                </c:pt>
                <c:pt idx="5">
                  <c:v>NAB</c:v>
                </c:pt>
                <c:pt idx="6">
                  <c:v>St George</c:v>
                </c:pt>
                <c:pt idx="7">
                  <c:v>ANZ</c:v>
                </c:pt>
                <c:pt idx="8">
                  <c:v>Bendigo Bank</c:v>
                </c:pt>
                <c:pt idx="9">
                  <c:v>Quest</c:v>
                </c:pt>
              </c:strCache>
            </c:strRef>
          </c:xVal>
          <c:yVal>
            <c:numRef>
              <c:f>'7. Charts '!$C$24:$C$33</c:f>
              <c:numCache>
                <c:formatCode>0.0%</c:formatCode>
                <c:ptCount val="10"/>
                <c:pt idx="0">
                  <c:v>1.7702281046078072E-2</c:v>
                </c:pt>
                <c:pt idx="1">
                  <c:v>1.9913951447811495E-2</c:v>
                </c:pt>
                <c:pt idx="2">
                  <c:v>1.9962880507501835E-2</c:v>
                </c:pt>
                <c:pt idx="3">
                  <c:v>2.0926820114361311E-2</c:v>
                </c:pt>
                <c:pt idx="4">
                  <c:v>2.1511164322354892E-2</c:v>
                </c:pt>
                <c:pt idx="5">
                  <c:v>2.4286622339441344E-2</c:v>
                </c:pt>
                <c:pt idx="6">
                  <c:v>2.4706870918134838E-2</c:v>
                </c:pt>
                <c:pt idx="7">
                  <c:v>2.4953114296163426E-2</c:v>
                </c:pt>
                <c:pt idx="8">
                  <c:v>2.7086437771817184E-2</c:v>
                </c:pt>
                <c:pt idx="9">
                  <c:v>3.2096698308996974E-2</c:v>
                </c:pt>
              </c:numCache>
            </c:numRef>
          </c:yVal>
          <c:smooth val="0"/>
        </c:ser>
        <c:dLbls>
          <c:showLegendKey val="0"/>
          <c:showVal val="0"/>
          <c:showCatName val="0"/>
          <c:showSerName val="0"/>
          <c:showPercent val="0"/>
          <c:showBubbleSize val="0"/>
        </c:dLbls>
        <c:axId val="123394304"/>
        <c:axId val="123408384"/>
      </c:scatterChart>
      <c:catAx>
        <c:axId val="123394304"/>
        <c:scaling>
          <c:orientation val="minMax"/>
        </c:scaling>
        <c:delete val="0"/>
        <c:axPos val="b"/>
        <c:majorTickMark val="out"/>
        <c:minorTickMark val="none"/>
        <c:tickLblPos val="nextTo"/>
        <c:crossAx val="123408384"/>
        <c:crosses val="autoZero"/>
        <c:auto val="1"/>
        <c:lblAlgn val="ctr"/>
        <c:lblOffset val="100"/>
        <c:noMultiLvlLbl val="0"/>
      </c:catAx>
      <c:valAx>
        <c:axId val="123408384"/>
        <c:scaling>
          <c:orientation val="minMax"/>
        </c:scaling>
        <c:delete val="0"/>
        <c:axPos val="l"/>
        <c:majorGridlines/>
        <c:numFmt formatCode="0%" sourceLinked="1"/>
        <c:majorTickMark val="out"/>
        <c:minorTickMark val="none"/>
        <c:tickLblPos val="nextTo"/>
        <c:crossAx val="123394304"/>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99487236375081E-2"/>
          <c:y val="4.7043099542453962E-2"/>
          <c:w val="0.65530123970050203"/>
          <c:h val="0.6006334380277677"/>
        </c:manualLayout>
      </c:layout>
      <c:lineChart>
        <c:grouping val="standard"/>
        <c:varyColors val="0"/>
        <c:ser>
          <c:idx val="1"/>
          <c:order val="1"/>
          <c:tx>
            <c:strRef>
              <c:f>'14. Charts'!$D$4</c:f>
              <c:strCache>
                <c:ptCount val="1"/>
                <c:pt idx="0">
                  <c:v>Taxi maximum surcharge</c:v>
                </c:pt>
              </c:strCache>
            </c:strRef>
          </c:tx>
          <c:marker>
            <c:symbol val="none"/>
          </c:marker>
          <c:cat>
            <c:strRef>
              <c:f>'14. Charts'!$B$5:$B$18</c:f>
              <c:strCache>
                <c:ptCount val="14"/>
                <c:pt idx="0">
                  <c:v>Westpac</c:v>
                </c:pt>
                <c:pt idx="1">
                  <c:v>First Data</c:v>
                </c:pt>
                <c:pt idx="2">
                  <c:v>Bank of Melbourne</c:v>
                </c:pt>
                <c:pt idx="3">
                  <c:v>Bank SA</c:v>
                </c:pt>
                <c:pt idx="4">
                  <c:v>St George</c:v>
                </c:pt>
                <c:pt idx="5">
                  <c:v>Bankwest</c:v>
                </c:pt>
                <c:pt idx="6">
                  <c:v>Commonwealth Bank</c:v>
                </c:pt>
                <c:pt idx="7">
                  <c:v>ANZ</c:v>
                </c:pt>
                <c:pt idx="8">
                  <c:v>Hume Bank</c:v>
                </c:pt>
                <c:pt idx="9">
                  <c:v>NAB</c:v>
                </c:pt>
                <c:pt idx="10">
                  <c:v>Bendigo Bank</c:v>
                </c:pt>
                <c:pt idx="11">
                  <c:v>Mint</c:v>
                </c:pt>
                <c:pt idx="12">
                  <c:v>Live eftpos</c:v>
                </c:pt>
                <c:pt idx="13">
                  <c:v>Tyro</c:v>
                </c:pt>
              </c:strCache>
            </c:strRef>
          </c:cat>
          <c:val>
            <c:numRef>
              <c:f>'14. Charts'!$D$5:$D$18</c:f>
              <c:numCache>
                <c:formatCode>0%</c:formatCode>
                <c:ptCount val="14"/>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numCache>
            </c:numRef>
          </c:val>
          <c:smooth val="0"/>
        </c:ser>
        <c:dLbls>
          <c:showLegendKey val="0"/>
          <c:showVal val="0"/>
          <c:showCatName val="0"/>
          <c:showSerName val="0"/>
          <c:showPercent val="0"/>
          <c:showBubbleSize val="0"/>
        </c:dLbls>
        <c:marker val="1"/>
        <c:smooth val="0"/>
        <c:axId val="130299008"/>
        <c:axId val="130300544"/>
      </c:lineChart>
      <c:scatterChart>
        <c:scatterStyle val="lineMarker"/>
        <c:varyColors val="0"/>
        <c:ser>
          <c:idx val="0"/>
          <c:order val="0"/>
          <c:tx>
            <c:strRef>
              <c:f>'14. Charts'!$C$4</c:f>
              <c:strCache>
                <c:ptCount val="1"/>
                <c:pt idx="0">
                  <c:v>Costs</c:v>
                </c:pt>
              </c:strCache>
            </c:strRef>
          </c:tx>
          <c:spPr>
            <a:ln w="28575">
              <a:noFill/>
            </a:ln>
          </c:spPr>
          <c:xVal>
            <c:strRef>
              <c:f>'14. Charts'!$B$5:$B$18</c:f>
              <c:strCache>
                <c:ptCount val="14"/>
                <c:pt idx="0">
                  <c:v>Westpac</c:v>
                </c:pt>
                <c:pt idx="1">
                  <c:v>First Data</c:v>
                </c:pt>
                <c:pt idx="2">
                  <c:v>Bank of Melbourne</c:v>
                </c:pt>
                <c:pt idx="3">
                  <c:v>Bank SA</c:v>
                </c:pt>
                <c:pt idx="4">
                  <c:v>St George</c:v>
                </c:pt>
                <c:pt idx="5">
                  <c:v>Bankwest</c:v>
                </c:pt>
                <c:pt idx="6">
                  <c:v>Commonwealth Bank</c:v>
                </c:pt>
                <c:pt idx="7">
                  <c:v>ANZ</c:v>
                </c:pt>
                <c:pt idx="8">
                  <c:v>Hume Bank</c:v>
                </c:pt>
                <c:pt idx="9">
                  <c:v>NAB</c:v>
                </c:pt>
                <c:pt idx="10">
                  <c:v>Bendigo Bank</c:v>
                </c:pt>
                <c:pt idx="11">
                  <c:v>Mint</c:v>
                </c:pt>
                <c:pt idx="12">
                  <c:v>Live eftpos</c:v>
                </c:pt>
                <c:pt idx="13">
                  <c:v>Tyro</c:v>
                </c:pt>
              </c:strCache>
            </c:strRef>
          </c:xVal>
          <c:yVal>
            <c:numRef>
              <c:f>'14. Charts'!$C$5:$C$18</c:f>
              <c:numCache>
                <c:formatCode>0.0%</c:formatCode>
                <c:ptCount val="14"/>
                <c:pt idx="0">
                  <c:v>1.7039309291738025E-2</c:v>
                </c:pt>
                <c:pt idx="1">
                  <c:v>1.8834287886264844E-2</c:v>
                </c:pt>
                <c:pt idx="2">
                  <c:v>1.9378166264349073E-2</c:v>
                </c:pt>
                <c:pt idx="3">
                  <c:v>1.9378166264349073E-2</c:v>
                </c:pt>
                <c:pt idx="4">
                  <c:v>1.9378166264349073E-2</c:v>
                </c:pt>
                <c:pt idx="5">
                  <c:v>1.9962880507501835E-2</c:v>
                </c:pt>
                <c:pt idx="6">
                  <c:v>1.9962880507501835E-2</c:v>
                </c:pt>
                <c:pt idx="7">
                  <c:v>2.0068693862982601E-2</c:v>
                </c:pt>
                <c:pt idx="8">
                  <c:v>2.0547594750654596E-2</c:v>
                </c:pt>
                <c:pt idx="9">
                  <c:v>2.0547594750654596E-2</c:v>
                </c:pt>
                <c:pt idx="10">
                  <c:v>2.2958355813680553E-2</c:v>
                </c:pt>
                <c:pt idx="11">
                  <c:v>2.3333529356147187E-2</c:v>
                </c:pt>
                <c:pt idx="12">
                  <c:v>2.4163126463101703E-2</c:v>
                </c:pt>
                <c:pt idx="13">
                  <c:v>2.4066982030406914E-2</c:v>
                </c:pt>
              </c:numCache>
            </c:numRef>
          </c:yVal>
          <c:smooth val="0"/>
        </c:ser>
        <c:dLbls>
          <c:showLegendKey val="0"/>
          <c:showVal val="0"/>
          <c:showCatName val="0"/>
          <c:showSerName val="0"/>
          <c:showPercent val="0"/>
          <c:showBubbleSize val="0"/>
        </c:dLbls>
        <c:axId val="130299008"/>
        <c:axId val="130300544"/>
      </c:scatterChart>
      <c:catAx>
        <c:axId val="130299008"/>
        <c:scaling>
          <c:orientation val="minMax"/>
        </c:scaling>
        <c:delete val="0"/>
        <c:axPos val="b"/>
        <c:majorTickMark val="out"/>
        <c:minorTickMark val="none"/>
        <c:tickLblPos val="nextTo"/>
        <c:txPr>
          <a:bodyPr rot="-2700000"/>
          <a:lstStyle/>
          <a:p>
            <a:pPr>
              <a:defRPr/>
            </a:pPr>
            <a:endParaRPr lang="en-US"/>
          </a:p>
        </c:txPr>
        <c:crossAx val="130300544"/>
        <c:crosses val="autoZero"/>
        <c:auto val="1"/>
        <c:lblAlgn val="ctr"/>
        <c:lblOffset val="100"/>
        <c:noMultiLvlLbl val="0"/>
      </c:catAx>
      <c:valAx>
        <c:axId val="130300544"/>
        <c:scaling>
          <c:orientation val="minMax"/>
        </c:scaling>
        <c:delete val="0"/>
        <c:axPos val="l"/>
        <c:majorGridlines/>
        <c:numFmt formatCode="0%" sourceLinked="1"/>
        <c:majorTickMark val="out"/>
        <c:minorTickMark val="none"/>
        <c:tickLblPos val="nextTo"/>
        <c:crossAx val="13029900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'14. Charts'!$D$23</c:f>
              <c:strCache>
                <c:ptCount val="1"/>
                <c:pt idx="0">
                  <c:v>Taxi maximum surcharge</c:v>
                </c:pt>
              </c:strCache>
            </c:strRef>
          </c:tx>
          <c:marker>
            <c:symbol val="none"/>
          </c:marker>
          <c:cat>
            <c:strRef>
              <c:f>'14. Charts'!$B$24:$B$33</c:f>
              <c:strCache>
                <c:ptCount val="10"/>
                <c:pt idx="0">
                  <c:v>Mint</c:v>
                </c:pt>
                <c:pt idx="1">
                  <c:v>Commonwealth Bank</c:v>
                </c:pt>
                <c:pt idx="2">
                  <c:v>Square</c:v>
                </c:pt>
                <c:pt idx="3">
                  <c:v>PayPal</c:v>
                </c:pt>
                <c:pt idx="4">
                  <c:v>Westpac</c:v>
                </c:pt>
                <c:pt idx="5">
                  <c:v>NAB</c:v>
                </c:pt>
                <c:pt idx="6">
                  <c:v>ANZ</c:v>
                </c:pt>
                <c:pt idx="7">
                  <c:v>Bendigo Bank</c:v>
                </c:pt>
                <c:pt idx="8">
                  <c:v>St George</c:v>
                </c:pt>
                <c:pt idx="9">
                  <c:v>Quest</c:v>
                </c:pt>
              </c:strCache>
            </c:strRef>
          </c:cat>
          <c:val>
            <c:numRef>
              <c:f>'14. Charts'!$D$24:$D$33</c:f>
              <c:numCache>
                <c:formatCode>0%</c:formatCode>
                <c:ptCount val="10"/>
                <c:pt idx="0">
                  <c:v>0.05</c:v>
                </c:pt>
                <c:pt idx="1">
                  <c:v>0.05</c:v>
                </c:pt>
                <c:pt idx="2">
                  <c:v>0.05</c:v>
                </c:pt>
                <c:pt idx="3">
                  <c:v>0.05</c:v>
                </c:pt>
                <c:pt idx="4">
                  <c:v>0.05</c:v>
                </c:pt>
                <c:pt idx="5">
                  <c:v>0.05</c:v>
                </c:pt>
                <c:pt idx="6">
                  <c:v>0.05</c:v>
                </c:pt>
                <c:pt idx="7">
                  <c:v>0.05</c:v>
                </c:pt>
                <c:pt idx="8">
                  <c:v>0.05</c:v>
                </c:pt>
                <c:pt idx="9">
                  <c:v>0.05</c:v>
                </c:pt>
              </c:numCache>
            </c:numRef>
          </c:val>
          <c:smooth val="0"/>
        </c:ser>
        <c:dLbls>
          <c:showLegendKey val="0"/>
          <c:showVal val="0"/>
          <c:showCatName val="0"/>
          <c:showSerName val="0"/>
          <c:showPercent val="0"/>
          <c:showBubbleSize val="0"/>
        </c:dLbls>
        <c:marker val="1"/>
        <c:smooth val="0"/>
        <c:axId val="130325888"/>
        <c:axId val="131892352"/>
      </c:lineChart>
      <c:scatterChart>
        <c:scatterStyle val="lineMarker"/>
        <c:varyColors val="0"/>
        <c:ser>
          <c:idx val="0"/>
          <c:order val="0"/>
          <c:tx>
            <c:strRef>
              <c:f>'14. Charts'!$C$23</c:f>
              <c:strCache>
                <c:ptCount val="1"/>
                <c:pt idx="0">
                  <c:v>Costs</c:v>
                </c:pt>
              </c:strCache>
            </c:strRef>
          </c:tx>
          <c:spPr>
            <a:ln w="28575">
              <a:noFill/>
            </a:ln>
          </c:spPr>
          <c:xVal>
            <c:strRef>
              <c:f>'14. Charts'!$B$24:$B$33</c:f>
              <c:strCache>
                <c:ptCount val="10"/>
                <c:pt idx="0">
                  <c:v>Mint</c:v>
                </c:pt>
                <c:pt idx="1">
                  <c:v>Commonwealth Bank</c:v>
                </c:pt>
                <c:pt idx="2">
                  <c:v>Square</c:v>
                </c:pt>
                <c:pt idx="3">
                  <c:v>PayPal</c:v>
                </c:pt>
                <c:pt idx="4">
                  <c:v>Westpac</c:v>
                </c:pt>
                <c:pt idx="5">
                  <c:v>NAB</c:v>
                </c:pt>
                <c:pt idx="6">
                  <c:v>ANZ</c:v>
                </c:pt>
                <c:pt idx="7">
                  <c:v>Bendigo Bank</c:v>
                </c:pt>
                <c:pt idx="8">
                  <c:v>St George</c:v>
                </c:pt>
                <c:pt idx="9">
                  <c:v>Quest</c:v>
                </c:pt>
              </c:strCache>
            </c:strRef>
          </c:xVal>
          <c:yVal>
            <c:numRef>
              <c:f>'14. Charts'!$C$24:$C$33</c:f>
              <c:numCache>
                <c:formatCode>0.0%</c:formatCode>
                <c:ptCount val="10"/>
                <c:pt idx="0">
                  <c:v>1.770228104607785E-2</c:v>
                </c:pt>
                <c:pt idx="1">
                  <c:v>1.8208737778043549E-2</c:v>
                </c:pt>
                <c:pt idx="2">
                  <c:v>1.9530638777300213E-2</c:v>
                </c:pt>
                <c:pt idx="3">
                  <c:v>2.0283634446893295E-2</c:v>
                </c:pt>
                <c:pt idx="4">
                  <c:v>2.0861481829962836E-2</c:v>
                </c:pt>
                <c:pt idx="5">
                  <c:v>2.1070694002101265E-2</c:v>
                </c:pt>
                <c:pt idx="6">
                  <c:v>2.3783685809857902E-2</c:v>
                </c:pt>
                <c:pt idx="7">
                  <c:v>2.3999146567970309E-2</c:v>
                </c:pt>
                <c:pt idx="8">
                  <c:v>2.4057188425743004E-2</c:v>
                </c:pt>
                <c:pt idx="9">
                  <c:v>2.6179390168291183E-2</c:v>
                </c:pt>
              </c:numCache>
            </c:numRef>
          </c:yVal>
          <c:smooth val="0"/>
        </c:ser>
        <c:dLbls>
          <c:showLegendKey val="0"/>
          <c:showVal val="0"/>
          <c:showCatName val="0"/>
          <c:showSerName val="0"/>
          <c:showPercent val="0"/>
          <c:showBubbleSize val="0"/>
        </c:dLbls>
        <c:axId val="130325888"/>
        <c:axId val="131892352"/>
      </c:scatterChart>
      <c:catAx>
        <c:axId val="130325888"/>
        <c:scaling>
          <c:orientation val="minMax"/>
        </c:scaling>
        <c:delete val="0"/>
        <c:axPos val="b"/>
        <c:majorTickMark val="out"/>
        <c:minorTickMark val="none"/>
        <c:tickLblPos val="nextTo"/>
        <c:crossAx val="131892352"/>
        <c:crosses val="autoZero"/>
        <c:auto val="1"/>
        <c:lblAlgn val="ctr"/>
        <c:lblOffset val="100"/>
        <c:noMultiLvlLbl val="0"/>
      </c:catAx>
      <c:valAx>
        <c:axId val="131892352"/>
        <c:scaling>
          <c:orientation val="minMax"/>
        </c:scaling>
        <c:delete val="0"/>
        <c:axPos val="l"/>
        <c:majorGridlines/>
        <c:numFmt formatCode="0%" sourceLinked="1"/>
        <c:majorTickMark val="out"/>
        <c:minorTickMark val="none"/>
        <c:tickLblPos val="nextTo"/>
        <c:crossAx val="13032588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15688</xdr:colOff>
      <xdr:row>2</xdr:row>
      <xdr:rowOff>188538</xdr:rowOff>
    </xdr:from>
    <xdr:to>
      <xdr:col>12</xdr:col>
      <xdr:colOff>539562</xdr:colOff>
      <xdr:row>18</xdr:row>
      <xdr:rowOff>11206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38099</xdr:colOff>
      <xdr:row>22</xdr:row>
      <xdr:rowOff>20449</xdr:rowOff>
    </xdr:from>
    <xdr:to>
      <xdr:col>12</xdr:col>
      <xdr:colOff>581023</xdr:colOff>
      <xdr:row>35</xdr:row>
      <xdr:rowOff>190499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15688</xdr:colOff>
      <xdr:row>2</xdr:row>
      <xdr:rowOff>188538</xdr:rowOff>
    </xdr:from>
    <xdr:to>
      <xdr:col>12</xdr:col>
      <xdr:colOff>539562</xdr:colOff>
      <xdr:row>17</xdr:row>
      <xdr:rowOff>126626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38099</xdr:colOff>
      <xdr:row>22</xdr:row>
      <xdr:rowOff>20449</xdr:rowOff>
    </xdr:from>
    <xdr:to>
      <xdr:col>12</xdr:col>
      <xdr:colOff>581023</xdr:colOff>
      <xdr:row>35</xdr:row>
      <xdr:rowOff>190499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C14"/>
  <sheetViews>
    <sheetView tabSelected="1" workbookViewId="0"/>
  </sheetViews>
  <sheetFormatPr defaultRowHeight="15"/>
  <cols>
    <col min="1" max="1" width="9.140625" style="185"/>
    <col min="2" max="2" width="24.85546875" style="185" customWidth="1"/>
    <col min="3" max="3" width="96" style="185" customWidth="1"/>
    <col min="4" max="16384" width="9.140625" style="185"/>
  </cols>
  <sheetData>
    <row r="2" spans="2:3">
      <c r="B2" s="312" t="s">
        <v>178</v>
      </c>
      <c r="C2" s="313"/>
    </row>
    <row r="3" spans="2:3">
      <c r="B3" s="312"/>
      <c r="C3" s="313"/>
    </row>
    <row r="4" spans="2:3" ht="60" customHeight="1">
      <c r="B4" s="321" t="s">
        <v>192</v>
      </c>
      <c r="C4" s="321"/>
    </row>
    <row r="5" spans="2:3">
      <c r="B5" s="320"/>
      <c r="C5" s="320"/>
    </row>
    <row r="6" spans="2:3">
      <c r="B6" s="314" t="s">
        <v>187</v>
      </c>
      <c r="C6" s="314" t="s">
        <v>179</v>
      </c>
    </row>
    <row r="7" spans="2:3" ht="67.5">
      <c r="B7" s="315" t="s">
        <v>187</v>
      </c>
      <c r="C7" s="318" t="s">
        <v>196</v>
      </c>
    </row>
    <row r="8" spans="2:3" ht="39.75" customHeight="1">
      <c r="B8" s="315" t="s">
        <v>180</v>
      </c>
      <c r="C8" s="316" t="s">
        <v>189</v>
      </c>
    </row>
    <row r="9" spans="2:3" ht="24.75" customHeight="1">
      <c r="B9" s="317" t="s">
        <v>181</v>
      </c>
      <c r="C9" s="319" t="s">
        <v>191</v>
      </c>
    </row>
    <row r="10" spans="2:3" ht="33.75">
      <c r="B10" s="315" t="s">
        <v>182</v>
      </c>
      <c r="C10" s="316" t="s">
        <v>188</v>
      </c>
    </row>
    <row r="11" spans="2:3" ht="27" customHeight="1">
      <c r="B11" s="315" t="s">
        <v>183</v>
      </c>
      <c r="C11" s="316" t="s">
        <v>190</v>
      </c>
    </row>
    <row r="12" spans="2:3" ht="38.25" customHeight="1">
      <c r="B12" s="315" t="s">
        <v>184</v>
      </c>
      <c r="C12" s="316" t="s">
        <v>195</v>
      </c>
    </row>
    <row r="13" spans="2:3" ht="37.5" customHeight="1">
      <c r="B13" s="317" t="s">
        <v>185</v>
      </c>
      <c r="C13" s="319" t="s">
        <v>194</v>
      </c>
    </row>
    <row r="14" spans="2:3" ht="45">
      <c r="B14" s="315" t="s">
        <v>186</v>
      </c>
      <c r="C14" s="316" t="s">
        <v>193</v>
      </c>
    </row>
  </sheetData>
  <mergeCells count="1">
    <mergeCell ref="B4:C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7"/>
  <sheetViews>
    <sheetView zoomScale="85" zoomScaleNormal="85" workbookViewId="0"/>
  </sheetViews>
  <sheetFormatPr defaultColWidth="0" defaultRowHeight="15" customHeight="1" zeroHeight="1"/>
  <cols>
    <col min="1" max="1" width="2.85546875" customWidth="1"/>
    <col min="2" max="4" width="19.85546875" customWidth="1"/>
    <col min="5" max="13" width="9.140625" customWidth="1"/>
    <col min="14" max="14" width="2.85546875" customWidth="1"/>
    <col min="15" max="16384" width="9.140625" hidden="1"/>
  </cols>
  <sheetData>
    <row r="1" spans="1:14">
      <c r="A1" s="185"/>
      <c r="B1" s="185"/>
      <c r="C1" s="185"/>
      <c r="D1" s="185"/>
      <c r="E1" s="185"/>
      <c r="F1" s="185"/>
      <c r="G1" s="185"/>
      <c r="H1" s="185"/>
      <c r="I1" s="185"/>
      <c r="J1" s="185"/>
      <c r="K1" s="185"/>
      <c r="L1" s="185"/>
      <c r="M1" s="185"/>
      <c r="N1" s="185"/>
    </row>
    <row r="2" spans="1:14" ht="28.5" customHeight="1">
      <c r="A2" s="185"/>
      <c r="B2" s="355" t="s">
        <v>85</v>
      </c>
      <c r="C2" s="356"/>
      <c r="D2" s="356"/>
      <c r="E2" s="356"/>
      <c r="F2" s="356"/>
      <c r="G2" s="356"/>
      <c r="H2" s="356"/>
      <c r="I2" s="356"/>
      <c r="J2" s="356"/>
      <c r="K2" s="356"/>
      <c r="L2" s="356"/>
      <c r="M2" s="357"/>
      <c r="N2" s="185"/>
    </row>
    <row r="3" spans="1:14">
      <c r="A3" s="185"/>
      <c r="B3" s="185"/>
      <c r="C3" s="185"/>
      <c r="D3" s="185"/>
      <c r="E3" s="185"/>
      <c r="F3" s="185"/>
      <c r="G3" s="185"/>
      <c r="H3" s="185"/>
      <c r="I3" s="185"/>
      <c r="J3" s="185"/>
      <c r="K3" s="185"/>
      <c r="L3" s="185"/>
      <c r="M3" s="185"/>
      <c r="N3" s="185"/>
    </row>
    <row r="4" spans="1:14" ht="30.75" customHeight="1">
      <c r="A4" s="185"/>
      <c r="B4" s="190" t="s">
        <v>25</v>
      </c>
      <c r="C4" s="191" t="s">
        <v>11</v>
      </c>
      <c r="D4" s="191" t="s">
        <v>23</v>
      </c>
      <c r="E4" s="185"/>
      <c r="N4" s="185"/>
    </row>
    <row r="5" spans="1:14">
      <c r="A5" s="185"/>
      <c r="B5" s="192" t="s">
        <v>9</v>
      </c>
      <c r="C5" s="209">
        <f>'3. Benchmarking(EFTPOS) '!O14</f>
        <v>2.464059445272393E-2</v>
      </c>
      <c r="D5" s="193">
        <v>0.05</v>
      </c>
      <c r="E5" s="185"/>
      <c r="F5" s="185"/>
      <c r="G5" s="185"/>
      <c r="H5" s="185"/>
      <c r="I5" s="185"/>
      <c r="J5" s="185"/>
      <c r="K5" s="185"/>
      <c r="L5" s="185"/>
      <c r="M5" s="185"/>
      <c r="N5" s="185"/>
    </row>
    <row r="6" spans="1:14">
      <c r="A6" s="185"/>
      <c r="B6" s="192" t="s">
        <v>2</v>
      </c>
      <c r="C6" s="209">
        <f>'3. Benchmarking(EFTPOS) '!O8</f>
        <v>2.464059445272393E-2</v>
      </c>
      <c r="D6" s="193">
        <v>0.05</v>
      </c>
      <c r="E6" s="185"/>
      <c r="F6" s="185"/>
      <c r="G6" s="185"/>
      <c r="H6" s="185"/>
      <c r="I6" s="185"/>
      <c r="J6" s="185"/>
      <c r="K6" s="185"/>
      <c r="L6" s="185"/>
      <c r="M6" s="185"/>
      <c r="N6" s="185"/>
    </row>
    <row r="7" spans="1:14">
      <c r="A7" s="185"/>
      <c r="B7" s="194" t="s">
        <v>24</v>
      </c>
      <c r="C7" s="209">
        <f>'3. Benchmarking(EFTPOS) '!O18</f>
        <v>2.4980293505465712E-2</v>
      </c>
      <c r="D7" s="193">
        <v>0.05</v>
      </c>
      <c r="E7" s="185"/>
      <c r="F7" s="185"/>
      <c r="G7" s="185"/>
      <c r="H7" s="185"/>
      <c r="I7" s="185"/>
      <c r="J7" s="185"/>
      <c r="K7" s="185"/>
      <c r="L7" s="185"/>
      <c r="M7" s="185"/>
      <c r="N7" s="185"/>
    </row>
    <row r="8" spans="1:14">
      <c r="A8" s="185"/>
      <c r="B8" s="194" t="s">
        <v>3</v>
      </c>
      <c r="C8" s="209">
        <f>'3. Benchmarking(EFTPOS) '!O9</f>
        <v>2.9658007450687807E-2</v>
      </c>
      <c r="D8" s="193">
        <v>0.05</v>
      </c>
      <c r="E8" s="185"/>
      <c r="F8" s="185"/>
      <c r="G8" s="185"/>
      <c r="H8" s="185"/>
      <c r="I8" s="185"/>
      <c r="J8" s="185"/>
      <c r="K8" s="185"/>
      <c r="L8" s="185"/>
      <c r="M8" s="185"/>
      <c r="N8" s="185"/>
    </row>
    <row r="9" spans="1:14">
      <c r="A9" s="185"/>
      <c r="B9" s="194" t="s">
        <v>6</v>
      </c>
      <c r="C9" s="209">
        <f>'3. Benchmarking(EFTPOS) '!O12</f>
        <v>3.0676583823296744E-2</v>
      </c>
      <c r="D9" s="193">
        <v>0.05</v>
      </c>
      <c r="E9" s="185"/>
      <c r="F9" s="185"/>
      <c r="G9" s="185"/>
      <c r="H9" s="185"/>
      <c r="I9" s="185"/>
      <c r="J9" s="185"/>
      <c r="K9" s="185"/>
      <c r="L9" s="185"/>
      <c r="M9" s="185"/>
      <c r="N9" s="185"/>
    </row>
    <row r="10" spans="1:14">
      <c r="A10" s="185"/>
      <c r="B10" s="194" t="s">
        <v>122</v>
      </c>
      <c r="C10" s="209">
        <f>'3. Benchmarking(EFTPOS) '!O16</f>
        <v>3.0944876140884592E-2</v>
      </c>
      <c r="D10" s="193">
        <v>0.05</v>
      </c>
      <c r="E10" s="185"/>
      <c r="F10" s="185"/>
      <c r="G10" s="185"/>
      <c r="H10" s="185"/>
      <c r="I10" s="185"/>
      <c r="J10" s="185"/>
      <c r="K10" s="185"/>
      <c r="L10" s="185"/>
      <c r="M10" s="185"/>
      <c r="N10" s="185"/>
    </row>
    <row r="11" spans="1:14">
      <c r="A11" s="185"/>
      <c r="B11" s="194" t="s">
        <v>26</v>
      </c>
      <c r="C11" s="209">
        <f>'3. Benchmarking(EFTPOS) '!O13</f>
        <v>3.1996864423298854E-2</v>
      </c>
      <c r="D11" s="193">
        <v>0.05</v>
      </c>
      <c r="E11" s="185"/>
      <c r="F11" s="185"/>
      <c r="G11" s="185"/>
      <c r="H11" s="185"/>
      <c r="I11" s="185"/>
      <c r="J11" s="185"/>
      <c r="K11" s="185"/>
      <c r="L11" s="185"/>
      <c r="M11" s="185"/>
      <c r="N11" s="185"/>
    </row>
    <row r="12" spans="1:14">
      <c r="A12" s="185"/>
      <c r="B12" s="192" t="s">
        <v>1</v>
      </c>
      <c r="C12" s="209">
        <f>'3. Benchmarking(EFTPOS) '!O7</f>
        <v>3.1996864423298854E-2</v>
      </c>
      <c r="D12" s="193">
        <v>0.05</v>
      </c>
      <c r="E12" s="185"/>
      <c r="F12" s="185"/>
      <c r="G12" s="185"/>
      <c r="H12" s="185"/>
      <c r="I12" s="185"/>
      <c r="J12" s="185"/>
      <c r="K12" s="185"/>
      <c r="L12" s="185"/>
      <c r="M12" s="185"/>
      <c r="N12" s="185"/>
    </row>
    <row r="13" spans="1:14">
      <c r="A13" s="185"/>
      <c r="B13" s="194" t="s">
        <v>12</v>
      </c>
      <c r="C13" s="209">
        <f>'3. Benchmarking(EFTPOS) '!O19</f>
        <v>3.2455071549330139E-2</v>
      </c>
      <c r="D13" s="193">
        <v>0.05</v>
      </c>
      <c r="E13" s="185"/>
      <c r="F13" s="185"/>
      <c r="G13" s="185"/>
      <c r="H13" s="185"/>
      <c r="I13" s="185"/>
      <c r="J13" s="185"/>
      <c r="K13" s="185"/>
      <c r="L13" s="185"/>
      <c r="M13" s="185"/>
      <c r="N13" s="185"/>
    </row>
    <row r="14" spans="1:14">
      <c r="A14" s="185"/>
      <c r="B14" s="194" t="s">
        <v>4</v>
      </c>
      <c r="C14" s="209">
        <f>'3. Benchmarking(EFTPOS) '!O17</f>
        <v>3.4100678442908317E-2</v>
      </c>
      <c r="D14" s="193">
        <v>0.05</v>
      </c>
      <c r="E14" s="185"/>
      <c r="F14" s="185"/>
      <c r="G14" s="185"/>
      <c r="H14" s="185"/>
      <c r="I14" s="185"/>
      <c r="J14" s="185"/>
      <c r="K14" s="185"/>
      <c r="L14" s="185"/>
      <c r="M14" s="185"/>
      <c r="N14" s="185"/>
    </row>
    <row r="15" spans="1:14">
      <c r="A15" s="185"/>
      <c r="B15" s="194" t="s">
        <v>30</v>
      </c>
      <c r="C15" s="209">
        <f>'3. Benchmarking(EFTPOS) '!O10</f>
        <v>3.4335721395909902E-2</v>
      </c>
      <c r="D15" s="193">
        <v>0.05</v>
      </c>
      <c r="E15" s="185"/>
      <c r="F15" s="185"/>
      <c r="G15" s="185"/>
      <c r="H15" s="185"/>
      <c r="I15" s="185"/>
      <c r="J15" s="185"/>
      <c r="K15" s="185"/>
      <c r="L15" s="185"/>
      <c r="M15" s="185"/>
      <c r="N15" s="185"/>
    </row>
    <row r="16" spans="1:14">
      <c r="A16" s="185"/>
      <c r="B16" s="194" t="s">
        <v>31</v>
      </c>
      <c r="C16" s="209">
        <f>'3. Benchmarking(EFTPOS) '!O11</f>
        <v>3.4335721395909902E-2</v>
      </c>
      <c r="D16" s="193">
        <v>0.05</v>
      </c>
      <c r="E16" s="185"/>
      <c r="F16" s="185"/>
      <c r="G16" s="185"/>
      <c r="H16" s="185"/>
      <c r="I16" s="185"/>
      <c r="J16" s="185"/>
      <c r="K16" s="185"/>
      <c r="L16" s="185"/>
      <c r="M16" s="185"/>
      <c r="N16" s="185"/>
    </row>
    <row r="17" spans="1:14">
      <c r="A17" s="185"/>
      <c r="B17" s="194" t="s">
        <v>7</v>
      </c>
      <c r="C17" s="209">
        <f>'3. Benchmarking(EFTPOS) '!O15</f>
        <v>3.4335721395909902E-2</v>
      </c>
      <c r="D17" s="193">
        <v>0.05</v>
      </c>
      <c r="E17" s="185"/>
      <c r="F17" s="185"/>
      <c r="G17" s="185"/>
      <c r="H17" s="185"/>
      <c r="I17" s="185"/>
      <c r="J17" s="185"/>
      <c r="K17" s="185"/>
      <c r="L17" s="185"/>
      <c r="M17" s="185"/>
      <c r="N17" s="185"/>
    </row>
    <row r="18" spans="1:14">
      <c r="A18" s="185"/>
      <c r="B18" s="194" t="s">
        <v>0</v>
      </c>
      <c r="C18" s="209">
        <f>'3. Benchmarking(EFTPOS) '!O6</f>
        <v>3.6206806973998695E-2</v>
      </c>
      <c r="D18" s="193">
        <v>0.05</v>
      </c>
      <c r="E18" s="185"/>
      <c r="F18" s="185"/>
      <c r="G18" s="185"/>
      <c r="H18" s="185"/>
      <c r="I18" s="185"/>
      <c r="J18" s="185"/>
      <c r="K18" s="185"/>
      <c r="L18" s="185"/>
      <c r="M18" s="185"/>
      <c r="N18" s="185"/>
    </row>
    <row r="19" spans="1:14">
      <c r="A19" s="185"/>
      <c r="B19" s="185"/>
      <c r="C19" s="185"/>
      <c r="D19" s="185"/>
      <c r="E19" s="185"/>
      <c r="F19" s="185"/>
      <c r="G19" s="185"/>
      <c r="H19" s="185"/>
      <c r="I19" s="185"/>
      <c r="J19" s="185"/>
      <c r="K19" s="185"/>
      <c r="L19" s="185"/>
      <c r="M19" s="185"/>
      <c r="N19" s="185"/>
    </row>
    <row r="20" spans="1:14">
      <c r="A20" s="185"/>
      <c r="B20" s="185"/>
      <c r="C20" s="185"/>
      <c r="D20" s="185"/>
      <c r="E20" s="185"/>
      <c r="F20" s="185"/>
      <c r="G20" s="185"/>
      <c r="H20" s="185"/>
      <c r="I20" s="185"/>
      <c r="J20" s="185"/>
      <c r="K20" s="185"/>
      <c r="L20" s="185"/>
      <c r="M20" s="185"/>
      <c r="N20" s="185"/>
    </row>
    <row r="21" spans="1:14" ht="28.5" customHeight="1">
      <c r="B21" s="355" t="s">
        <v>86</v>
      </c>
      <c r="C21" s="356"/>
      <c r="D21" s="356"/>
      <c r="E21" s="356"/>
      <c r="F21" s="356"/>
      <c r="G21" s="356"/>
      <c r="H21" s="356"/>
      <c r="I21" s="356"/>
      <c r="J21" s="356"/>
      <c r="K21" s="356"/>
      <c r="L21" s="356"/>
      <c r="M21" s="357"/>
      <c r="N21" s="185"/>
    </row>
    <row r="22" spans="1:14">
      <c r="A22" s="185"/>
      <c r="B22" s="185"/>
      <c r="C22" s="185"/>
      <c r="E22" s="185"/>
      <c r="F22" s="185"/>
      <c r="G22" s="185"/>
      <c r="H22" s="185"/>
      <c r="I22" s="185"/>
      <c r="J22" s="185"/>
      <c r="K22" s="185"/>
      <c r="L22" s="185"/>
      <c r="M22" s="185"/>
      <c r="N22" s="185"/>
    </row>
    <row r="23" spans="1:14" ht="30.75" customHeight="1">
      <c r="A23" s="185"/>
      <c r="B23" s="190" t="s">
        <v>25</v>
      </c>
      <c r="C23" s="191" t="s">
        <v>11</v>
      </c>
      <c r="D23" s="191" t="s">
        <v>23</v>
      </c>
      <c r="E23" s="185"/>
      <c r="F23" s="185"/>
      <c r="G23" s="185"/>
      <c r="H23" s="185"/>
      <c r="I23" s="185"/>
      <c r="J23" s="185"/>
      <c r="K23" s="185"/>
      <c r="L23" s="185"/>
      <c r="M23" s="185"/>
      <c r="N23" s="185"/>
    </row>
    <row r="24" spans="1:14">
      <c r="A24" s="185"/>
      <c r="B24" s="194" t="s">
        <v>12</v>
      </c>
      <c r="C24" s="209">
        <f>'4. Benchmarking(mPOS) '!Q12</f>
        <v>1.7702281046078072E-2</v>
      </c>
      <c r="D24" s="193">
        <v>0.05</v>
      </c>
      <c r="E24" s="185"/>
      <c r="F24" s="185"/>
      <c r="G24" s="185"/>
      <c r="H24" s="185"/>
      <c r="I24" s="185"/>
      <c r="J24" s="185"/>
      <c r="K24" s="185"/>
      <c r="L24" s="185"/>
      <c r="M24" s="185"/>
      <c r="N24" s="185"/>
    </row>
    <row r="25" spans="1:14">
      <c r="A25" s="185"/>
      <c r="B25" s="192" t="s">
        <v>5</v>
      </c>
      <c r="C25" s="209">
        <f>'4. Benchmarking(mPOS) '!Q14</f>
        <v>1.9913951447811495E-2</v>
      </c>
      <c r="D25" s="193">
        <v>0.05</v>
      </c>
      <c r="E25" s="185"/>
      <c r="F25" s="185"/>
      <c r="G25" s="185"/>
      <c r="H25" s="185"/>
      <c r="I25" s="185"/>
      <c r="J25" s="185"/>
      <c r="K25" s="185"/>
      <c r="L25" s="185"/>
      <c r="M25" s="185"/>
      <c r="N25" s="185"/>
    </row>
    <row r="26" spans="1:14">
      <c r="A26" s="185"/>
      <c r="B26" s="194" t="s">
        <v>1</v>
      </c>
      <c r="C26" s="209">
        <f>'4. Benchmarking(mPOS) '!Q7</f>
        <v>1.9962880507501835E-2</v>
      </c>
      <c r="D26" s="193">
        <v>0.05</v>
      </c>
      <c r="E26" s="185"/>
      <c r="F26" s="185"/>
      <c r="G26" s="185"/>
      <c r="H26" s="185"/>
      <c r="I26" s="185"/>
      <c r="J26" s="185"/>
      <c r="K26" s="185"/>
      <c r="L26" s="185"/>
      <c r="M26" s="185"/>
      <c r="N26" s="185"/>
    </row>
    <row r="27" spans="1:14">
      <c r="A27" s="185"/>
      <c r="B27" s="194" t="s">
        <v>22</v>
      </c>
      <c r="C27" s="209">
        <f>'4. Benchmarking(mPOS) '!Q13</f>
        <v>2.0926820114361311E-2</v>
      </c>
      <c r="D27" s="193">
        <v>0.05</v>
      </c>
      <c r="E27" s="185"/>
      <c r="F27" s="185"/>
      <c r="G27" s="185"/>
      <c r="H27" s="185"/>
      <c r="I27" s="185"/>
      <c r="J27" s="185"/>
      <c r="K27" s="185"/>
      <c r="L27" s="185"/>
      <c r="M27" s="185"/>
      <c r="N27" s="185"/>
    </row>
    <row r="28" spans="1:14">
      <c r="A28" s="185"/>
      <c r="B28" s="192" t="s">
        <v>3</v>
      </c>
      <c r="C28" s="209">
        <f>'4. Benchmarking(mPOS) '!Q9</f>
        <v>2.1511164322354892E-2</v>
      </c>
      <c r="D28" s="193">
        <v>0.05</v>
      </c>
      <c r="E28" s="185"/>
      <c r="F28" s="185"/>
      <c r="G28" s="185"/>
      <c r="H28" s="185"/>
      <c r="I28" s="185"/>
      <c r="J28" s="185"/>
      <c r="K28" s="185"/>
      <c r="L28" s="185"/>
      <c r="M28" s="185"/>
      <c r="N28" s="185"/>
    </row>
    <row r="29" spans="1:14">
      <c r="A29" s="185"/>
      <c r="B29" s="194" t="s">
        <v>2</v>
      </c>
      <c r="C29" s="209">
        <f>'4. Benchmarking(mPOS) '!Q8</f>
        <v>2.4286622339441344E-2</v>
      </c>
      <c r="D29" s="193">
        <v>0.05</v>
      </c>
      <c r="E29" s="185"/>
      <c r="F29" s="185"/>
      <c r="G29" s="185"/>
      <c r="H29" s="185"/>
      <c r="I29" s="185"/>
      <c r="J29" s="185"/>
      <c r="K29" s="185"/>
      <c r="L29" s="185"/>
      <c r="M29" s="185"/>
      <c r="N29" s="185"/>
    </row>
    <row r="30" spans="1:14">
      <c r="A30" s="185"/>
      <c r="B30" s="192" t="s">
        <v>7</v>
      </c>
      <c r="C30" s="209">
        <f>'4. Benchmarking(mPOS) '!Q11</f>
        <v>2.4706870918134838E-2</v>
      </c>
      <c r="D30" s="193">
        <v>0.05</v>
      </c>
      <c r="E30" s="185"/>
      <c r="F30" s="185"/>
      <c r="G30" s="185"/>
      <c r="H30" s="185"/>
      <c r="I30" s="185"/>
      <c r="J30" s="185"/>
      <c r="K30" s="185"/>
      <c r="L30" s="185"/>
      <c r="M30" s="185"/>
      <c r="N30" s="185"/>
    </row>
    <row r="31" spans="1:14">
      <c r="A31" s="185"/>
      <c r="B31" s="194" t="s">
        <v>0</v>
      </c>
      <c r="C31" s="209">
        <f>'4. Benchmarking(mPOS) '!Q6</f>
        <v>2.4953114296163426E-2</v>
      </c>
      <c r="D31" s="193">
        <v>0.05</v>
      </c>
      <c r="E31" s="185"/>
      <c r="F31" s="185"/>
      <c r="G31" s="185"/>
      <c r="H31" s="185"/>
      <c r="I31" s="185"/>
      <c r="J31" s="185"/>
      <c r="K31" s="185"/>
      <c r="L31" s="185"/>
      <c r="M31" s="185"/>
      <c r="N31" s="185"/>
    </row>
    <row r="32" spans="1:14">
      <c r="A32" s="185"/>
      <c r="B32" s="194" t="s">
        <v>6</v>
      </c>
      <c r="C32" s="209">
        <f>'4. Benchmarking(mPOS) '!Q10</f>
        <v>2.7086437771817184E-2</v>
      </c>
      <c r="D32" s="193">
        <v>0.05</v>
      </c>
      <c r="E32" s="185"/>
      <c r="F32" s="185"/>
      <c r="G32" s="185"/>
      <c r="H32" s="185"/>
      <c r="I32" s="185"/>
      <c r="J32" s="185"/>
      <c r="K32" s="185"/>
      <c r="L32" s="185"/>
      <c r="M32" s="185"/>
      <c r="N32" s="185"/>
    </row>
    <row r="33" spans="1:14">
      <c r="A33" s="185"/>
      <c r="B33" s="192" t="s">
        <v>32</v>
      </c>
      <c r="C33" s="210">
        <f>'4. Benchmarking(mPOS) '!Q15</f>
        <v>3.2096698308996974E-2</v>
      </c>
      <c r="D33" s="193">
        <v>0.05</v>
      </c>
      <c r="E33" s="185"/>
      <c r="F33" s="185"/>
      <c r="G33" s="185"/>
      <c r="H33" s="185"/>
      <c r="I33" s="185"/>
      <c r="J33" s="185"/>
      <c r="K33" s="185"/>
      <c r="L33" s="185"/>
      <c r="M33" s="185"/>
      <c r="N33" s="185"/>
    </row>
    <row r="34" spans="1:14">
      <c r="A34" s="185"/>
      <c r="B34" s="87"/>
      <c r="C34" s="185"/>
      <c r="D34" s="185"/>
      <c r="E34" s="185"/>
      <c r="F34" s="185"/>
      <c r="G34" s="185"/>
      <c r="H34" s="185"/>
      <c r="I34" s="185"/>
      <c r="J34" s="185"/>
      <c r="K34" s="185"/>
      <c r="L34" s="185"/>
      <c r="M34" s="185"/>
      <c r="N34" s="185"/>
    </row>
    <row r="35" spans="1:14">
      <c r="A35" s="185"/>
      <c r="B35" s="185"/>
      <c r="C35" s="185"/>
      <c r="D35" s="185"/>
      <c r="E35" s="185"/>
      <c r="F35" s="185"/>
      <c r="G35" s="185"/>
      <c r="H35" s="185"/>
      <c r="I35" s="185"/>
      <c r="J35" s="185"/>
      <c r="K35" s="185"/>
      <c r="L35" s="185"/>
      <c r="M35" s="185"/>
      <c r="N35" s="185"/>
    </row>
    <row r="36" spans="1:14">
      <c r="A36" s="185"/>
      <c r="B36" s="185"/>
      <c r="C36" s="185"/>
      <c r="D36" s="185"/>
      <c r="E36" s="185"/>
      <c r="F36" s="185"/>
      <c r="G36" s="185"/>
      <c r="H36" s="185"/>
      <c r="I36" s="185"/>
      <c r="J36" s="185"/>
      <c r="K36" s="185"/>
      <c r="L36" s="185"/>
      <c r="M36" s="185"/>
      <c r="N36" s="185"/>
    </row>
    <row r="37" spans="1:14">
      <c r="A37" s="185"/>
      <c r="B37" s="185"/>
      <c r="C37" s="185"/>
      <c r="D37" s="185"/>
      <c r="E37" s="185"/>
      <c r="F37" s="185"/>
      <c r="G37" s="185"/>
      <c r="H37" s="185"/>
      <c r="I37" s="185"/>
      <c r="J37" s="185"/>
      <c r="K37" s="185"/>
      <c r="L37" s="185"/>
      <c r="M37" s="185"/>
      <c r="N37" s="185"/>
    </row>
  </sheetData>
  <sortState ref="B24:D33">
    <sortCondition ref="C24:C33"/>
  </sortState>
  <mergeCells count="2">
    <mergeCell ref="B2:M2"/>
    <mergeCell ref="B21:M2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heetViews>
  <sheetFormatPr defaultRowHeight="1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B2:E22"/>
  <sheetViews>
    <sheetView zoomScale="85" zoomScaleNormal="85" workbookViewId="0"/>
  </sheetViews>
  <sheetFormatPr defaultColWidth="9.140625" defaultRowHeight="12.75"/>
  <cols>
    <col min="1" max="1" width="9.140625" style="59"/>
    <col min="2" max="2" width="45" style="59" bestFit="1" customWidth="1"/>
    <col min="3" max="3" width="16.7109375" style="59" customWidth="1"/>
    <col min="4" max="4" width="9.140625" style="59"/>
    <col min="5" max="5" width="26.28515625" style="59" customWidth="1"/>
    <col min="6" max="16384" width="9.140625" style="59"/>
  </cols>
  <sheetData>
    <row r="2" spans="2:5" ht="15.75">
      <c r="B2" s="207" t="s">
        <v>177</v>
      </c>
      <c r="C2" s="207"/>
      <c r="D2" s="58"/>
      <c r="E2" s="58"/>
    </row>
    <row r="4" spans="2:5">
      <c r="B4" s="2" t="s">
        <v>21</v>
      </c>
      <c r="C4" s="188">
        <v>28.489485170139162</v>
      </c>
    </row>
    <row r="5" spans="2:5">
      <c r="B5" s="2"/>
      <c r="C5" s="2"/>
    </row>
    <row r="6" spans="2:5">
      <c r="B6" s="2" t="s">
        <v>33</v>
      </c>
      <c r="C6" s="11">
        <f>2137.79639308947*2</f>
        <v>4275.5927861789396</v>
      </c>
    </row>
    <row r="7" spans="2:5">
      <c r="B7" s="2" t="s">
        <v>34</v>
      </c>
      <c r="C7" s="11">
        <f>$C$6*C19</f>
        <v>178.23097834041658</v>
      </c>
    </row>
    <row r="8" spans="2:5">
      <c r="B8" s="2" t="s">
        <v>197</v>
      </c>
      <c r="C8" s="11">
        <f t="shared" ref="C8:C10" si="0">$C$6*C20</f>
        <v>3391.608033701255</v>
      </c>
    </row>
    <row r="9" spans="2:5">
      <c r="B9" s="2" t="s">
        <v>39</v>
      </c>
      <c r="C9" s="11">
        <f t="shared" si="0"/>
        <v>646.94447160687764</v>
      </c>
    </row>
    <row r="10" spans="2:5">
      <c r="B10" s="2" t="s">
        <v>40</v>
      </c>
      <c r="C10" s="11">
        <f t="shared" si="0"/>
        <v>58.809302530389644</v>
      </c>
    </row>
    <row r="11" spans="2:5">
      <c r="B11" s="2"/>
      <c r="C11" s="2"/>
    </row>
    <row r="12" spans="2:5">
      <c r="B12" s="2" t="s">
        <v>37</v>
      </c>
      <c r="C12" s="12">
        <f>C6/$C$4</f>
        <v>150.07616882667784</v>
      </c>
    </row>
    <row r="13" spans="2:5">
      <c r="B13" s="2" t="s">
        <v>38</v>
      </c>
      <c r="C13" s="12">
        <f t="shared" ref="C13:C16" si="1">C7/$C$4</f>
        <v>6.2560266454806559</v>
      </c>
    </row>
    <row r="14" spans="2:5">
      <c r="B14" s="2" t="s">
        <v>198</v>
      </c>
      <c r="C14" s="12">
        <f t="shared" si="1"/>
        <v>119.04771228565826</v>
      </c>
    </row>
    <row r="15" spans="2:5">
      <c r="B15" s="2" t="s">
        <v>41</v>
      </c>
      <c r="C15" s="12">
        <f t="shared" si="1"/>
        <v>22.708184010463029</v>
      </c>
    </row>
    <row r="16" spans="2:5">
      <c r="B16" s="2" t="s">
        <v>42</v>
      </c>
      <c r="C16" s="12">
        <f t="shared" si="1"/>
        <v>2.0642458850758652</v>
      </c>
    </row>
    <row r="17" spans="2:3">
      <c r="B17" s="2"/>
      <c r="C17" s="2"/>
    </row>
    <row r="18" spans="2:3">
      <c r="B18" s="189" t="s">
        <v>107</v>
      </c>
      <c r="C18" s="2"/>
    </row>
    <row r="19" spans="2:3">
      <c r="B19" s="2" t="s">
        <v>35</v>
      </c>
      <c r="C19" s="10">
        <v>4.1685676642676736E-2</v>
      </c>
    </row>
    <row r="20" spans="2:3">
      <c r="B20" s="2" t="s">
        <v>28</v>
      </c>
      <c r="C20" s="10">
        <v>0.79324860979857392</v>
      </c>
    </row>
    <row r="21" spans="2:3">
      <c r="B21" s="2" t="s">
        <v>36</v>
      </c>
      <c r="C21" s="10">
        <v>0.15131105883098991</v>
      </c>
    </row>
    <row r="22" spans="2:3">
      <c r="B22" s="2" t="s">
        <v>29</v>
      </c>
      <c r="C22" s="10">
        <v>1.3754654727759285E-2</v>
      </c>
    </row>
  </sheetData>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Y83"/>
  <sheetViews>
    <sheetView zoomScale="70" zoomScaleNormal="70" workbookViewId="0"/>
  </sheetViews>
  <sheetFormatPr defaultColWidth="0" defaultRowHeight="12" zeroHeight="1"/>
  <cols>
    <col min="1" max="1" width="2.85546875" style="2" customWidth="1"/>
    <col min="2" max="2" width="30.28515625" style="2" customWidth="1"/>
    <col min="3" max="3" width="21" style="1" customWidth="1"/>
    <col min="4" max="8" width="17" style="1" customWidth="1"/>
    <col min="9" max="15" width="17" style="2" customWidth="1"/>
    <col min="16" max="16" width="18.85546875" style="2" bestFit="1" customWidth="1"/>
    <col min="17" max="17" width="2.85546875" style="2" customWidth="1"/>
    <col min="18" max="18" width="22.42578125" style="2" hidden="1" customWidth="1"/>
    <col min="19" max="19" width="11.5703125" style="2" hidden="1" customWidth="1"/>
    <col min="20" max="20" width="16" style="2" hidden="1" customWidth="1"/>
    <col min="21" max="22" width="9.140625" style="2" hidden="1" customWidth="1"/>
    <col min="23" max="23" width="21.7109375" style="2" hidden="1" customWidth="1"/>
    <col min="24" max="25" width="19.28515625" style="2" hidden="1" customWidth="1"/>
    <col min="26" max="16384" width="9.140625" style="2" hidden="1"/>
  </cols>
  <sheetData>
    <row r="1" spans="1:17">
      <c r="A1" s="13"/>
      <c r="B1" s="13"/>
      <c r="C1" s="14"/>
      <c r="D1" s="14"/>
      <c r="E1" s="14"/>
      <c r="F1" s="14"/>
      <c r="G1" s="14"/>
      <c r="H1" s="14"/>
      <c r="I1" s="13"/>
      <c r="J1" s="13"/>
      <c r="K1" s="13"/>
      <c r="L1" s="13"/>
      <c r="M1" s="13"/>
      <c r="N1" s="13"/>
      <c r="O1" s="13"/>
      <c r="P1" s="13"/>
      <c r="Q1" s="13"/>
    </row>
    <row r="2" spans="1:17" s="13" customFormat="1" ht="28.5" customHeight="1">
      <c r="B2" s="355" t="s">
        <v>90</v>
      </c>
      <c r="C2" s="356"/>
      <c r="D2" s="356"/>
      <c r="E2" s="356"/>
      <c r="F2" s="356"/>
      <c r="G2" s="356"/>
      <c r="H2" s="356"/>
      <c r="I2" s="356"/>
      <c r="J2" s="356"/>
      <c r="K2" s="356"/>
      <c r="L2" s="356"/>
      <c r="M2" s="356"/>
      <c r="N2" s="356"/>
      <c r="O2" s="356"/>
      <c r="P2" s="357"/>
    </row>
    <row r="3" spans="1:17" s="13" customFormat="1" ht="11.25" customHeight="1">
      <c r="B3" s="276"/>
      <c r="C3" s="276"/>
      <c r="D3" s="276"/>
      <c r="E3" s="276"/>
      <c r="F3" s="276"/>
      <c r="G3" s="276"/>
      <c r="H3" s="276"/>
      <c r="I3" s="276"/>
      <c r="J3" s="276"/>
      <c r="K3" s="276"/>
      <c r="L3" s="276"/>
      <c r="M3" s="276"/>
      <c r="N3" s="276"/>
      <c r="O3" s="276"/>
      <c r="P3" s="276"/>
    </row>
    <row r="4" spans="1:17" s="13" customFormat="1" ht="21.75" customHeight="1">
      <c r="B4" s="304" t="s">
        <v>25</v>
      </c>
      <c r="C4" s="305" t="s">
        <v>125</v>
      </c>
      <c r="D4" s="276"/>
      <c r="E4" s="276"/>
      <c r="F4" s="276"/>
      <c r="G4" s="276"/>
      <c r="H4" s="276"/>
      <c r="I4" s="276"/>
      <c r="J4" s="276"/>
      <c r="K4" s="276"/>
      <c r="L4" s="276"/>
      <c r="M4" s="276"/>
      <c r="N4" s="276"/>
      <c r="O4" s="276"/>
      <c r="P4" s="276"/>
    </row>
    <row r="5" spans="1:17" s="13" customFormat="1" ht="12" customHeight="1">
      <c r="B5" s="306" t="s">
        <v>0</v>
      </c>
      <c r="C5" s="307" t="str">
        <f>VLOOKUP(MIN(O21),O21:Q21,2,FALSE)</f>
        <v>ANZ 1</v>
      </c>
      <c r="D5" s="276"/>
      <c r="E5" s="276"/>
      <c r="F5" s="276"/>
      <c r="G5" s="276"/>
      <c r="H5" s="276"/>
      <c r="I5" s="276"/>
      <c r="J5" s="276"/>
      <c r="K5" s="276"/>
      <c r="L5" s="276"/>
      <c r="M5" s="276"/>
      <c r="N5" s="276"/>
      <c r="O5" s="276"/>
      <c r="P5" s="276"/>
    </row>
    <row r="6" spans="1:17" s="13" customFormat="1" ht="12" customHeight="1">
      <c r="B6" s="306" t="s">
        <v>1</v>
      </c>
      <c r="C6" s="307" t="str">
        <f>VLOOKUP(MIN(O22:O25),O22:Q25,2,FALSE)</f>
        <v>Commonwealth Bank 1</v>
      </c>
      <c r="D6" s="276"/>
      <c r="E6" s="276"/>
      <c r="F6" s="276"/>
      <c r="G6" s="276"/>
      <c r="H6" s="276"/>
      <c r="I6" s="276"/>
      <c r="J6" s="276"/>
      <c r="K6" s="276"/>
      <c r="L6" s="276"/>
      <c r="M6" s="276"/>
      <c r="N6" s="276"/>
      <c r="O6" s="276"/>
      <c r="P6" s="276"/>
    </row>
    <row r="7" spans="1:17" s="13" customFormat="1" ht="12" customHeight="1">
      <c r="B7" s="306" t="s">
        <v>2</v>
      </c>
      <c r="C7" s="307" t="str">
        <f>VLOOKUP(MIN(O26:O30),O26:Q30,2,FALSE)</f>
        <v>NAB 1</v>
      </c>
      <c r="D7" s="276"/>
      <c r="E7" s="276"/>
      <c r="F7" s="276"/>
      <c r="G7" s="276"/>
      <c r="H7" s="276"/>
      <c r="I7" s="276"/>
      <c r="J7" s="276"/>
      <c r="K7" s="276"/>
      <c r="L7" s="276"/>
      <c r="M7" s="276"/>
      <c r="N7" s="276"/>
      <c r="O7" s="276"/>
      <c r="P7" s="276"/>
    </row>
    <row r="8" spans="1:17" s="13" customFormat="1" ht="12" customHeight="1">
      <c r="B8" s="306" t="s">
        <v>3</v>
      </c>
      <c r="C8" s="307" t="str">
        <f t="shared" ref="C8" si="0">VLOOKUP(MIN(O27:O31),O27:Q31,2,FALSE)</f>
        <v>Westpac 1</v>
      </c>
      <c r="D8" s="276"/>
      <c r="E8" s="276"/>
      <c r="F8" s="276"/>
      <c r="G8" s="276"/>
      <c r="H8" s="276"/>
      <c r="I8" s="276"/>
      <c r="J8" s="276"/>
      <c r="K8" s="276"/>
      <c r="L8" s="276"/>
      <c r="M8" s="276"/>
      <c r="N8" s="276"/>
      <c r="O8" s="276"/>
      <c r="P8" s="276"/>
    </row>
    <row r="9" spans="1:17" s="13" customFormat="1" ht="12" customHeight="1">
      <c r="B9" s="306" t="s">
        <v>30</v>
      </c>
      <c r="C9" s="307" t="str">
        <f>VLOOKUP(MIN(O36:O40),O36:Q40,2,FALSE)</f>
        <v>Bank of Melbourne 1</v>
      </c>
      <c r="D9" s="276"/>
      <c r="E9" s="276"/>
      <c r="F9" s="276"/>
      <c r="G9" s="276"/>
      <c r="H9" s="276"/>
      <c r="I9" s="276"/>
      <c r="J9" s="276"/>
      <c r="K9" s="276"/>
      <c r="L9" s="276"/>
      <c r="M9" s="276"/>
      <c r="N9" s="276"/>
      <c r="O9" s="276"/>
      <c r="P9" s="276"/>
    </row>
    <row r="10" spans="1:17" s="13" customFormat="1" ht="12" customHeight="1">
      <c r="B10" s="306" t="s">
        <v>126</v>
      </c>
      <c r="C10" s="307" t="str">
        <f>VLOOKUP(MIN(O41:O45),O41:Q45,2,FALSE)</f>
        <v>Bank SA 1</v>
      </c>
      <c r="D10" s="276"/>
      <c r="E10" s="276"/>
      <c r="F10" s="276"/>
      <c r="G10" s="276"/>
      <c r="H10" s="276"/>
      <c r="I10" s="276"/>
      <c r="J10" s="276"/>
      <c r="K10" s="276"/>
      <c r="L10" s="276"/>
      <c r="M10" s="276"/>
      <c r="N10" s="276"/>
      <c r="O10" s="276"/>
      <c r="P10" s="276"/>
    </row>
    <row r="11" spans="1:17" s="13" customFormat="1" ht="12" customHeight="1">
      <c r="B11" s="306" t="s">
        <v>6</v>
      </c>
      <c r="C11" s="307" t="str">
        <f>VLOOKUP(MIN(O46),O46:Q46,2,FALSE)</f>
        <v>Bendigo Bank 1</v>
      </c>
      <c r="D11" s="276"/>
      <c r="E11" s="276"/>
      <c r="F11" s="276"/>
      <c r="G11" s="276"/>
      <c r="H11" s="276"/>
      <c r="I11" s="276"/>
      <c r="J11" s="276"/>
      <c r="K11" s="276"/>
      <c r="L11" s="276"/>
      <c r="M11" s="276"/>
      <c r="N11" s="276"/>
      <c r="O11" s="276"/>
      <c r="P11" s="276"/>
    </row>
    <row r="12" spans="1:17" s="13" customFormat="1" ht="12" customHeight="1">
      <c r="B12" s="306" t="s">
        <v>26</v>
      </c>
      <c r="C12" s="307" t="str">
        <f>VLOOKUP(MIN(O47:O50),O47:Q50,2,FALSE)</f>
        <v>Bankwest 1</v>
      </c>
      <c r="D12" s="276"/>
      <c r="E12" s="276"/>
      <c r="F12" s="276"/>
      <c r="G12" s="276"/>
      <c r="H12" s="276"/>
      <c r="I12" s="276"/>
      <c r="J12" s="276"/>
      <c r="K12" s="276"/>
      <c r="L12" s="276"/>
      <c r="M12" s="276"/>
      <c r="N12" s="276"/>
      <c r="O12" s="276"/>
      <c r="P12" s="276"/>
    </row>
    <row r="13" spans="1:17" s="13" customFormat="1" ht="12" customHeight="1">
      <c r="B13" s="306" t="s">
        <v>127</v>
      </c>
      <c r="C13" s="307" t="str">
        <f>VLOOKUP(MIN(O56:O60),O56:Q60,2,FALSE)</f>
        <v>St George 1</v>
      </c>
      <c r="D13" s="276"/>
      <c r="E13" s="276"/>
      <c r="F13" s="276"/>
      <c r="G13" s="276"/>
      <c r="H13" s="276"/>
      <c r="I13" s="276"/>
      <c r="J13" s="276"/>
      <c r="K13" s="276"/>
      <c r="L13" s="276"/>
      <c r="M13" s="276"/>
      <c r="N13" s="276"/>
      <c r="O13" s="276"/>
      <c r="P13" s="276"/>
    </row>
    <row r="14" spans="1:17" s="13" customFormat="1" ht="12" customHeight="1">
      <c r="B14" s="306" t="s">
        <v>122</v>
      </c>
      <c r="C14" s="307" t="str">
        <f>VLOOKUP(MIN(O61),O61:Q61,2,FALSE)</f>
        <v>Live eftpos 1</v>
      </c>
      <c r="D14" s="276"/>
      <c r="E14" s="276"/>
      <c r="F14" s="276"/>
      <c r="G14" s="276"/>
      <c r="H14" s="276"/>
      <c r="I14" s="276"/>
      <c r="J14" s="276"/>
      <c r="K14" s="276"/>
      <c r="L14" s="276"/>
      <c r="M14" s="276"/>
      <c r="N14" s="276"/>
      <c r="O14" s="276"/>
      <c r="P14" s="276"/>
    </row>
    <row r="15" spans="1:17" s="13" customFormat="1" ht="12" customHeight="1">
      <c r="B15" s="306" t="s">
        <v>4</v>
      </c>
      <c r="C15" s="307" t="str">
        <f>VLOOKUP(MIN(O62),O62:Q62,2,FALSE)</f>
        <v>Tyro 1</v>
      </c>
      <c r="D15" s="276"/>
      <c r="E15" s="276"/>
      <c r="F15" s="276"/>
      <c r="G15" s="276"/>
      <c r="H15" s="276"/>
      <c r="I15" s="276"/>
      <c r="J15" s="276"/>
      <c r="K15" s="276"/>
      <c r="L15" s="276"/>
      <c r="M15" s="276"/>
      <c r="N15" s="276"/>
      <c r="O15" s="276"/>
      <c r="P15" s="276"/>
    </row>
    <row r="16" spans="1:17" s="13" customFormat="1" ht="12" customHeight="1">
      <c r="B16" s="306" t="s">
        <v>24</v>
      </c>
      <c r="C16" s="307" t="str">
        <f>VLOOKUP(MIN(O63:O67),O63:Q67,2,FALSE)</f>
        <v>First Data 1</v>
      </c>
      <c r="D16" s="276"/>
      <c r="E16" s="276"/>
      <c r="F16" s="276"/>
      <c r="G16" s="276"/>
      <c r="H16" s="276"/>
      <c r="I16" s="276"/>
      <c r="J16" s="276"/>
      <c r="K16" s="276"/>
      <c r="L16" s="276"/>
      <c r="M16" s="276"/>
      <c r="N16" s="276"/>
      <c r="O16" s="276"/>
      <c r="P16" s="276"/>
    </row>
    <row r="17" spans="2:16" s="13" customFormat="1" ht="12" customHeight="1">
      <c r="B17" s="308" t="s">
        <v>12</v>
      </c>
      <c r="C17" s="309" t="str">
        <f>VLOOKUP(MIN(O68),O68:Q68,2,FALSE)</f>
        <v>Mint 1</v>
      </c>
      <c r="D17" s="276"/>
      <c r="E17" s="276"/>
      <c r="F17" s="276"/>
      <c r="G17" s="276"/>
      <c r="H17" s="276"/>
      <c r="I17" s="276"/>
      <c r="J17" s="276"/>
      <c r="K17" s="276"/>
      <c r="L17" s="276"/>
      <c r="M17" s="276"/>
      <c r="N17" s="276"/>
      <c r="O17" s="276"/>
      <c r="P17" s="276"/>
    </row>
    <row r="18" spans="2:16" s="13" customFormat="1">
      <c r="B18" s="15"/>
      <c r="C18" s="16"/>
      <c r="D18" s="16"/>
      <c r="E18" s="16"/>
      <c r="F18" s="16"/>
      <c r="G18" s="16"/>
      <c r="H18" s="16"/>
      <c r="I18" s="15"/>
      <c r="J18" s="15"/>
      <c r="K18" s="15"/>
      <c r="L18" s="15"/>
      <c r="M18" s="15"/>
      <c r="N18" s="15"/>
      <c r="O18" s="15"/>
      <c r="P18" s="15"/>
    </row>
    <row r="19" spans="2:16" s="13" customFormat="1" ht="12" customHeight="1">
      <c r="B19" s="17"/>
      <c r="C19" s="358" t="s">
        <v>10</v>
      </c>
      <c r="D19" s="359"/>
      <c r="E19" s="359"/>
      <c r="F19" s="359"/>
      <c r="G19" s="359"/>
      <c r="H19" s="359"/>
      <c r="I19" s="360"/>
      <c r="J19" s="361" t="s">
        <v>101</v>
      </c>
      <c r="K19" s="362"/>
      <c r="L19" s="362"/>
      <c r="M19" s="363"/>
      <c r="N19" s="18" t="s">
        <v>8</v>
      </c>
      <c r="O19" s="351" t="s">
        <v>104</v>
      </c>
      <c r="P19" s="351" t="s">
        <v>128</v>
      </c>
    </row>
    <row r="20" spans="2:16" s="13" customFormat="1" ht="33.75">
      <c r="B20" s="266" t="s">
        <v>25</v>
      </c>
      <c r="C20" s="260" t="s">
        <v>20</v>
      </c>
      <c r="D20" s="252" t="s">
        <v>19</v>
      </c>
      <c r="E20" s="252" t="s">
        <v>94</v>
      </c>
      <c r="F20" s="260" t="s">
        <v>102</v>
      </c>
      <c r="G20" s="252" t="s">
        <v>95</v>
      </c>
      <c r="H20" s="252" t="s">
        <v>96</v>
      </c>
      <c r="I20" s="261" t="s">
        <v>14</v>
      </c>
      <c r="J20" s="252" t="s">
        <v>16</v>
      </c>
      <c r="K20" s="252" t="s">
        <v>103</v>
      </c>
      <c r="L20" s="271" t="s">
        <v>99</v>
      </c>
      <c r="M20" s="252" t="s">
        <v>15</v>
      </c>
      <c r="N20" s="260" t="s">
        <v>100</v>
      </c>
      <c r="O20" s="364"/>
      <c r="P20" s="352"/>
    </row>
    <row r="21" spans="2:16" s="13" customFormat="1">
      <c r="B21" s="289" t="str">
        <f>'Terminal offers'!$A3</f>
        <v>ANZ</v>
      </c>
      <c r="C21" s="290">
        <f>'Terminal offers'!$C$3</f>
        <v>40</v>
      </c>
      <c r="D21" s="291">
        <f>'Terminal offers'!$D$3</f>
        <v>0</v>
      </c>
      <c r="E21" s="292">
        <f>'Terminal offers'!$E$3</f>
        <v>0.25</v>
      </c>
      <c r="F21" s="293">
        <f>'Terminal offers'!$F$3</f>
        <v>8.0000000000000002E-3</v>
      </c>
      <c r="G21" s="294">
        <f>IF('Terminal offers'!$G$3&gt;0,'Terminal offers'!$G$3,'Terminal offers'!$G$68)</f>
        <v>2.3276000000000005E-2</v>
      </c>
      <c r="H21" s="294">
        <f>IF('Terminal offers'!$H$3&gt;0,'Terminal offers'!$H$3,'Terminal offers'!$H$68)</f>
        <v>2.9711000000000001E-2</v>
      </c>
      <c r="I21" s="296">
        <f>'Terminal offers'!$J$3</f>
        <v>0</v>
      </c>
      <c r="J21" s="295">
        <f t="shared" ref="J21:J68" si="1">C21+I21</f>
        <v>40</v>
      </c>
      <c r="K21" s="298">
        <f>MAX((E21*C79)+(F21*C75), 'Terminal offers'!I3)</f>
        <v>29</v>
      </c>
      <c r="L21" s="297">
        <f>(G21*$C$76)+(H21*$C$77)</f>
        <v>16.805562708602093</v>
      </c>
      <c r="M21" s="298">
        <f t="shared" ref="M21:M68" si="2">SUM(J21:L21)</f>
        <v>85.805562708602096</v>
      </c>
      <c r="N21" s="299">
        <f>$C$71</f>
        <v>4275.5927861789396</v>
      </c>
      <c r="O21" s="300">
        <f>(N21+M21)/N21-1</f>
        <v>2.0068693862982601E-2</v>
      </c>
      <c r="P21" s="300" t="s">
        <v>129</v>
      </c>
    </row>
    <row r="22" spans="2:16" s="13" customFormat="1">
      <c r="B22" s="278" t="str">
        <f>'Terminal offers'!$A19</f>
        <v>Commonwealth Bank</v>
      </c>
      <c r="C22" s="279">
        <f>'Terminal offers'!$C19</f>
        <v>60</v>
      </c>
      <c r="D22" s="280">
        <f>'Terminal offers'!$D19</f>
        <v>3000</v>
      </c>
      <c r="E22" s="365">
        <f>'Terminal offers'!$E19</f>
        <v>1.4999999999999999E-2</v>
      </c>
      <c r="F22" s="366"/>
      <c r="G22" s="109">
        <f>IF('Terminal offers'!$G19&gt;0,'Terminal offers'!$G19,'Terminal offers'!$G$68)</f>
        <v>2.3276000000000005E-2</v>
      </c>
      <c r="H22" s="109">
        <f>IF('Terminal offers'!$H19&gt;0,'Terminal offers'!$H19,'Terminal offers'!$H$68)</f>
        <v>2.9711000000000001E-2</v>
      </c>
      <c r="I22" s="281">
        <f>'Terminal offers'!$J19</f>
        <v>0</v>
      </c>
      <c r="J22" s="282">
        <f t="shared" si="1"/>
        <v>60</v>
      </c>
      <c r="K22" s="281">
        <f>IF(($C$74+$C$75)&lt;=D22, 0, E22*(($C$74+$C$75)-D22))</f>
        <v>8.5475851806250738</v>
      </c>
      <c r="L22" s="283">
        <f t="shared" ref="L22:L68" si="3">(G22*$C$76)+(H22*$C$77)</f>
        <v>16.805562708602093</v>
      </c>
      <c r="M22" s="281">
        <f t="shared" si="2"/>
        <v>85.353147889227174</v>
      </c>
      <c r="N22" s="284">
        <f t="shared" ref="N22:N68" si="4">$C$71</f>
        <v>4275.5927861789396</v>
      </c>
      <c r="O22" s="110">
        <f t="shared" ref="O22:O68" si="5">(N22+M22)/N22-1</f>
        <v>1.9962880507501835E-2</v>
      </c>
      <c r="P22" s="110" t="s">
        <v>130</v>
      </c>
    </row>
    <row r="23" spans="2:16" s="13" customFormat="1">
      <c r="B23" s="267" t="str">
        <f>'Terminal offers'!$A20</f>
        <v>Commonwealth Bank</v>
      </c>
      <c r="C23" s="262">
        <f>'Terminal offers'!$C20</f>
        <v>90</v>
      </c>
      <c r="D23" s="22">
        <f>'Terminal offers'!$D20</f>
        <v>6000</v>
      </c>
      <c r="E23" s="353">
        <f>'Terminal offers'!$E20</f>
        <v>1.4999999999999999E-2</v>
      </c>
      <c r="F23" s="354"/>
      <c r="G23" s="24">
        <f>IF('Terminal offers'!$G20&gt;0,'Terminal offers'!$G20,'Terminal offers'!$G$68)</f>
        <v>2.3276000000000005E-2</v>
      </c>
      <c r="H23" s="24">
        <f>IF('Terminal offers'!$H20&gt;0,'Terminal offers'!$H20,'Terminal offers'!$H$68)</f>
        <v>2.9711000000000001E-2</v>
      </c>
      <c r="I23" s="27">
        <f>'Terminal offers'!$J20</f>
        <v>0</v>
      </c>
      <c r="J23" s="25">
        <f t="shared" si="1"/>
        <v>90</v>
      </c>
      <c r="K23" s="27">
        <f t="shared" ref="K23:K25" si="6">IF(($C$74+$C$75)&lt;=D23, 0, E23*(($C$74+$C$75)-D23))</f>
        <v>0</v>
      </c>
      <c r="L23" s="32">
        <f t="shared" si="3"/>
        <v>16.805562708602093</v>
      </c>
      <c r="M23" s="27">
        <f t="shared" si="2"/>
        <v>106.8055627086021</v>
      </c>
      <c r="N23" s="263">
        <f t="shared" si="4"/>
        <v>4275.5927861789396</v>
      </c>
      <c r="O23" s="30">
        <f t="shared" si="5"/>
        <v>2.4980293505465934E-2</v>
      </c>
      <c r="P23" s="30" t="s">
        <v>131</v>
      </c>
    </row>
    <row r="24" spans="2:16" s="13" customFormat="1">
      <c r="B24" s="267" t="str">
        <f>'Terminal offers'!$A21</f>
        <v>Commonwealth Bank</v>
      </c>
      <c r="C24" s="262">
        <f>'Terminal offers'!$C21</f>
        <v>120</v>
      </c>
      <c r="D24" s="22">
        <f>'Terminal offers'!$D21</f>
        <v>9000</v>
      </c>
      <c r="E24" s="353">
        <f>'Terminal offers'!$E21</f>
        <v>1.4999999999999999E-2</v>
      </c>
      <c r="F24" s="354"/>
      <c r="G24" s="24">
        <f>IF('Terminal offers'!$G21&gt;0,'Terminal offers'!$G21,'Terminal offers'!$G$68)</f>
        <v>2.3276000000000005E-2</v>
      </c>
      <c r="H24" s="24">
        <f>IF('Terminal offers'!$H21&gt;0,'Terminal offers'!$H21,'Terminal offers'!$H$68)</f>
        <v>2.9711000000000001E-2</v>
      </c>
      <c r="I24" s="27">
        <f>'Terminal offers'!$J21</f>
        <v>0</v>
      </c>
      <c r="J24" s="25">
        <f t="shared" si="1"/>
        <v>120</v>
      </c>
      <c r="K24" s="27">
        <f t="shared" si="6"/>
        <v>0</v>
      </c>
      <c r="L24" s="32">
        <f t="shared" si="3"/>
        <v>16.805562708602093</v>
      </c>
      <c r="M24" s="27">
        <f t="shared" si="2"/>
        <v>136.80556270860208</v>
      </c>
      <c r="N24" s="263">
        <f t="shared" si="4"/>
        <v>4275.5927861789396</v>
      </c>
      <c r="O24" s="30">
        <f t="shared" si="5"/>
        <v>3.1996864423298854E-2</v>
      </c>
      <c r="P24" s="30" t="s">
        <v>132</v>
      </c>
    </row>
    <row r="25" spans="2:16" s="13" customFormat="1">
      <c r="B25" s="268" t="str">
        <f>'Terminal offers'!$A22</f>
        <v>Commonwealth Bank</v>
      </c>
      <c r="C25" s="264">
        <f>'Terminal offers'!$C22</f>
        <v>150</v>
      </c>
      <c r="D25" s="255">
        <f>'Terminal offers'!$D22</f>
        <v>12000</v>
      </c>
      <c r="E25" s="367">
        <f>'Terminal offers'!$E22</f>
        <v>1.4999999999999999E-2</v>
      </c>
      <c r="F25" s="368"/>
      <c r="G25" s="256">
        <f>IF('Terminal offers'!$G22&gt;0,'Terminal offers'!$G22,'Terminal offers'!$G$68)</f>
        <v>2.3276000000000005E-2</v>
      </c>
      <c r="H25" s="256">
        <f>IF('Terminal offers'!$H22&gt;0,'Terminal offers'!$H22,'Terminal offers'!$H$68)</f>
        <v>2.9711000000000001E-2</v>
      </c>
      <c r="I25" s="35">
        <f>'Terminal offers'!$J22</f>
        <v>0</v>
      </c>
      <c r="J25" s="257">
        <f t="shared" si="1"/>
        <v>150</v>
      </c>
      <c r="K25" s="35">
        <f t="shared" si="6"/>
        <v>0</v>
      </c>
      <c r="L25" s="259">
        <f t="shared" si="3"/>
        <v>16.805562708602093</v>
      </c>
      <c r="M25" s="35">
        <f t="shared" si="2"/>
        <v>166.80556270860208</v>
      </c>
      <c r="N25" s="265">
        <f t="shared" si="4"/>
        <v>4275.5927861789396</v>
      </c>
      <c r="O25" s="38">
        <f t="shared" si="5"/>
        <v>3.9013435341131997E-2</v>
      </c>
      <c r="P25" s="30" t="s">
        <v>133</v>
      </c>
    </row>
    <row r="26" spans="2:16" s="13" customFormat="1">
      <c r="B26" s="278" t="str">
        <f>'Terminal offers'!$A35</f>
        <v>NAB</v>
      </c>
      <c r="C26" s="279">
        <f>'Terminal offers'!$C35</f>
        <v>40</v>
      </c>
      <c r="D26" s="280">
        <f>'Terminal offers'!$D35</f>
        <v>1500</v>
      </c>
      <c r="E26" s="365">
        <f>'Terminal offers'!$E35</f>
        <v>1.4999999999999999E-2</v>
      </c>
      <c r="F26" s="366"/>
      <c r="G26" s="109">
        <f>IF('Terminal offers'!$G35&gt;0,'Terminal offers'!$G35,'Terminal offers'!$G$68)</f>
        <v>2.3276000000000005E-2</v>
      </c>
      <c r="H26" s="109">
        <f>IF('Terminal offers'!$H35&gt;0,'Terminal offers'!$H35,'Terminal offers'!$H$68)</f>
        <v>2.9711000000000001E-2</v>
      </c>
      <c r="I26" s="285">
        <f>'Terminal offers'!$J35</f>
        <v>0</v>
      </c>
      <c r="J26" s="282">
        <f t="shared" si="1"/>
        <v>40</v>
      </c>
      <c r="K26" s="286">
        <f>IF(($C$74+$C$75)&lt;=D26, 0, E26*(($C$74+$C$75)-D26))</f>
        <v>31.047585180625074</v>
      </c>
      <c r="L26" s="283">
        <f t="shared" si="3"/>
        <v>16.805562708602093</v>
      </c>
      <c r="M26" s="281">
        <f t="shared" si="2"/>
        <v>87.853147889227174</v>
      </c>
      <c r="N26" s="284">
        <f t="shared" si="4"/>
        <v>4275.5927861789396</v>
      </c>
      <c r="O26" s="110">
        <f t="shared" si="5"/>
        <v>2.0547594750654596E-2</v>
      </c>
      <c r="P26" s="110" t="s">
        <v>134</v>
      </c>
    </row>
    <row r="27" spans="2:16" s="13" customFormat="1">
      <c r="B27" s="267" t="str">
        <f>'Terminal offers'!$A36</f>
        <v>NAB</v>
      </c>
      <c r="C27" s="262">
        <f>'Terminal offers'!$C36</f>
        <v>100</v>
      </c>
      <c r="D27" s="22">
        <f>'Terminal offers'!$D36</f>
        <v>6000</v>
      </c>
      <c r="E27" s="353">
        <f>'Terminal offers'!$E36</f>
        <v>1.4999999999999999E-2</v>
      </c>
      <c r="F27" s="354"/>
      <c r="G27" s="24">
        <f>IF('Terminal offers'!$G36&gt;0,'Terminal offers'!$G36,'Terminal offers'!$G$68)</f>
        <v>2.3276000000000005E-2</v>
      </c>
      <c r="H27" s="24">
        <f>IF('Terminal offers'!$H36&gt;0,'Terminal offers'!$H36,'Terminal offers'!$H$68)</f>
        <v>2.9711000000000001E-2</v>
      </c>
      <c r="I27" s="26">
        <f>'Terminal offers'!$J36</f>
        <v>0</v>
      </c>
      <c r="J27" s="25">
        <f t="shared" si="1"/>
        <v>100</v>
      </c>
      <c r="K27" s="33">
        <f t="shared" ref="K27:K30" si="7">IF(($C$74+$C$75)&lt;=D27, 0, E27*(($C$74+$C$75)-D27))</f>
        <v>0</v>
      </c>
      <c r="L27" s="32">
        <f t="shared" si="3"/>
        <v>16.805562708602093</v>
      </c>
      <c r="M27" s="27">
        <f t="shared" si="2"/>
        <v>116.8055627086021</v>
      </c>
      <c r="N27" s="263">
        <f t="shared" si="4"/>
        <v>4275.5927861789396</v>
      </c>
      <c r="O27" s="30">
        <f t="shared" si="5"/>
        <v>2.7319150478076759E-2</v>
      </c>
      <c r="P27" s="30" t="s">
        <v>135</v>
      </c>
    </row>
    <row r="28" spans="2:16" s="13" customFormat="1">
      <c r="B28" s="267" t="str">
        <f>'Terminal offers'!$A37</f>
        <v>NAB</v>
      </c>
      <c r="C28" s="262">
        <f>'Terminal offers'!$C37</f>
        <v>190</v>
      </c>
      <c r="D28" s="22">
        <f>'Terminal offers'!$D37</f>
        <v>15000</v>
      </c>
      <c r="E28" s="353">
        <f>'Terminal offers'!$E37</f>
        <v>1.2E-2</v>
      </c>
      <c r="F28" s="354"/>
      <c r="G28" s="24">
        <f>IF('Terminal offers'!$G37&gt;0,'Terminal offers'!$G37,'Terminal offers'!$G$68)</f>
        <v>2.3276000000000005E-2</v>
      </c>
      <c r="H28" s="24">
        <f>IF('Terminal offers'!$H37&gt;0,'Terminal offers'!$H37,'Terminal offers'!$H$68)</f>
        <v>2.9711000000000001E-2</v>
      </c>
      <c r="I28" s="26">
        <f>'Terminal offers'!$J37</f>
        <v>0</v>
      </c>
      <c r="J28" s="25">
        <f t="shared" si="1"/>
        <v>190</v>
      </c>
      <c r="K28" s="33">
        <f t="shared" si="7"/>
        <v>0</v>
      </c>
      <c r="L28" s="32">
        <f t="shared" si="3"/>
        <v>16.805562708602093</v>
      </c>
      <c r="M28" s="27">
        <f t="shared" si="2"/>
        <v>206.80556270860208</v>
      </c>
      <c r="N28" s="263">
        <f t="shared" si="4"/>
        <v>4275.5927861789396</v>
      </c>
      <c r="O28" s="30">
        <f t="shared" si="5"/>
        <v>4.8368863231575965E-2</v>
      </c>
      <c r="P28" s="30" t="s">
        <v>136</v>
      </c>
    </row>
    <row r="29" spans="2:16" s="13" customFormat="1">
      <c r="B29" s="267" t="str">
        <f>'Terminal offers'!$A38</f>
        <v>NAB</v>
      </c>
      <c r="C29" s="262">
        <f>'Terminal offers'!$C38</f>
        <v>240</v>
      </c>
      <c r="D29" s="22">
        <f>'Terminal offers'!$D38</f>
        <v>20000</v>
      </c>
      <c r="E29" s="353">
        <f>'Terminal offers'!$E38</f>
        <v>1.15E-2</v>
      </c>
      <c r="F29" s="354"/>
      <c r="G29" s="24">
        <f>IF('Terminal offers'!$G38&gt;0,'Terminal offers'!$G38,'Terminal offers'!$G$68)</f>
        <v>2.3276000000000005E-2</v>
      </c>
      <c r="H29" s="24">
        <f>IF('Terminal offers'!$H38&gt;0,'Terminal offers'!$H38,'Terminal offers'!$H$68)</f>
        <v>2.9711000000000001E-2</v>
      </c>
      <c r="I29" s="26">
        <f>'Terminal offers'!$J38</f>
        <v>0</v>
      </c>
      <c r="J29" s="25">
        <f t="shared" si="1"/>
        <v>240</v>
      </c>
      <c r="K29" s="33">
        <f t="shared" si="7"/>
        <v>0</v>
      </c>
      <c r="L29" s="32">
        <f t="shared" si="3"/>
        <v>16.805562708602093</v>
      </c>
      <c r="M29" s="27">
        <f t="shared" si="2"/>
        <v>256.80556270860211</v>
      </c>
      <c r="N29" s="263">
        <f t="shared" si="4"/>
        <v>4275.5927861789396</v>
      </c>
      <c r="O29" s="30">
        <f t="shared" si="5"/>
        <v>6.0063148094631202E-2</v>
      </c>
      <c r="P29" s="30" t="s">
        <v>137</v>
      </c>
    </row>
    <row r="30" spans="2:16" s="13" customFormat="1">
      <c r="B30" s="268" t="str">
        <f>'Terminal offers'!$A39</f>
        <v>NAB</v>
      </c>
      <c r="C30" s="264">
        <f>'Terminal offers'!$C39</f>
        <v>310</v>
      </c>
      <c r="D30" s="255">
        <f>'Terminal offers'!$D39</f>
        <v>30000</v>
      </c>
      <c r="E30" s="367">
        <f>'Terminal offers'!$E39</f>
        <v>0.01</v>
      </c>
      <c r="F30" s="368"/>
      <c r="G30" s="256">
        <f>IF('Terminal offers'!$G39&gt;0,'Terminal offers'!$G39,'Terminal offers'!$G$68)</f>
        <v>2.3276000000000005E-2</v>
      </c>
      <c r="H30" s="24">
        <f>IF('Terminal offers'!$H39&gt;0,'Terminal offers'!$H39,'Terminal offers'!$H$68)</f>
        <v>2.9711000000000001E-2</v>
      </c>
      <c r="I30" s="26">
        <f>'Terminal offers'!$J39</f>
        <v>0</v>
      </c>
      <c r="J30" s="257">
        <f t="shared" si="1"/>
        <v>310</v>
      </c>
      <c r="K30" s="258">
        <f t="shared" si="7"/>
        <v>0</v>
      </c>
      <c r="L30" s="259">
        <f t="shared" si="3"/>
        <v>16.805562708602093</v>
      </c>
      <c r="M30" s="35">
        <f t="shared" si="2"/>
        <v>326.80556270860211</v>
      </c>
      <c r="N30" s="265">
        <f t="shared" si="4"/>
        <v>4275.5927861789396</v>
      </c>
      <c r="O30" s="38">
        <f t="shared" si="5"/>
        <v>7.6435146902908313E-2</v>
      </c>
      <c r="P30" s="38" t="s">
        <v>138</v>
      </c>
    </row>
    <row r="31" spans="2:16" s="13" customFormat="1">
      <c r="B31" s="287" t="str">
        <f>'Terminal offers'!$A51</f>
        <v>Westpac</v>
      </c>
      <c r="C31" s="279">
        <f>'Terminal offers'!$C51</f>
        <v>55</v>
      </c>
      <c r="D31" s="280">
        <f>'Terminal offers'!$D51</f>
        <v>3500</v>
      </c>
      <c r="E31" s="365">
        <f>'Terminal offers'!$E51</f>
        <v>1.4999999999999999E-2</v>
      </c>
      <c r="F31" s="366"/>
      <c r="G31" s="288">
        <f>IF('Terminal offers'!$G51&gt;0,'Terminal offers'!$G51,'Terminal offers'!$G$68)</f>
        <v>2.3276000000000005E-2</v>
      </c>
      <c r="H31" s="288">
        <f>IF('Terminal offers'!$H51&gt;0,'Terminal offers'!$H51,'Terminal offers'!$H$68)</f>
        <v>2.9711000000000001E-2</v>
      </c>
      <c r="I31" s="285">
        <f>'Terminal offers'!$J51</f>
        <v>0</v>
      </c>
      <c r="J31" s="282">
        <f t="shared" si="1"/>
        <v>55</v>
      </c>
      <c r="K31" s="281">
        <f>IF(($C$74+$C$75)&lt;=D31, 0, E31*(($C$74+$C$75)-D31))</f>
        <v>1.0475851806250738</v>
      </c>
      <c r="L31" s="283">
        <f t="shared" si="3"/>
        <v>16.805562708602093</v>
      </c>
      <c r="M31" s="281">
        <f t="shared" si="2"/>
        <v>72.853147889227174</v>
      </c>
      <c r="N31" s="284">
        <f t="shared" si="4"/>
        <v>4275.5927861789396</v>
      </c>
      <c r="O31" s="110">
        <f t="shared" si="5"/>
        <v>1.7039309291738025E-2</v>
      </c>
      <c r="P31" s="110" t="s">
        <v>139</v>
      </c>
    </row>
    <row r="32" spans="2:16" s="13" customFormat="1">
      <c r="B32" s="269" t="str">
        <f>'Terminal offers'!$A52</f>
        <v>Westpac</v>
      </c>
      <c r="C32" s="262">
        <f>'Terminal offers'!$C52</f>
        <v>85</v>
      </c>
      <c r="D32" s="22">
        <f>'Terminal offers'!$D52</f>
        <v>6000</v>
      </c>
      <c r="E32" s="353">
        <f>'Terminal offers'!$E52</f>
        <v>1.4999999999999999E-2</v>
      </c>
      <c r="F32" s="354"/>
      <c r="G32" s="272">
        <f>IF('Terminal offers'!$G52&gt;0,'Terminal offers'!$G52,'Terminal offers'!$G$68)</f>
        <v>2.3276000000000005E-2</v>
      </c>
      <c r="H32" s="272">
        <f>IF('Terminal offers'!$H52&gt;0,'Terminal offers'!$H52,'Terminal offers'!$H$68)</f>
        <v>2.9711000000000001E-2</v>
      </c>
      <c r="I32" s="26">
        <f>'Terminal offers'!$J52</f>
        <v>0</v>
      </c>
      <c r="J32" s="25">
        <f t="shared" si="1"/>
        <v>85</v>
      </c>
      <c r="K32" s="27">
        <f t="shared" ref="K32:K35" si="8">IF(($C$74+$C$75)&lt;=D32, 0, E32*(($C$74+$C$75)-D32))</f>
        <v>0</v>
      </c>
      <c r="L32" s="32">
        <f t="shared" si="3"/>
        <v>16.805562708602093</v>
      </c>
      <c r="M32" s="27">
        <f t="shared" si="2"/>
        <v>101.8055627086021</v>
      </c>
      <c r="N32" s="263">
        <f t="shared" si="4"/>
        <v>4275.5927861789396</v>
      </c>
      <c r="O32" s="30">
        <f t="shared" si="5"/>
        <v>2.381086501916041E-2</v>
      </c>
      <c r="P32" s="30" t="s">
        <v>140</v>
      </c>
    </row>
    <row r="33" spans="2:16" s="13" customFormat="1">
      <c r="B33" s="269" t="str">
        <f>'Terminal offers'!$A53</f>
        <v>Westpac</v>
      </c>
      <c r="C33" s="262">
        <f>'Terminal offers'!$C53</f>
        <v>125</v>
      </c>
      <c r="D33" s="22">
        <f>'Terminal offers'!$D53</f>
        <v>10000</v>
      </c>
      <c r="E33" s="353">
        <f>'Terminal offers'!$E53</f>
        <v>1.4999999999999999E-2</v>
      </c>
      <c r="F33" s="354"/>
      <c r="G33" s="272">
        <f>IF('Terminal offers'!$G53&gt;0,'Terminal offers'!$G53,'Terminal offers'!$G$68)</f>
        <v>2.3276000000000005E-2</v>
      </c>
      <c r="H33" s="272">
        <f>IF('Terminal offers'!$H53&gt;0,'Terminal offers'!$H53,'Terminal offers'!$H$68)</f>
        <v>2.9711000000000001E-2</v>
      </c>
      <c r="I33" s="26">
        <f>'Terminal offers'!$J53</f>
        <v>0</v>
      </c>
      <c r="J33" s="25">
        <f t="shared" si="1"/>
        <v>125</v>
      </c>
      <c r="K33" s="27">
        <f t="shared" si="8"/>
        <v>0</v>
      </c>
      <c r="L33" s="32">
        <f t="shared" si="3"/>
        <v>16.805562708602093</v>
      </c>
      <c r="M33" s="27">
        <f t="shared" si="2"/>
        <v>141.80556270860208</v>
      </c>
      <c r="N33" s="263">
        <f t="shared" si="4"/>
        <v>4275.5927861789396</v>
      </c>
      <c r="O33" s="30">
        <f t="shared" si="5"/>
        <v>3.3166292909604378E-2</v>
      </c>
      <c r="P33" s="30" t="s">
        <v>141</v>
      </c>
    </row>
    <row r="34" spans="2:16" s="13" customFormat="1">
      <c r="B34" s="269" t="str">
        <f>'Terminal offers'!$A54</f>
        <v>Westpac</v>
      </c>
      <c r="C34" s="262">
        <f>'Terminal offers'!$C54</f>
        <v>175</v>
      </c>
      <c r="D34" s="22">
        <f>'Terminal offers'!$D54</f>
        <v>15000</v>
      </c>
      <c r="E34" s="353">
        <f>'Terminal offers'!$E54</f>
        <v>1.4999999999999999E-2</v>
      </c>
      <c r="F34" s="354"/>
      <c r="G34" s="272">
        <f>IF('Terminal offers'!$G54&gt;0,'Terminal offers'!$G54,'Terminal offers'!$G$68)</f>
        <v>2.3276000000000005E-2</v>
      </c>
      <c r="H34" s="272">
        <f>IF('Terminal offers'!$H54&gt;0,'Terminal offers'!$H54,'Terminal offers'!$H$68)</f>
        <v>2.9711000000000001E-2</v>
      </c>
      <c r="I34" s="26">
        <f>'Terminal offers'!$J54</f>
        <v>0</v>
      </c>
      <c r="J34" s="25">
        <f t="shared" si="1"/>
        <v>175</v>
      </c>
      <c r="K34" s="27">
        <f t="shared" si="8"/>
        <v>0</v>
      </c>
      <c r="L34" s="32">
        <f t="shared" si="3"/>
        <v>16.805562708602093</v>
      </c>
      <c r="M34" s="27">
        <f t="shared" si="2"/>
        <v>191.80556270860208</v>
      </c>
      <c r="N34" s="263">
        <f t="shared" si="4"/>
        <v>4275.5927861789396</v>
      </c>
      <c r="O34" s="30">
        <f t="shared" si="5"/>
        <v>4.4860577772659616E-2</v>
      </c>
      <c r="P34" s="30" t="s">
        <v>142</v>
      </c>
    </row>
    <row r="35" spans="2:16" s="13" customFormat="1">
      <c r="B35" s="270" t="str">
        <f>'Terminal offers'!$A55</f>
        <v>Westpac</v>
      </c>
      <c r="C35" s="264">
        <f>'Terminal offers'!$C55</f>
        <v>225</v>
      </c>
      <c r="D35" s="255">
        <f>'Terminal offers'!$D55</f>
        <v>20000</v>
      </c>
      <c r="E35" s="367">
        <f>'Terminal offers'!$E55</f>
        <v>1.4999999999999999E-2</v>
      </c>
      <c r="F35" s="368"/>
      <c r="G35" s="273">
        <f>IF('Terminal offers'!$G55&gt;0,'Terminal offers'!$G55,'Terminal offers'!$G$68)</f>
        <v>2.3276000000000005E-2</v>
      </c>
      <c r="H35" s="273">
        <f>IF('Terminal offers'!$H55&gt;0,'Terminal offers'!$H55,'Terminal offers'!$H$68)</f>
        <v>2.9711000000000001E-2</v>
      </c>
      <c r="I35" s="34">
        <f>'Terminal offers'!$J55</f>
        <v>0</v>
      </c>
      <c r="J35" s="257">
        <f t="shared" si="1"/>
        <v>225</v>
      </c>
      <c r="K35" s="35">
        <f t="shared" si="8"/>
        <v>0</v>
      </c>
      <c r="L35" s="259">
        <f t="shared" si="3"/>
        <v>16.805562708602093</v>
      </c>
      <c r="M35" s="35">
        <f t="shared" si="2"/>
        <v>241.80556270860208</v>
      </c>
      <c r="N35" s="265">
        <f t="shared" si="4"/>
        <v>4275.5927861789396</v>
      </c>
      <c r="O35" s="38">
        <f t="shared" si="5"/>
        <v>5.6554862635714631E-2</v>
      </c>
      <c r="P35" s="38" t="s">
        <v>143</v>
      </c>
    </row>
    <row r="36" spans="2:16" s="13" customFormat="1">
      <c r="B36" s="287" t="str">
        <f>'Terminal offers'!$A4</f>
        <v>Bank of Melbourne</v>
      </c>
      <c r="C36" s="279">
        <f>'Terminal offers'!$C4</f>
        <v>55</v>
      </c>
      <c r="D36" s="280">
        <f>'Terminal offers'!$D4</f>
        <v>3500</v>
      </c>
      <c r="E36" s="365">
        <f>'Terminal offers'!$E4</f>
        <v>1.4999999999999999E-2</v>
      </c>
      <c r="F36" s="366"/>
      <c r="G36" s="109">
        <f>IF('Terminal offers'!$G4&gt;0,'Terminal offers'!$G4,'Terminal offers'!$G$68)</f>
        <v>2.3276000000000005E-2</v>
      </c>
      <c r="H36" s="272">
        <f>IF('Terminal offers'!$H4&gt;0,'Terminal offers'!$H4,'Terminal offers'!$H$68)</f>
        <v>2.9711000000000001E-2</v>
      </c>
      <c r="I36" s="285">
        <f>'Terminal offers'!$J4</f>
        <v>10</v>
      </c>
      <c r="J36" s="282">
        <f t="shared" si="1"/>
        <v>65</v>
      </c>
      <c r="K36" s="281">
        <f>IF(($C$74+$C$75)&lt;=D36, 0, E36*(($C$74+$C$75)-D36))</f>
        <v>1.0475851806250738</v>
      </c>
      <c r="L36" s="283">
        <f t="shared" si="3"/>
        <v>16.805562708602093</v>
      </c>
      <c r="M36" s="281">
        <f t="shared" si="2"/>
        <v>82.853147889227174</v>
      </c>
      <c r="N36" s="284">
        <f t="shared" si="4"/>
        <v>4275.5927861789396</v>
      </c>
      <c r="O36" s="110">
        <f t="shared" si="5"/>
        <v>1.9378166264349073E-2</v>
      </c>
      <c r="P36" s="110" t="s">
        <v>144</v>
      </c>
    </row>
    <row r="37" spans="2:16" s="13" customFormat="1">
      <c r="B37" s="269" t="str">
        <f>'Terminal offers'!$A5</f>
        <v>Bank of Melbourne</v>
      </c>
      <c r="C37" s="262">
        <f>'Terminal offers'!$C5</f>
        <v>85</v>
      </c>
      <c r="D37" s="22">
        <f>'Terminal offers'!$D5</f>
        <v>6000</v>
      </c>
      <c r="E37" s="353">
        <f>'Terminal offers'!$E5</f>
        <v>1.4999999999999999E-2</v>
      </c>
      <c r="F37" s="354"/>
      <c r="G37" s="24">
        <f>IF('Terminal offers'!$G5&gt;0,'Terminal offers'!$G5,'Terminal offers'!$G$68)</f>
        <v>2.3276000000000005E-2</v>
      </c>
      <c r="H37" s="272">
        <f>IF('Terminal offers'!$H5&gt;0,'Terminal offers'!$H5,'Terminal offers'!$H$68)</f>
        <v>2.9711000000000001E-2</v>
      </c>
      <c r="I37" s="26">
        <f>'Terminal offers'!$J5</f>
        <v>10</v>
      </c>
      <c r="J37" s="25">
        <f t="shared" si="1"/>
        <v>95</v>
      </c>
      <c r="K37" s="27">
        <f t="shared" ref="K37:K40" si="9">IF(($C$74+$C$75)&lt;=D37, 0, E37*(($C$74+$C$75)-D37))</f>
        <v>0</v>
      </c>
      <c r="L37" s="32">
        <f t="shared" si="3"/>
        <v>16.805562708602093</v>
      </c>
      <c r="M37" s="27">
        <f t="shared" si="2"/>
        <v>111.8055627086021</v>
      </c>
      <c r="N37" s="263">
        <f t="shared" si="4"/>
        <v>4275.5927861789396</v>
      </c>
      <c r="O37" s="30">
        <f t="shared" si="5"/>
        <v>2.6149721991771235E-2</v>
      </c>
      <c r="P37" s="30" t="s">
        <v>145</v>
      </c>
    </row>
    <row r="38" spans="2:16" s="13" customFormat="1">
      <c r="B38" s="269" t="str">
        <f>'Terminal offers'!$A6</f>
        <v>Bank of Melbourne</v>
      </c>
      <c r="C38" s="262">
        <f>'Terminal offers'!$C6</f>
        <v>125</v>
      </c>
      <c r="D38" s="22">
        <f>'Terminal offers'!$D6</f>
        <v>10000</v>
      </c>
      <c r="E38" s="353">
        <f>'Terminal offers'!$E6</f>
        <v>1.4999999999999999E-2</v>
      </c>
      <c r="F38" s="354"/>
      <c r="G38" s="24">
        <f>IF('Terminal offers'!$G6&gt;0,'Terminal offers'!$G6,'Terminal offers'!$G$68)</f>
        <v>2.3276000000000005E-2</v>
      </c>
      <c r="H38" s="272">
        <f>IF('Terminal offers'!$H6&gt;0,'Terminal offers'!$H6,'Terminal offers'!$H$68)</f>
        <v>2.9711000000000001E-2</v>
      </c>
      <c r="I38" s="26">
        <f>'Terminal offers'!$J6</f>
        <v>10</v>
      </c>
      <c r="J38" s="25">
        <f t="shared" si="1"/>
        <v>135</v>
      </c>
      <c r="K38" s="27">
        <f t="shared" si="9"/>
        <v>0</v>
      </c>
      <c r="L38" s="32">
        <f t="shared" si="3"/>
        <v>16.805562708602093</v>
      </c>
      <c r="M38" s="27">
        <f t="shared" si="2"/>
        <v>151.80556270860208</v>
      </c>
      <c r="N38" s="263">
        <f t="shared" si="4"/>
        <v>4275.5927861789396</v>
      </c>
      <c r="O38" s="30">
        <f t="shared" si="5"/>
        <v>3.5505149882215425E-2</v>
      </c>
      <c r="P38" s="30" t="s">
        <v>146</v>
      </c>
    </row>
    <row r="39" spans="2:16" s="13" customFormat="1">
      <c r="B39" s="269" t="str">
        <f>'Terminal offers'!$A7</f>
        <v>Bank of Melbourne</v>
      </c>
      <c r="C39" s="262">
        <f>'Terminal offers'!$C7</f>
        <v>175</v>
      </c>
      <c r="D39" s="22">
        <f>'Terminal offers'!$D7</f>
        <v>15000</v>
      </c>
      <c r="E39" s="353">
        <f>'Terminal offers'!$E7</f>
        <v>1.4999999999999999E-2</v>
      </c>
      <c r="F39" s="354"/>
      <c r="G39" s="24">
        <f>IF('Terminal offers'!$G7&gt;0,'Terminal offers'!$G7,'Terminal offers'!$G$68)</f>
        <v>2.3276000000000005E-2</v>
      </c>
      <c r="H39" s="272">
        <f>IF('Terminal offers'!$H7&gt;0,'Terminal offers'!$H7,'Terminal offers'!$H$68)</f>
        <v>2.9711000000000001E-2</v>
      </c>
      <c r="I39" s="26">
        <f>'Terminal offers'!$J7</f>
        <v>10</v>
      </c>
      <c r="J39" s="25">
        <f t="shared" si="1"/>
        <v>185</v>
      </c>
      <c r="K39" s="27">
        <f t="shared" si="9"/>
        <v>0</v>
      </c>
      <c r="L39" s="32">
        <f t="shared" si="3"/>
        <v>16.805562708602093</v>
      </c>
      <c r="M39" s="27">
        <f t="shared" si="2"/>
        <v>201.80556270860208</v>
      </c>
      <c r="N39" s="263">
        <f t="shared" si="4"/>
        <v>4275.5927861789396</v>
      </c>
      <c r="O39" s="30">
        <f t="shared" si="5"/>
        <v>4.7199434745270441E-2</v>
      </c>
      <c r="P39" s="30" t="s">
        <v>147</v>
      </c>
    </row>
    <row r="40" spans="2:16" s="13" customFormat="1">
      <c r="B40" s="270" t="str">
        <f>'Terminal offers'!$A8</f>
        <v>Bank of Melbourne</v>
      </c>
      <c r="C40" s="264">
        <f>'Terminal offers'!$C8</f>
        <v>225</v>
      </c>
      <c r="D40" s="255">
        <f>'Terminal offers'!$D8</f>
        <v>20000</v>
      </c>
      <c r="E40" s="367">
        <f>'Terminal offers'!$E8</f>
        <v>1.4999999999999999E-2</v>
      </c>
      <c r="F40" s="368"/>
      <c r="G40" s="256">
        <f>IF('Terminal offers'!$G8&gt;0,'Terminal offers'!$G8,'Terminal offers'!$G$68)</f>
        <v>2.3276000000000005E-2</v>
      </c>
      <c r="H40" s="273">
        <f>IF('Terminal offers'!$H8&gt;0,'Terminal offers'!$H8,'Terminal offers'!$H$68)</f>
        <v>2.9711000000000001E-2</v>
      </c>
      <c r="I40" s="34">
        <f>'Terminal offers'!$J8</f>
        <v>10</v>
      </c>
      <c r="J40" s="257">
        <f t="shared" si="1"/>
        <v>235</v>
      </c>
      <c r="K40" s="35">
        <f t="shared" si="9"/>
        <v>0</v>
      </c>
      <c r="L40" s="259">
        <f t="shared" si="3"/>
        <v>16.805562708602093</v>
      </c>
      <c r="M40" s="35">
        <f t="shared" si="2"/>
        <v>251.80556270860208</v>
      </c>
      <c r="N40" s="265">
        <f t="shared" si="4"/>
        <v>4275.5927861789396</v>
      </c>
      <c r="O40" s="38">
        <f t="shared" si="5"/>
        <v>5.8893719608325679E-2</v>
      </c>
      <c r="P40" s="38" t="s">
        <v>148</v>
      </c>
    </row>
    <row r="41" spans="2:16" s="13" customFormat="1">
      <c r="B41" s="287" t="str">
        <f>'Terminal offers'!$A9</f>
        <v>Bank SA</v>
      </c>
      <c r="C41" s="279">
        <f>'Terminal offers'!$C9</f>
        <v>55</v>
      </c>
      <c r="D41" s="280">
        <f>'Terminal offers'!$D9</f>
        <v>3500</v>
      </c>
      <c r="E41" s="365">
        <f>'Terminal offers'!$E9</f>
        <v>1.4999999999999999E-2</v>
      </c>
      <c r="F41" s="366"/>
      <c r="G41" s="109">
        <f>IF('Terminal offers'!$G9&gt;0,'Terminal offers'!$G9,'Terminal offers'!$G$68)</f>
        <v>2.3276000000000005E-2</v>
      </c>
      <c r="H41" s="288">
        <f>IF('Terminal offers'!$H9&gt;0,'Terminal offers'!$H9,'Terminal offers'!$H$68)</f>
        <v>2.9711000000000001E-2</v>
      </c>
      <c r="I41" s="285">
        <f>'Terminal offers'!$J9</f>
        <v>10</v>
      </c>
      <c r="J41" s="282">
        <f t="shared" si="1"/>
        <v>65</v>
      </c>
      <c r="K41" s="281">
        <f>IF(($C$74+$C$75)&lt;=D41, 0, E41*(($C$74+$C$75)-D41))</f>
        <v>1.0475851806250738</v>
      </c>
      <c r="L41" s="283">
        <f t="shared" si="3"/>
        <v>16.805562708602093</v>
      </c>
      <c r="M41" s="281">
        <f t="shared" si="2"/>
        <v>82.853147889227174</v>
      </c>
      <c r="N41" s="284">
        <f t="shared" si="4"/>
        <v>4275.5927861789396</v>
      </c>
      <c r="O41" s="110">
        <f t="shared" si="5"/>
        <v>1.9378166264349073E-2</v>
      </c>
      <c r="P41" s="110" t="s">
        <v>149</v>
      </c>
    </row>
    <row r="42" spans="2:16" s="13" customFormat="1">
      <c r="B42" s="269" t="str">
        <f>'Terminal offers'!$A10</f>
        <v>Bank SA</v>
      </c>
      <c r="C42" s="262">
        <f>'Terminal offers'!$C10</f>
        <v>85</v>
      </c>
      <c r="D42" s="22">
        <f>'Terminal offers'!$D10</f>
        <v>6000</v>
      </c>
      <c r="E42" s="353">
        <f>'Terminal offers'!$E10</f>
        <v>1.4999999999999999E-2</v>
      </c>
      <c r="F42" s="354"/>
      <c r="G42" s="24">
        <f>IF('Terminal offers'!$G10&gt;0,'Terminal offers'!$G10,'Terminal offers'!$G$68)</f>
        <v>2.3276000000000005E-2</v>
      </c>
      <c r="H42" s="272">
        <f>IF('Terminal offers'!$H10&gt;0,'Terminal offers'!$H10,'Terminal offers'!$H$68)</f>
        <v>2.9711000000000001E-2</v>
      </c>
      <c r="I42" s="26">
        <f>'Terminal offers'!$J10</f>
        <v>10</v>
      </c>
      <c r="J42" s="25">
        <f t="shared" si="1"/>
        <v>95</v>
      </c>
      <c r="K42" s="27">
        <f t="shared" ref="K42:K45" si="10">IF(($C$74+$C$75)&lt;=D42, 0, E42*(($C$74+$C$75)-D42))</f>
        <v>0</v>
      </c>
      <c r="L42" s="32">
        <f t="shared" si="3"/>
        <v>16.805562708602093</v>
      </c>
      <c r="M42" s="27">
        <f t="shared" si="2"/>
        <v>111.8055627086021</v>
      </c>
      <c r="N42" s="263">
        <f t="shared" si="4"/>
        <v>4275.5927861789396</v>
      </c>
      <c r="O42" s="30">
        <f t="shared" si="5"/>
        <v>2.6149721991771235E-2</v>
      </c>
      <c r="P42" s="30" t="s">
        <v>150</v>
      </c>
    </row>
    <row r="43" spans="2:16" s="13" customFormat="1">
      <c r="B43" s="269" t="str">
        <f>'Terminal offers'!$A11</f>
        <v>Bank SA</v>
      </c>
      <c r="C43" s="262">
        <f>'Terminal offers'!$C11</f>
        <v>125</v>
      </c>
      <c r="D43" s="22">
        <f>'Terminal offers'!$D11</f>
        <v>10000</v>
      </c>
      <c r="E43" s="353">
        <f>'Terminal offers'!$E11</f>
        <v>1.4999999999999999E-2</v>
      </c>
      <c r="F43" s="354"/>
      <c r="G43" s="24">
        <f>IF('Terminal offers'!$G11&gt;0,'Terminal offers'!$G11,'Terminal offers'!$G$68)</f>
        <v>2.3276000000000005E-2</v>
      </c>
      <c r="H43" s="272">
        <f>IF('Terminal offers'!$H11&gt;0,'Terminal offers'!$H11,'Terminal offers'!$H$68)</f>
        <v>2.9711000000000001E-2</v>
      </c>
      <c r="I43" s="26">
        <f>'Terminal offers'!$J11</f>
        <v>10</v>
      </c>
      <c r="J43" s="25">
        <f t="shared" si="1"/>
        <v>135</v>
      </c>
      <c r="K43" s="27">
        <f t="shared" si="10"/>
        <v>0</v>
      </c>
      <c r="L43" s="32">
        <f t="shared" si="3"/>
        <v>16.805562708602093</v>
      </c>
      <c r="M43" s="27">
        <f t="shared" si="2"/>
        <v>151.80556270860208</v>
      </c>
      <c r="N43" s="263">
        <f t="shared" si="4"/>
        <v>4275.5927861789396</v>
      </c>
      <c r="O43" s="30">
        <f t="shared" si="5"/>
        <v>3.5505149882215425E-2</v>
      </c>
      <c r="P43" s="30" t="s">
        <v>151</v>
      </c>
    </row>
    <row r="44" spans="2:16" s="13" customFormat="1">
      <c r="B44" s="269" t="str">
        <f>'Terminal offers'!$A12</f>
        <v>Bank SA</v>
      </c>
      <c r="C44" s="262">
        <f>'Terminal offers'!$C12</f>
        <v>175</v>
      </c>
      <c r="D44" s="22">
        <f>'Terminal offers'!$D12</f>
        <v>15000</v>
      </c>
      <c r="E44" s="353">
        <f>'Terminal offers'!$E12</f>
        <v>1.4999999999999999E-2</v>
      </c>
      <c r="F44" s="354"/>
      <c r="G44" s="24">
        <f>IF('Terminal offers'!$G12&gt;0,'Terminal offers'!$G12,'Terminal offers'!$G$68)</f>
        <v>2.3276000000000005E-2</v>
      </c>
      <c r="H44" s="272">
        <f>IF('Terminal offers'!$H12&gt;0,'Terminal offers'!$H12,'Terminal offers'!$H$68)</f>
        <v>2.9711000000000001E-2</v>
      </c>
      <c r="I44" s="26">
        <f>'Terminal offers'!$J12</f>
        <v>10</v>
      </c>
      <c r="J44" s="25">
        <f t="shared" si="1"/>
        <v>185</v>
      </c>
      <c r="K44" s="27">
        <f t="shared" si="10"/>
        <v>0</v>
      </c>
      <c r="L44" s="32">
        <f t="shared" si="3"/>
        <v>16.805562708602093</v>
      </c>
      <c r="M44" s="27">
        <f t="shared" si="2"/>
        <v>201.80556270860208</v>
      </c>
      <c r="N44" s="263">
        <f t="shared" si="4"/>
        <v>4275.5927861789396</v>
      </c>
      <c r="O44" s="30">
        <f t="shared" si="5"/>
        <v>4.7199434745270441E-2</v>
      </c>
      <c r="P44" s="30" t="s">
        <v>152</v>
      </c>
    </row>
    <row r="45" spans="2:16" s="13" customFormat="1">
      <c r="B45" s="270" t="str">
        <f>'Terminal offers'!$A13</f>
        <v>Bank SA</v>
      </c>
      <c r="C45" s="264">
        <f>'Terminal offers'!$C13</f>
        <v>225</v>
      </c>
      <c r="D45" s="255">
        <f>'Terminal offers'!$D13</f>
        <v>20000</v>
      </c>
      <c r="E45" s="367">
        <f>'Terminal offers'!$E13</f>
        <v>1.4999999999999999E-2</v>
      </c>
      <c r="F45" s="368"/>
      <c r="G45" s="256">
        <f>IF('Terminal offers'!$G13&gt;0,'Terminal offers'!$G13,'Terminal offers'!$G$68)</f>
        <v>2.3276000000000005E-2</v>
      </c>
      <c r="H45" s="273">
        <f>IF('Terminal offers'!$H13&gt;0,'Terminal offers'!$H13,'Terminal offers'!$H$68)</f>
        <v>2.9711000000000001E-2</v>
      </c>
      <c r="I45" s="34">
        <f>'Terminal offers'!$J13</f>
        <v>10</v>
      </c>
      <c r="J45" s="257">
        <f t="shared" si="1"/>
        <v>235</v>
      </c>
      <c r="K45" s="35">
        <f t="shared" si="10"/>
        <v>0</v>
      </c>
      <c r="L45" s="259">
        <f t="shared" si="3"/>
        <v>16.805562708602093</v>
      </c>
      <c r="M45" s="35">
        <f t="shared" si="2"/>
        <v>251.80556270860208</v>
      </c>
      <c r="N45" s="265">
        <f t="shared" si="4"/>
        <v>4275.5927861789396</v>
      </c>
      <c r="O45" s="38">
        <f t="shared" si="5"/>
        <v>5.8893719608325679E-2</v>
      </c>
      <c r="P45" s="30" t="s">
        <v>153</v>
      </c>
    </row>
    <row r="46" spans="2:16" s="13" customFormat="1">
      <c r="B46" s="289" t="str">
        <f>'Terminal offers'!$A18</f>
        <v>Bendigo Bank</v>
      </c>
      <c r="C46" s="290">
        <f>'Terminal offers'!C$18</f>
        <v>33</v>
      </c>
      <c r="D46" s="291">
        <f>'Terminal offers'!D$18</f>
        <v>0</v>
      </c>
      <c r="E46" s="292">
        <f>'Terminal offers'!$E$18</f>
        <v>0.27500000000000002</v>
      </c>
      <c r="F46" s="293">
        <f>'Terminal offers'!$F$18</f>
        <v>1.3750000000000002E-2</v>
      </c>
      <c r="G46" s="294">
        <f>IF('Terminal offers'!$G$18&gt;0,'Terminal offers'!$G$18,'Terminal offers'!$G$68)</f>
        <v>2.3276000000000005E-2</v>
      </c>
      <c r="H46" s="301">
        <f>IF('Terminal offers'!$H$18&gt;0,'Terminal offers'!$H$18,'Terminal offers'!$H$68)</f>
        <v>2.9711000000000001E-2</v>
      </c>
      <c r="I46" s="298">
        <f>'Terminal offers'!$J$18</f>
        <v>0</v>
      </c>
      <c r="J46" s="295">
        <f t="shared" si="1"/>
        <v>33</v>
      </c>
      <c r="K46" s="296">
        <f>(C79*E46)+(C75*F46)</f>
        <v>48.355017790899446</v>
      </c>
      <c r="L46" s="297">
        <f t="shared" si="3"/>
        <v>16.805562708602093</v>
      </c>
      <c r="M46" s="298">
        <f t="shared" si="2"/>
        <v>98.160580499501535</v>
      </c>
      <c r="N46" s="299">
        <f t="shared" si="4"/>
        <v>4275.5927861789396</v>
      </c>
      <c r="O46" s="300">
        <f t="shared" si="5"/>
        <v>2.2958355813680553E-2</v>
      </c>
      <c r="P46" s="300" t="s">
        <v>154</v>
      </c>
    </row>
    <row r="47" spans="2:16" s="13" customFormat="1">
      <c r="B47" s="287" t="str">
        <f>'Terminal offers'!$A14</f>
        <v>Bankwest</v>
      </c>
      <c r="C47" s="279">
        <f>'Terminal offers'!$C14</f>
        <v>60</v>
      </c>
      <c r="D47" s="280">
        <f>'Terminal offers'!$D14</f>
        <v>3000</v>
      </c>
      <c r="E47" s="365">
        <f>'Terminal offers'!$E14</f>
        <v>1.4999999999999999E-2</v>
      </c>
      <c r="F47" s="366"/>
      <c r="G47" s="109">
        <f>IF('Terminal offers'!$G14&gt;0,'Terminal offers'!$G14,'Terminal offers'!$G$68)</f>
        <v>2.3276000000000005E-2</v>
      </c>
      <c r="H47" s="109">
        <f>IF('Terminal offers'!$H14&gt;0,'Terminal offers'!$H14,'Terminal offers'!$H$68)</f>
        <v>2.9711000000000001E-2</v>
      </c>
      <c r="I47" s="26">
        <f>'Terminal offers'!$J14</f>
        <v>0</v>
      </c>
      <c r="J47" s="282">
        <f t="shared" si="1"/>
        <v>60</v>
      </c>
      <c r="K47" s="281">
        <f>IF(($C$74+$C$75)&lt;=D47, 0, E47*(($C$74+$C$75)-D47))</f>
        <v>8.5475851806250738</v>
      </c>
      <c r="L47" s="283">
        <f t="shared" si="3"/>
        <v>16.805562708602093</v>
      </c>
      <c r="M47" s="281">
        <f t="shared" si="2"/>
        <v>85.353147889227174</v>
      </c>
      <c r="N47" s="284">
        <f t="shared" si="4"/>
        <v>4275.5927861789396</v>
      </c>
      <c r="O47" s="110">
        <f t="shared" si="5"/>
        <v>1.9962880507501835E-2</v>
      </c>
      <c r="P47" s="110" t="s">
        <v>155</v>
      </c>
    </row>
    <row r="48" spans="2:16" s="13" customFormat="1">
      <c r="B48" s="269" t="str">
        <f>'Terminal offers'!$A15</f>
        <v>Bankwest</v>
      </c>
      <c r="C48" s="262">
        <f>'Terminal offers'!$C15</f>
        <v>90</v>
      </c>
      <c r="D48" s="22">
        <f>'Terminal offers'!$D15</f>
        <v>6000</v>
      </c>
      <c r="E48" s="353">
        <f>'Terminal offers'!$E15</f>
        <v>1.4999999999999999E-2</v>
      </c>
      <c r="F48" s="354"/>
      <c r="G48" s="24">
        <f>IF('Terminal offers'!$G15&gt;0,'Terminal offers'!$G15,'Terminal offers'!$G$68)</f>
        <v>2.3276000000000005E-2</v>
      </c>
      <c r="H48" s="24">
        <f>IF('Terminal offers'!$H15&gt;0,'Terminal offers'!$H15,'Terminal offers'!$H$68)</f>
        <v>2.9711000000000001E-2</v>
      </c>
      <c r="I48" s="26">
        <f>'Terminal offers'!$J15</f>
        <v>0</v>
      </c>
      <c r="J48" s="25">
        <f t="shared" si="1"/>
        <v>90</v>
      </c>
      <c r="K48" s="27">
        <f t="shared" ref="K48:K50" si="11">IF(($C$74+$C$75)&lt;=D48, 0, E48*(($C$74+$C$75)-D48))</f>
        <v>0</v>
      </c>
      <c r="L48" s="32">
        <f t="shared" si="3"/>
        <v>16.805562708602093</v>
      </c>
      <c r="M48" s="27">
        <f t="shared" si="2"/>
        <v>106.8055627086021</v>
      </c>
      <c r="N48" s="263">
        <f t="shared" si="4"/>
        <v>4275.5927861789396</v>
      </c>
      <c r="O48" s="30">
        <f t="shared" si="5"/>
        <v>2.4980293505465934E-2</v>
      </c>
      <c r="P48" s="30" t="s">
        <v>156</v>
      </c>
    </row>
    <row r="49" spans="2:16" s="13" customFormat="1">
      <c r="B49" s="269" t="str">
        <f>'Terminal offers'!$A16</f>
        <v>Bankwest</v>
      </c>
      <c r="C49" s="262">
        <f>'Terminal offers'!$C16</f>
        <v>120</v>
      </c>
      <c r="D49" s="22">
        <f>'Terminal offers'!$D16</f>
        <v>9000</v>
      </c>
      <c r="E49" s="353">
        <f>'Terminal offers'!$E16</f>
        <v>1.4999999999999999E-2</v>
      </c>
      <c r="F49" s="354"/>
      <c r="G49" s="24">
        <f>IF('Terminal offers'!$G16&gt;0,'Terminal offers'!$G16,'Terminal offers'!$G$68)</f>
        <v>2.3276000000000005E-2</v>
      </c>
      <c r="H49" s="24">
        <f>IF('Terminal offers'!$H16&gt;0,'Terminal offers'!$H16,'Terminal offers'!$H$68)</f>
        <v>2.9711000000000001E-2</v>
      </c>
      <c r="I49" s="26">
        <f>'Terminal offers'!$J16</f>
        <v>0</v>
      </c>
      <c r="J49" s="25">
        <f t="shared" si="1"/>
        <v>120</v>
      </c>
      <c r="K49" s="27">
        <f t="shared" si="11"/>
        <v>0</v>
      </c>
      <c r="L49" s="32">
        <f t="shared" si="3"/>
        <v>16.805562708602093</v>
      </c>
      <c r="M49" s="27">
        <f t="shared" si="2"/>
        <v>136.80556270860208</v>
      </c>
      <c r="N49" s="263">
        <f t="shared" si="4"/>
        <v>4275.5927861789396</v>
      </c>
      <c r="O49" s="30">
        <f t="shared" si="5"/>
        <v>3.1996864423298854E-2</v>
      </c>
      <c r="P49" s="30" t="s">
        <v>157</v>
      </c>
    </row>
    <row r="50" spans="2:16" s="13" customFormat="1">
      <c r="B50" s="270" t="str">
        <f>'Terminal offers'!$A17</f>
        <v>Bankwest</v>
      </c>
      <c r="C50" s="264">
        <f>'Terminal offers'!$C17</f>
        <v>150</v>
      </c>
      <c r="D50" s="255">
        <f>'Terminal offers'!$D17</f>
        <v>12000</v>
      </c>
      <c r="E50" s="367">
        <f>'Terminal offers'!$E17</f>
        <v>1.4999999999999999E-2</v>
      </c>
      <c r="F50" s="368"/>
      <c r="G50" s="256">
        <f>IF('Terminal offers'!$G17&gt;0,'Terminal offers'!$G17,'Terminal offers'!$G$68)</f>
        <v>2.3276000000000005E-2</v>
      </c>
      <c r="H50" s="256">
        <f>IF('Terminal offers'!$H17&gt;0,'Terminal offers'!$H17,'Terminal offers'!$H$68)</f>
        <v>2.9711000000000001E-2</v>
      </c>
      <c r="I50" s="34">
        <f>'Terminal offers'!$J17</f>
        <v>0</v>
      </c>
      <c r="J50" s="257">
        <f t="shared" si="1"/>
        <v>150</v>
      </c>
      <c r="K50" s="35">
        <f t="shared" si="11"/>
        <v>0</v>
      </c>
      <c r="L50" s="259">
        <f t="shared" si="3"/>
        <v>16.805562708602093</v>
      </c>
      <c r="M50" s="35">
        <f t="shared" si="2"/>
        <v>166.80556270860208</v>
      </c>
      <c r="N50" s="265">
        <f t="shared" si="4"/>
        <v>4275.5927861789396</v>
      </c>
      <c r="O50" s="38">
        <f t="shared" si="5"/>
        <v>3.9013435341131997E-2</v>
      </c>
      <c r="P50" s="38" t="s">
        <v>158</v>
      </c>
    </row>
    <row r="51" spans="2:16" s="13" customFormat="1">
      <c r="B51" s="278" t="str">
        <f>'Terminal offers'!$A28</f>
        <v>Hume Bank</v>
      </c>
      <c r="C51" s="279">
        <f>'Terminal offers'!$C28</f>
        <v>40</v>
      </c>
      <c r="D51" s="280">
        <f>'Terminal offers'!$D28</f>
        <v>1500</v>
      </c>
      <c r="E51" s="365">
        <f>'Terminal offers'!$E28</f>
        <v>1.4999999999999999E-2</v>
      </c>
      <c r="F51" s="366"/>
      <c r="G51" s="109">
        <f>IF('Terminal offers'!$G28&gt;0,'Terminal offers'!$G28,'Terminal offers'!$G$68)</f>
        <v>2.3276000000000005E-2</v>
      </c>
      <c r="H51" s="109">
        <f>IF('Terminal offers'!$H28&gt;0,'Terminal offers'!$H28,'Terminal offers'!$H$68)</f>
        <v>2.9711000000000001E-2</v>
      </c>
      <c r="I51" s="285">
        <f>'Terminal offers'!$J28</f>
        <v>0</v>
      </c>
      <c r="J51" s="282">
        <f t="shared" si="1"/>
        <v>40</v>
      </c>
      <c r="K51" s="285">
        <f>IF(($C$74+$C$75)&lt;=D51, 0, E51*(($C$74+$C$75)-D51))</f>
        <v>31.047585180625074</v>
      </c>
      <c r="L51" s="283">
        <f t="shared" si="3"/>
        <v>16.805562708602093</v>
      </c>
      <c r="M51" s="281">
        <f t="shared" si="2"/>
        <v>87.853147889227174</v>
      </c>
      <c r="N51" s="284">
        <f t="shared" si="4"/>
        <v>4275.5927861789396</v>
      </c>
      <c r="O51" s="110">
        <f t="shared" si="5"/>
        <v>2.0547594750654596E-2</v>
      </c>
      <c r="P51" s="110" t="s">
        <v>159</v>
      </c>
    </row>
    <row r="52" spans="2:16" s="13" customFormat="1">
      <c r="B52" s="267" t="str">
        <f>'Terminal offers'!$A29</f>
        <v>Hume Bank</v>
      </c>
      <c r="C52" s="262">
        <f>'Terminal offers'!$C29</f>
        <v>100</v>
      </c>
      <c r="D52" s="22">
        <f>'Terminal offers'!$D29</f>
        <v>6000</v>
      </c>
      <c r="E52" s="353">
        <f>'Terminal offers'!$E29</f>
        <v>1.4999999999999999E-2</v>
      </c>
      <c r="F52" s="354"/>
      <c r="G52" s="24">
        <f>IF('Terminal offers'!$G29&gt;0,'Terminal offers'!$G29,'Terminal offers'!$G$68)</f>
        <v>2.3276000000000005E-2</v>
      </c>
      <c r="H52" s="24">
        <f>IF('Terminal offers'!$H29&gt;0,'Terminal offers'!$H29,'Terminal offers'!$H$68)</f>
        <v>2.9711000000000001E-2</v>
      </c>
      <c r="I52" s="26">
        <f>'Terminal offers'!$J29</f>
        <v>0</v>
      </c>
      <c r="J52" s="25">
        <f t="shared" si="1"/>
        <v>100</v>
      </c>
      <c r="K52" s="26">
        <f t="shared" ref="K52:K55" si="12">IF(($C$74+$C$75)&lt;=D52, 0, E52*(($C$74+$C$75)-D52))</f>
        <v>0</v>
      </c>
      <c r="L52" s="32">
        <f t="shared" si="3"/>
        <v>16.805562708602093</v>
      </c>
      <c r="M52" s="27">
        <f t="shared" si="2"/>
        <v>116.8055627086021</v>
      </c>
      <c r="N52" s="263">
        <f t="shared" si="4"/>
        <v>4275.5927861789396</v>
      </c>
      <c r="O52" s="30">
        <f t="shared" si="5"/>
        <v>2.7319150478076759E-2</v>
      </c>
      <c r="P52" s="30" t="s">
        <v>160</v>
      </c>
    </row>
    <row r="53" spans="2:16" s="13" customFormat="1">
      <c r="B53" s="267" t="str">
        <f>'Terminal offers'!$A30</f>
        <v>Hume Bank</v>
      </c>
      <c r="C53" s="262">
        <f>'Terminal offers'!$C30</f>
        <v>190</v>
      </c>
      <c r="D53" s="22">
        <f>'Terminal offers'!$D30</f>
        <v>15000</v>
      </c>
      <c r="E53" s="353">
        <f>'Terminal offers'!$E30</f>
        <v>1.2E-2</v>
      </c>
      <c r="F53" s="354"/>
      <c r="G53" s="24">
        <f>IF('Terminal offers'!$G30&gt;0,'Terminal offers'!$G30,'Terminal offers'!$G$68)</f>
        <v>2.3276000000000005E-2</v>
      </c>
      <c r="H53" s="24">
        <f>IF('Terminal offers'!$H30&gt;0,'Terminal offers'!$H30,'Terminal offers'!$H$68)</f>
        <v>2.9711000000000001E-2</v>
      </c>
      <c r="I53" s="26">
        <f>'Terminal offers'!$J30</f>
        <v>0</v>
      </c>
      <c r="J53" s="25">
        <f t="shared" si="1"/>
        <v>190</v>
      </c>
      <c r="K53" s="26">
        <f t="shared" si="12"/>
        <v>0</v>
      </c>
      <c r="L53" s="32">
        <f t="shared" si="3"/>
        <v>16.805562708602093</v>
      </c>
      <c r="M53" s="27">
        <f t="shared" si="2"/>
        <v>206.80556270860208</v>
      </c>
      <c r="N53" s="263">
        <f t="shared" si="4"/>
        <v>4275.5927861789396</v>
      </c>
      <c r="O53" s="30">
        <f t="shared" si="5"/>
        <v>4.8368863231575965E-2</v>
      </c>
      <c r="P53" s="30" t="s">
        <v>162</v>
      </c>
    </row>
    <row r="54" spans="2:16" s="13" customFormat="1">
      <c r="B54" s="267" t="str">
        <f>'Terminal offers'!$A31</f>
        <v>Hume Bank</v>
      </c>
      <c r="C54" s="262">
        <f>'Terminal offers'!$C31</f>
        <v>240</v>
      </c>
      <c r="D54" s="22">
        <f>'Terminal offers'!$D31</f>
        <v>20000</v>
      </c>
      <c r="E54" s="353">
        <f>'Terminal offers'!$E31</f>
        <v>1.15E-2</v>
      </c>
      <c r="F54" s="354"/>
      <c r="G54" s="24">
        <f>IF('Terminal offers'!$G31&gt;0,'Terminal offers'!$G31,'Terminal offers'!$G$68)</f>
        <v>2.3276000000000005E-2</v>
      </c>
      <c r="H54" s="24">
        <f>IF('Terminal offers'!$H31&gt;0,'Terminal offers'!$H31,'Terminal offers'!$H$68)</f>
        <v>2.9711000000000001E-2</v>
      </c>
      <c r="I54" s="26">
        <f>'Terminal offers'!$J31</f>
        <v>0</v>
      </c>
      <c r="J54" s="25">
        <f t="shared" si="1"/>
        <v>240</v>
      </c>
      <c r="K54" s="26">
        <f t="shared" si="12"/>
        <v>0</v>
      </c>
      <c r="L54" s="32">
        <f t="shared" si="3"/>
        <v>16.805562708602093</v>
      </c>
      <c r="M54" s="27">
        <f t="shared" si="2"/>
        <v>256.80556270860211</v>
      </c>
      <c r="N54" s="263">
        <f t="shared" si="4"/>
        <v>4275.5927861789396</v>
      </c>
      <c r="O54" s="30">
        <f t="shared" si="5"/>
        <v>6.0063148094631202E-2</v>
      </c>
      <c r="P54" s="30" t="s">
        <v>161</v>
      </c>
    </row>
    <row r="55" spans="2:16" s="13" customFormat="1">
      <c r="B55" s="268" t="str">
        <f>'Terminal offers'!$A32</f>
        <v>Hume Bank</v>
      </c>
      <c r="C55" s="264">
        <f>'Terminal offers'!$C32</f>
        <v>310</v>
      </c>
      <c r="D55" s="255">
        <f>'Terminal offers'!$D32</f>
        <v>30000</v>
      </c>
      <c r="E55" s="367">
        <f>'Terminal offers'!$E32</f>
        <v>0.01</v>
      </c>
      <c r="F55" s="368"/>
      <c r="G55" s="256">
        <f>IF('Terminal offers'!$G32&gt;0,'Terminal offers'!$G32,'Terminal offers'!$G$68)</f>
        <v>2.3276000000000005E-2</v>
      </c>
      <c r="H55" s="256">
        <f>IF('Terminal offers'!$H32&gt;0,'Terminal offers'!$H32,'Terminal offers'!$H$68)</f>
        <v>2.9711000000000001E-2</v>
      </c>
      <c r="I55" s="34">
        <f>'Terminal offers'!$J32</f>
        <v>0</v>
      </c>
      <c r="J55" s="257">
        <f t="shared" si="1"/>
        <v>310</v>
      </c>
      <c r="K55" s="34">
        <f t="shared" si="12"/>
        <v>0</v>
      </c>
      <c r="L55" s="259">
        <f t="shared" si="3"/>
        <v>16.805562708602093</v>
      </c>
      <c r="M55" s="35">
        <f t="shared" si="2"/>
        <v>326.80556270860211</v>
      </c>
      <c r="N55" s="265">
        <f t="shared" si="4"/>
        <v>4275.5927861789396</v>
      </c>
      <c r="O55" s="38">
        <f t="shared" si="5"/>
        <v>7.6435146902908313E-2</v>
      </c>
      <c r="P55" s="38" t="s">
        <v>163</v>
      </c>
    </row>
    <row r="56" spans="2:16" s="13" customFormat="1">
      <c r="B56" s="287" t="str">
        <f>'Terminal offers'!$A45</f>
        <v>St George</v>
      </c>
      <c r="C56" s="279">
        <f>'Terminal offers'!$C45</f>
        <v>55</v>
      </c>
      <c r="D56" s="280">
        <f>'Terminal offers'!$D45</f>
        <v>3500</v>
      </c>
      <c r="E56" s="365">
        <f>'Terminal offers'!$E45</f>
        <v>1.4999999999999999E-2</v>
      </c>
      <c r="F56" s="366"/>
      <c r="G56" s="109">
        <f>IF('Terminal offers'!$G45&gt;0,'Terminal offers'!$G45,'Terminal offers'!$G$68)</f>
        <v>2.3276000000000005E-2</v>
      </c>
      <c r="H56" s="109">
        <f>IF('Terminal offers'!$H45&gt;0,'Terminal offers'!$H45,'Terminal offers'!$H$68)</f>
        <v>2.9711000000000001E-2</v>
      </c>
      <c r="I56" s="285">
        <f>'Terminal offers'!$J45</f>
        <v>10</v>
      </c>
      <c r="J56" s="282">
        <f t="shared" si="1"/>
        <v>65</v>
      </c>
      <c r="K56" s="281">
        <f>IF(($C$74+$C$75)&lt;=D56, 0, E56*(($C$74+$C$75)-D56))</f>
        <v>1.0475851806250738</v>
      </c>
      <c r="L56" s="283">
        <f t="shared" si="3"/>
        <v>16.805562708602093</v>
      </c>
      <c r="M56" s="281">
        <f t="shared" si="2"/>
        <v>82.853147889227174</v>
      </c>
      <c r="N56" s="284">
        <f t="shared" si="4"/>
        <v>4275.5927861789396</v>
      </c>
      <c r="O56" s="110">
        <f t="shared" si="5"/>
        <v>1.9378166264349073E-2</v>
      </c>
      <c r="P56" s="110" t="s">
        <v>164</v>
      </c>
    </row>
    <row r="57" spans="2:16" s="13" customFormat="1">
      <c r="B57" s="269" t="str">
        <f>'Terminal offers'!$A46</f>
        <v>St George</v>
      </c>
      <c r="C57" s="262">
        <f>'Terminal offers'!$C46</f>
        <v>85</v>
      </c>
      <c r="D57" s="22">
        <f>'Terminal offers'!$D46</f>
        <v>6000</v>
      </c>
      <c r="E57" s="353">
        <f>'Terminal offers'!$E46</f>
        <v>1.4999999999999999E-2</v>
      </c>
      <c r="F57" s="354"/>
      <c r="G57" s="24">
        <f>IF('Terminal offers'!$G46&gt;0,'Terminal offers'!$G46,'Terminal offers'!$G$68)</f>
        <v>2.3276000000000005E-2</v>
      </c>
      <c r="H57" s="24">
        <f>IF('Terminal offers'!$H46&gt;0,'Terminal offers'!$H46,'Terminal offers'!$H$68)</f>
        <v>2.9711000000000001E-2</v>
      </c>
      <c r="I57" s="26">
        <f>'Terminal offers'!$J46</f>
        <v>10</v>
      </c>
      <c r="J57" s="25">
        <f t="shared" si="1"/>
        <v>95</v>
      </c>
      <c r="K57" s="27">
        <f t="shared" ref="K57:K60" si="13">IF(($C$74+$C$75)&lt;=D57, 0, E57*(($C$74+$C$75)-D57))</f>
        <v>0</v>
      </c>
      <c r="L57" s="32">
        <f t="shared" si="3"/>
        <v>16.805562708602093</v>
      </c>
      <c r="M57" s="27">
        <f t="shared" si="2"/>
        <v>111.8055627086021</v>
      </c>
      <c r="N57" s="263">
        <f t="shared" si="4"/>
        <v>4275.5927861789396</v>
      </c>
      <c r="O57" s="30">
        <f t="shared" si="5"/>
        <v>2.6149721991771235E-2</v>
      </c>
      <c r="P57" s="30" t="s">
        <v>165</v>
      </c>
    </row>
    <row r="58" spans="2:16" s="13" customFormat="1">
      <c r="B58" s="269" t="str">
        <f>'Terminal offers'!$A47</f>
        <v>St George</v>
      </c>
      <c r="C58" s="262">
        <f>'Terminal offers'!$C47</f>
        <v>125</v>
      </c>
      <c r="D58" s="22">
        <f>'Terminal offers'!$D47</f>
        <v>10000</v>
      </c>
      <c r="E58" s="353">
        <f>'Terminal offers'!$E47</f>
        <v>1.4999999999999999E-2</v>
      </c>
      <c r="F58" s="354"/>
      <c r="G58" s="24">
        <f>IF('Terminal offers'!$G47&gt;0,'Terminal offers'!$G47,'Terminal offers'!$G$68)</f>
        <v>2.3276000000000005E-2</v>
      </c>
      <c r="H58" s="24">
        <f>IF('Terminal offers'!$H47&gt;0,'Terminal offers'!$H47,'Terminal offers'!$H$68)</f>
        <v>2.9711000000000001E-2</v>
      </c>
      <c r="I58" s="26">
        <f>'Terminal offers'!$J47</f>
        <v>10</v>
      </c>
      <c r="J58" s="25">
        <f t="shared" si="1"/>
        <v>135</v>
      </c>
      <c r="K58" s="27">
        <f t="shared" si="13"/>
        <v>0</v>
      </c>
      <c r="L58" s="32">
        <f t="shared" si="3"/>
        <v>16.805562708602093</v>
      </c>
      <c r="M58" s="27">
        <f t="shared" si="2"/>
        <v>151.80556270860208</v>
      </c>
      <c r="N58" s="263">
        <f t="shared" si="4"/>
        <v>4275.5927861789396</v>
      </c>
      <c r="O58" s="30">
        <f t="shared" si="5"/>
        <v>3.5505149882215425E-2</v>
      </c>
      <c r="P58" s="30" t="s">
        <v>166</v>
      </c>
    </row>
    <row r="59" spans="2:16" s="13" customFormat="1">
      <c r="B59" s="269" t="str">
        <f>'Terminal offers'!$A48</f>
        <v>St George</v>
      </c>
      <c r="C59" s="262">
        <f>'Terminal offers'!$C48</f>
        <v>175</v>
      </c>
      <c r="D59" s="22">
        <f>'Terminal offers'!$D48</f>
        <v>15000</v>
      </c>
      <c r="E59" s="353">
        <f>'Terminal offers'!$E48</f>
        <v>1.4999999999999999E-2</v>
      </c>
      <c r="F59" s="354"/>
      <c r="G59" s="24">
        <f>IF('Terminal offers'!$G48&gt;0,'Terminal offers'!$G48,'Terminal offers'!$G$68)</f>
        <v>2.3276000000000005E-2</v>
      </c>
      <c r="H59" s="24">
        <f>IF('Terminal offers'!$H48&gt;0,'Terminal offers'!$H48,'Terminal offers'!$H$68)</f>
        <v>2.9711000000000001E-2</v>
      </c>
      <c r="I59" s="26">
        <f>'Terminal offers'!$J48</f>
        <v>10</v>
      </c>
      <c r="J59" s="25">
        <f t="shared" si="1"/>
        <v>185</v>
      </c>
      <c r="K59" s="27">
        <f t="shared" si="13"/>
        <v>0</v>
      </c>
      <c r="L59" s="32">
        <f t="shared" si="3"/>
        <v>16.805562708602093</v>
      </c>
      <c r="M59" s="27">
        <f t="shared" si="2"/>
        <v>201.80556270860208</v>
      </c>
      <c r="N59" s="263">
        <f t="shared" si="4"/>
        <v>4275.5927861789396</v>
      </c>
      <c r="O59" s="30">
        <f t="shared" si="5"/>
        <v>4.7199434745270441E-2</v>
      </c>
      <c r="P59" s="30" t="s">
        <v>167</v>
      </c>
    </row>
    <row r="60" spans="2:16" s="13" customFormat="1">
      <c r="B60" s="270" t="str">
        <f>'Terminal offers'!$A49</f>
        <v>St George</v>
      </c>
      <c r="C60" s="264">
        <f>'Terminal offers'!$C49</f>
        <v>225</v>
      </c>
      <c r="D60" s="255">
        <f>'Terminal offers'!$D49</f>
        <v>20000</v>
      </c>
      <c r="E60" s="367">
        <f>'Terminal offers'!$E49</f>
        <v>1.4999999999999999E-2</v>
      </c>
      <c r="F60" s="368"/>
      <c r="G60" s="256">
        <f>IF('Terminal offers'!$G49&gt;0,'Terminal offers'!$G49,'Terminal offers'!$G$68)</f>
        <v>2.3276000000000005E-2</v>
      </c>
      <c r="H60" s="256">
        <f>IF('Terminal offers'!$H49&gt;0,'Terminal offers'!$H49,'Terminal offers'!$H$68)</f>
        <v>2.9711000000000001E-2</v>
      </c>
      <c r="I60" s="34">
        <f>'Terminal offers'!$J49</f>
        <v>10</v>
      </c>
      <c r="J60" s="257">
        <f t="shared" si="1"/>
        <v>235</v>
      </c>
      <c r="K60" s="35">
        <f t="shared" si="13"/>
        <v>0</v>
      </c>
      <c r="L60" s="259">
        <f t="shared" si="3"/>
        <v>16.805562708602093</v>
      </c>
      <c r="M60" s="35">
        <f t="shared" si="2"/>
        <v>251.80556270860208</v>
      </c>
      <c r="N60" s="265">
        <f t="shared" si="4"/>
        <v>4275.5927861789396</v>
      </c>
      <c r="O60" s="38">
        <f t="shared" si="5"/>
        <v>5.8893719608325679E-2</v>
      </c>
      <c r="P60" s="38" t="s">
        <v>168</v>
      </c>
    </row>
    <row r="61" spans="2:16" s="13" customFormat="1">
      <c r="B61" s="289" t="str">
        <f>'Terminal offers'!$A33</f>
        <v>Live eftpos</v>
      </c>
      <c r="C61" s="290">
        <f>'Terminal offers'!$C$33</f>
        <v>28.996000000000002</v>
      </c>
      <c r="D61" s="291">
        <f>'Terminal offers'!$D$33</f>
        <v>0</v>
      </c>
      <c r="E61" s="292">
        <f>'Terminal offers'!$E$33</f>
        <v>0.35200000000000004</v>
      </c>
      <c r="F61" s="293">
        <f>'Terminal offers'!$F$33</f>
        <v>1.7600000000000001E-2</v>
      </c>
      <c r="G61" s="294">
        <f>IF('Terminal offers'!$G$33&gt;0,'Terminal offers'!$G$33,'Terminal offers'!$G$68)</f>
        <v>1.7600000000000001E-2</v>
      </c>
      <c r="H61" s="294">
        <f>IF('Terminal offers'!$H$33&gt;0,'Terminal offers'!$H$33,'Terminal offers'!$H$68)</f>
        <v>1.7600000000000001E-2</v>
      </c>
      <c r="I61" s="296">
        <f>'Terminal offers'!$J$33</f>
        <v>0</v>
      </c>
      <c r="J61" s="295">
        <f t="shared" si="1"/>
        <v>28.996000000000002</v>
      </c>
      <c r="K61" s="296">
        <f>($C$79*E61)+($C$75*F61)</f>
        <v>61.894422772351277</v>
      </c>
      <c r="L61" s="297">
        <f t="shared" si="3"/>
        <v>12.421266424815904</v>
      </c>
      <c r="M61" s="298">
        <f t="shared" si="2"/>
        <v>103.3116891971672</v>
      </c>
      <c r="N61" s="299">
        <f t="shared" si="4"/>
        <v>4275.5927861789396</v>
      </c>
      <c r="O61" s="300">
        <f t="shared" si="5"/>
        <v>2.4163126463101703E-2</v>
      </c>
      <c r="P61" s="300" t="s">
        <v>169</v>
      </c>
    </row>
    <row r="62" spans="2:16" s="13" customFormat="1">
      <c r="B62" s="289" t="str">
        <f>'Terminal offers'!$A50</f>
        <v>Tyro</v>
      </c>
      <c r="C62" s="290">
        <f>'Terminal offers'!$C$50</f>
        <v>42.900000000000006</v>
      </c>
      <c r="D62" s="291">
        <f>'Terminal offers'!$D$50</f>
        <v>0</v>
      </c>
      <c r="E62" s="369">
        <f>'Terminal offers'!$E$50</f>
        <v>1.2100000000000001E-2</v>
      </c>
      <c r="F62" s="370"/>
      <c r="G62" s="294">
        <f>IF('Terminal offers'!$G$50&gt;0,'Terminal offers'!$G$50,'Terminal offers'!$G$68)</f>
        <v>2.3276000000000005E-2</v>
      </c>
      <c r="H62" s="294">
        <f>IF('Terminal offers'!$H$50&gt;0,'Terminal offers'!$H$50,'Terminal offers'!$H$68)</f>
        <v>2.9711000000000001E-2</v>
      </c>
      <c r="I62" s="285">
        <f>'Terminal offers'!$J$50</f>
        <v>0</v>
      </c>
      <c r="J62" s="295">
        <f t="shared" si="1"/>
        <v>42.900000000000006</v>
      </c>
      <c r="K62" s="296">
        <f>E62*(C74+C75)</f>
        <v>43.19505204570423</v>
      </c>
      <c r="L62" s="297">
        <f t="shared" si="3"/>
        <v>16.805562708602093</v>
      </c>
      <c r="M62" s="298">
        <f t="shared" si="2"/>
        <v>102.90061475430633</v>
      </c>
      <c r="N62" s="299">
        <f t="shared" si="4"/>
        <v>4275.5927861789396</v>
      </c>
      <c r="O62" s="300">
        <f t="shared" si="5"/>
        <v>2.4066982030406914E-2</v>
      </c>
      <c r="P62" s="300" t="s">
        <v>170</v>
      </c>
    </row>
    <row r="63" spans="2:16" s="13" customFormat="1">
      <c r="B63" s="287" t="str">
        <f>'Terminal offers'!$A23</f>
        <v>First Data</v>
      </c>
      <c r="C63" s="279">
        <f>'Terminal offers'!$C23</f>
        <v>45</v>
      </c>
      <c r="D63" s="280">
        <f>'Terminal offers'!$D23</f>
        <v>2500</v>
      </c>
      <c r="E63" s="365">
        <f>'Terminal offers'!$E23</f>
        <v>1.7500000000000002E-2</v>
      </c>
      <c r="F63" s="366"/>
      <c r="G63" s="109">
        <f>IF('Terminal offers'!$G23&gt;0,'Terminal offers'!$G23,'Terminal offers'!$G$68)</f>
        <v>2.3276000000000005E-2</v>
      </c>
      <c r="H63" s="288">
        <f>IF('Terminal offers'!$H23&gt;0,'Terminal offers'!$H23,'Terminal offers'!$H$68)</f>
        <v>2.9711000000000001E-2</v>
      </c>
      <c r="I63" s="285">
        <f>'Terminal offers'!$J23</f>
        <v>0</v>
      </c>
      <c r="J63" s="282">
        <f t="shared" si="1"/>
        <v>45</v>
      </c>
      <c r="K63" s="281">
        <f>IF(($C$74+$C$75)&lt;=D63, 0, E63*(($C$74+$C$75)-D63))</f>
        <v>18.722182710729253</v>
      </c>
      <c r="L63" s="283">
        <f t="shared" si="3"/>
        <v>16.805562708602093</v>
      </c>
      <c r="M63" s="281">
        <f t="shared" si="2"/>
        <v>80.527745419331353</v>
      </c>
      <c r="N63" s="284">
        <f t="shared" si="4"/>
        <v>4275.5927861789396</v>
      </c>
      <c r="O63" s="110">
        <f t="shared" si="5"/>
        <v>1.8834287886264844E-2</v>
      </c>
      <c r="P63" s="110" t="s">
        <v>171</v>
      </c>
    </row>
    <row r="64" spans="2:16" s="13" customFormat="1">
      <c r="B64" s="269" t="str">
        <f>'Terminal offers'!$A24</f>
        <v>First Data</v>
      </c>
      <c r="C64" s="262">
        <f>'Terminal offers'!$C24</f>
        <v>65</v>
      </c>
      <c r="D64" s="22">
        <f>'Terminal offers'!$D24</f>
        <v>4500</v>
      </c>
      <c r="E64" s="353">
        <f>'Terminal offers'!$E24</f>
        <v>1.7500000000000002E-2</v>
      </c>
      <c r="F64" s="354"/>
      <c r="G64" s="24">
        <f>IF('Terminal offers'!$G24&gt;0,'Terminal offers'!$G24,'Terminal offers'!$G$68)</f>
        <v>2.3276000000000005E-2</v>
      </c>
      <c r="H64" s="272">
        <f>IF('Terminal offers'!$H24&gt;0,'Terminal offers'!$H24,'Terminal offers'!$H$68)</f>
        <v>2.9711000000000001E-2</v>
      </c>
      <c r="I64" s="26">
        <f>'Terminal offers'!$J24</f>
        <v>0</v>
      </c>
      <c r="J64" s="25">
        <f t="shared" si="1"/>
        <v>65</v>
      </c>
      <c r="K64" s="27">
        <f t="shared" ref="K64:K67" si="14">IF(($C$74+$C$75)&lt;=D64, 0, E64*(($C$74+$C$75)-D64))</f>
        <v>0</v>
      </c>
      <c r="L64" s="32">
        <f t="shared" si="3"/>
        <v>16.805562708602093</v>
      </c>
      <c r="M64" s="27">
        <f t="shared" si="2"/>
        <v>81.805562708602096</v>
      </c>
      <c r="N64" s="263">
        <f t="shared" si="4"/>
        <v>4275.5927861789396</v>
      </c>
      <c r="O64" s="30">
        <f t="shared" si="5"/>
        <v>1.9133151073938315E-2</v>
      </c>
      <c r="P64" s="30" t="s">
        <v>172</v>
      </c>
    </row>
    <row r="65" spans="2:17" s="13" customFormat="1">
      <c r="B65" s="269" t="str">
        <f>'Terminal offers'!$A25</f>
        <v>First Data</v>
      </c>
      <c r="C65" s="262">
        <f>'Terminal offers'!$C25</f>
        <v>95</v>
      </c>
      <c r="D65" s="22">
        <f>'Terminal offers'!$D25</f>
        <v>8000</v>
      </c>
      <c r="E65" s="353">
        <f>'Terminal offers'!$E25</f>
        <v>1.7500000000000002E-2</v>
      </c>
      <c r="F65" s="354"/>
      <c r="G65" s="24">
        <f>IF('Terminal offers'!$G25&gt;0,'Terminal offers'!$G25,'Terminal offers'!$G$68)</f>
        <v>2.3276000000000005E-2</v>
      </c>
      <c r="H65" s="272">
        <f>IF('Terminal offers'!$H25&gt;0,'Terminal offers'!$H25,'Terminal offers'!$H$68)</f>
        <v>2.9711000000000001E-2</v>
      </c>
      <c r="I65" s="26">
        <f>'Terminal offers'!$J25</f>
        <v>0</v>
      </c>
      <c r="J65" s="25">
        <f t="shared" si="1"/>
        <v>95</v>
      </c>
      <c r="K65" s="27">
        <f t="shared" si="14"/>
        <v>0</v>
      </c>
      <c r="L65" s="32">
        <f t="shared" si="3"/>
        <v>16.805562708602093</v>
      </c>
      <c r="M65" s="27">
        <f t="shared" si="2"/>
        <v>111.8055627086021</v>
      </c>
      <c r="N65" s="263">
        <f t="shared" si="4"/>
        <v>4275.5927861789396</v>
      </c>
      <c r="O65" s="30">
        <f t="shared" si="5"/>
        <v>2.6149721991771235E-2</v>
      </c>
      <c r="P65" s="30" t="s">
        <v>173</v>
      </c>
    </row>
    <row r="66" spans="2:17" s="13" customFormat="1">
      <c r="B66" s="269" t="str">
        <f>'Terminal offers'!$A26</f>
        <v>First Data</v>
      </c>
      <c r="C66" s="262">
        <f>'Terminal offers'!$C26</f>
        <v>125</v>
      </c>
      <c r="D66" s="22">
        <f>'Terminal offers'!$D26</f>
        <v>10500</v>
      </c>
      <c r="E66" s="353">
        <f>'Terminal offers'!$E26</f>
        <v>1.7500000000000002E-2</v>
      </c>
      <c r="F66" s="354"/>
      <c r="G66" s="24">
        <f>IF('Terminal offers'!$G26&gt;0,'Terminal offers'!$G26,'Terminal offers'!$G$68)</f>
        <v>2.3276000000000005E-2</v>
      </c>
      <c r="H66" s="272">
        <f>IF('Terminal offers'!$H26&gt;0,'Terminal offers'!$H26,'Terminal offers'!$H$68)</f>
        <v>2.9711000000000001E-2</v>
      </c>
      <c r="I66" s="26">
        <f>'Terminal offers'!$J26</f>
        <v>0</v>
      </c>
      <c r="J66" s="25">
        <f t="shared" si="1"/>
        <v>125</v>
      </c>
      <c r="K66" s="27">
        <f t="shared" si="14"/>
        <v>0</v>
      </c>
      <c r="L66" s="32">
        <f t="shared" si="3"/>
        <v>16.805562708602093</v>
      </c>
      <c r="M66" s="27">
        <f t="shared" si="2"/>
        <v>141.80556270860208</v>
      </c>
      <c r="N66" s="263">
        <f t="shared" si="4"/>
        <v>4275.5927861789396</v>
      </c>
      <c r="O66" s="30">
        <f t="shared" si="5"/>
        <v>3.3166292909604378E-2</v>
      </c>
      <c r="P66" s="30" t="s">
        <v>174</v>
      </c>
    </row>
    <row r="67" spans="2:17" s="13" customFormat="1">
      <c r="B67" s="270" t="str">
        <f>'Terminal offers'!$A27</f>
        <v>First Data</v>
      </c>
      <c r="C67" s="264">
        <f>'Terminal offers'!$C27</f>
        <v>170</v>
      </c>
      <c r="D67" s="255">
        <f>'Terminal offers'!$D27</f>
        <v>14500</v>
      </c>
      <c r="E67" s="367">
        <f>'Terminal offers'!$E27</f>
        <v>1.7500000000000002E-2</v>
      </c>
      <c r="F67" s="368"/>
      <c r="G67" s="256">
        <f>IF('Terminal offers'!$G27&gt;0,'Terminal offers'!$G27,'Terminal offers'!$G$68)</f>
        <v>2.3276000000000005E-2</v>
      </c>
      <c r="H67" s="273">
        <f>IF('Terminal offers'!$H27&gt;0,'Terminal offers'!$H27,'Terminal offers'!$H$68)</f>
        <v>2.9711000000000001E-2</v>
      </c>
      <c r="I67" s="34">
        <f>'Terminal offers'!$J27</f>
        <v>0</v>
      </c>
      <c r="J67" s="257">
        <f t="shared" si="1"/>
        <v>170</v>
      </c>
      <c r="K67" s="35">
        <f t="shared" si="14"/>
        <v>0</v>
      </c>
      <c r="L67" s="259">
        <f t="shared" si="3"/>
        <v>16.805562708602093</v>
      </c>
      <c r="M67" s="35">
        <f t="shared" si="2"/>
        <v>186.80556270860208</v>
      </c>
      <c r="N67" s="265">
        <f t="shared" si="4"/>
        <v>4275.5927861789396</v>
      </c>
      <c r="O67" s="38">
        <f t="shared" si="5"/>
        <v>4.3691149286354092E-2</v>
      </c>
      <c r="P67" s="38" t="s">
        <v>175</v>
      </c>
    </row>
    <row r="68" spans="2:17" s="13" customFormat="1">
      <c r="B68" s="289" t="str">
        <f>'Terminal offers'!$A34</f>
        <v>Mint</v>
      </c>
      <c r="C68" s="290">
        <f>'Terminal offers'!$C$34</f>
        <v>39</v>
      </c>
      <c r="D68" s="291">
        <f>'Terminal offers'!$D$34</f>
        <v>0</v>
      </c>
      <c r="E68" s="292">
        <f>'Terminal offers'!$E$34</f>
        <v>0.25</v>
      </c>
      <c r="F68" s="293">
        <f>'Terminal offers'!$F$34</f>
        <v>1.2500000000000001E-2</v>
      </c>
      <c r="G68" s="294">
        <f>IF('Terminal offers'!$G$34&gt;0,'Terminal offers'!$G$34,'Terminal offers'!$G$68)</f>
        <v>2.3276000000000005E-2</v>
      </c>
      <c r="H68" s="294">
        <f>IF('Terminal offers'!$H$34&gt;0,'Terminal offers'!$H$34,'Terminal offers'!$H$68)</f>
        <v>2.9711000000000001E-2</v>
      </c>
      <c r="I68" s="34">
        <f>'Terminal offers'!$J$34</f>
        <v>0</v>
      </c>
      <c r="J68" s="295">
        <f t="shared" si="1"/>
        <v>39</v>
      </c>
      <c r="K68" s="298">
        <f>($C$79*E68)+($C$75*F68)</f>
        <v>43.959107082635853</v>
      </c>
      <c r="L68" s="297">
        <f t="shared" si="3"/>
        <v>16.805562708602093</v>
      </c>
      <c r="M68" s="298">
        <f t="shared" si="2"/>
        <v>99.764669791237949</v>
      </c>
      <c r="N68" s="302">
        <f t="shared" si="4"/>
        <v>4275.5927861789396</v>
      </c>
      <c r="O68" s="300">
        <f t="shared" si="5"/>
        <v>2.3333529356147187E-2</v>
      </c>
      <c r="P68" s="300" t="s">
        <v>176</v>
      </c>
    </row>
    <row r="69" spans="2:17" s="13" customFormat="1">
      <c r="B69" s="15"/>
      <c r="C69" s="16"/>
      <c r="D69" s="16"/>
      <c r="E69" s="16"/>
      <c r="F69" s="16"/>
      <c r="G69" s="16"/>
      <c r="H69" s="16"/>
      <c r="I69" s="15"/>
      <c r="J69" s="15"/>
      <c r="K69" s="15"/>
      <c r="L69" s="15"/>
      <c r="M69" s="15"/>
      <c r="N69" s="195"/>
      <c r="O69" s="274"/>
      <c r="P69" s="274"/>
      <c r="Q69" s="39"/>
    </row>
    <row r="70" spans="2:17" s="13" customFormat="1">
      <c r="B70" s="40" t="s">
        <v>108</v>
      </c>
      <c r="C70" s="41"/>
      <c r="D70" s="16"/>
      <c r="E70" s="16"/>
      <c r="F70" s="16"/>
      <c r="G70" s="16"/>
      <c r="H70" s="16"/>
      <c r="I70" s="15"/>
      <c r="J70" s="15"/>
      <c r="K70" s="15"/>
      <c r="L70" s="15"/>
      <c r="M70" s="15"/>
      <c r="N70" s="275"/>
      <c r="O70" s="274"/>
      <c r="P70" s="274"/>
      <c r="Q70" s="39"/>
    </row>
    <row r="71" spans="2:17" s="13" customFormat="1">
      <c r="B71" s="42" t="s">
        <v>33</v>
      </c>
      <c r="C71" s="43">
        <f>'8. Monthly revenue and trips'!C6</f>
        <v>4275.5927861789396</v>
      </c>
      <c r="D71" s="16"/>
      <c r="E71" s="16"/>
      <c r="F71" s="16"/>
      <c r="G71" s="16"/>
      <c r="H71" s="16"/>
      <c r="I71" s="15"/>
      <c r="J71" s="15"/>
      <c r="K71" s="15"/>
      <c r="L71" s="15"/>
      <c r="M71" s="15"/>
      <c r="N71" s="195"/>
      <c r="O71" s="274"/>
      <c r="P71" s="274"/>
      <c r="Q71" s="39"/>
    </row>
    <row r="72" spans="2:17" s="13" customFormat="1">
      <c r="B72" s="42" t="s">
        <v>21</v>
      </c>
      <c r="C72" s="45">
        <f>'8. Monthly revenue and trips'!C4</f>
        <v>28.489485170139162</v>
      </c>
      <c r="D72" s="251"/>
      <c r="E72" s="251"/>
      <c r="F72" s="251"/>
      <c r="G72" s="251"/>
      <c r="H72" s="251"/>
      <c r="I72" s="251"/>
      <c r="J72" s="251"/>
      <c r="K72" s="251"/>
      <c r="L72" s="251"/>
      <c r="M72" s="251"/>
      <c r="N72" s="251"/>
      <c r="O72" s="15"/>
      <c r="P72" s="15"/>
    </row>
    <row r="73" spans="2:17" s="13" customFormat="1">
      <c r="B73" s="42"/>
      <c r="C73" s="45"/>
      <c r="D73" s="251"/>
      <c r="E73" s="251"/>
      <c r="F73" s="251"/>
      <c r="G73" s="251"/>
      <c r="H73" s="251"/>
      <c r="I73" s="251"/>
      <c r="J73" s="251"/>
      <c r="K73" s="251"/>
      <c r="L73" s="251"/>
      <c r="M73" s="251"/>
      <c r="N73" s="251"/>
      <c r="O73" s="15"/>
      <c r="P73" s="15"/>
    </row>
    <row r="74" spans="2:17" s="13" customFormat="1">
      <c r="B74" s="42" t="s">
        <v>34</v>
      </c>
      <c r="C74" s="46">
        <f>'8. Monthly revenue and trips'!C7</f>
        <v>178.23097834041658</v>
      </c>
      <c r="D74" s="251"/>
      <c r="E74" s="251"/>
      <c r="F74" s="251"/>
      <c r="G74" s="251"/>
      <c r="H74" s="251"/>
      <c r="I74" s="251"/>
      <c r="J74" s="251"/>
      <c r="K74" s="251"/>
      <c r="L74" s="251"/>
      <c r="M74" s="251"/>
      <c r="N74" s="251"/>
      <c r="O74" s="15"/>
      <c r="P74" s="15"/>
    </row>
    <row r="75" spans="2:17" s="13" customFormat="1" ht="12.75" customHeight="1">
      <c r="B75" s="42" t="s">
        <v>197</v>
      </c>
      <c r="C75" s="46">
        <f>'8. Monthly revenue and trips'!C8</f>
        <v>3391.608033701255</v>
      </c>
      <c r="D75" s="251"/>
      <c r="E75" s="251"/>
      <c r="F75" s="251"/>
      <c r="G75" s="251"/>
      <c r="H75" s="251"/>
      <c r="I75" s="251"/>
      <c r="J75" s="251"/>
      <c r="K75" s="251"/>
      <c r="L75" s="251"/>
      <c r="M75" s="251"/>
      <c r="N75" s="251"/>
      <c r="O75" s="15"/>
      <c r="P75" s="15"/>
    </row>
    <row r="76" spans="2:17" s="13" customFormat="1" ht="12.75" customHeight="1">
      <c r="B76" s="42" t="s">
        <v>39</v>
      </c>
      <c r="C76" s="46">
        <f>'8. Monthly revenue and trips'!C9</f>
        <v>646.94447160687764</v>
      </c>
      <c r="D76" s="251"/>
      <c r="E76" s="251"/>
      <c r="F76" s="251"/>
      <c r="G76" s="251"/>
      <c r="H76" s="251"/>
      <c r="I76" s="251"/>
      <c r="J76" s="251"/>
      <c r="K76" s="251"/>
      <c r="L76" s="251"/>
      <c r="M76" s="251"/>
      <c r="N76" s="251"/>
      <c r="O76" s="15"/>
      <c r="P76" s="15"/>
    </row>
    <row r="77" spans="2:17" s="13" customFormat="1" ht="12.75" customHeight="1">
      <c r="B77" s="42" t="s">
        <v>114</v>
      </c>
      <c r="C77" s="46">
        <f>'8. Monthly revenue and trips'!C10</f>
        <v>58.809302530389644</v>
      </c>
      <c r="D77" s="251"/>
      <c r="E77" s="251"/>
      <c r="F77" s="251"/>
      <c r="G77" s="251"/>
      <c r="H77" s="251"/>
      <c r="I77" s="251"/>
      <c r="J77" s="251"/>
      <c r="K77" s="251"/>
      <c r="L77" s="251"/>
      <c r="M77" s="251"/>
      <c r="N77" s="251"/>
      <c r="O77" s="15"/>
      <c r="P77" s="15"/>
    </row>
    <row r="78" spans="2:17" s="13" customFormat="1" ht="12.75" customHeight="1">
      <c r="B78" s="42"/>
      <c r="C78" s="46"/>
      <c r="D78" s="251"/>
      <c r="E78" s="251"/>
      <c r="F78" s="251"/>
      <c r="G78" s="251"/>
      <c r="H78" s="251"/>
      <c r="I78" s="251"/>
      <c r="J78" s="251"/>
      <c r="K78" s="251"/>
      <c r="L78" s="251"/>
      <c r="M78" s="251"/>
      <c r="N78" s="251"/>
      <c r="O78" s="15"/>
      <c r="P78" s="15"/>
    </row>
    <row r="79" spans="2:17" s="13" customFormat="1">
      <c r="B79" s="42" t="s">
        <v>38</v>
      </c>
      <c r="C79" s="51">
        <f>'8. Monthly revenue and trips'!C13</f>
        <v>6.2560266454806559</v>
      </c>
      <c r="D79" s="251"/>
      <c r="E79" s="251"/>
      <c r="F79" s="251"/>
      <c r="G79" s="251"/>
      <c r="H79" s="251"/>
      <c r="I79" s="251"/>
      <c r="J79" s="251"/>
      <c r="K79" s="251"/>
      <c r="L79" s="251"/>
      <c r="M79" s="251"/>
      <c r="N79" s="251"/>
      <c r="O79" s="15"/>
      <c r="P79" s="15"/>
    </row>
    <row r="80" spans="2:17" s="13" customFormat="1">
      <c r="B80" s="42" t="s">
        <v>199</v>
      </c>
      <c r="C80" s="51">
        <f>'8. Monthly revenue and trips'!C14</f>
        <v>119.04771228565826</v>
      </c>
      <c r="D80" s="251"/>
      <c r="E80" s="251"/>
      <c r="F80" s="251"/>
      <c r="G80" s="251"/>
      <c r="H80" s="251"/>
      <c r="I80" s="251"/>
      <c r="J80" s="251"/>
      <c r="K80" s="251"/>
      <c r="L80" s="251"/>
      <c r="M80" s="251"/>
      <c r="N80" s="251"/>
      <c r="O80" s="15"/>
      <c r="P80" s="15"/>
    </row>
    <row r="81" spans="2:16" s="13" customFormat="1">
      <c r="B81" s="42" t="s">
        <v>41</v>
      </c>
      <c r="C81" s="51">
        <f>'8. Monthly revenue and trips'!C15</f>
        <v>22.708184010463029</v>
      </c>
      <c r="D81" s="251"/>
      <c r="E81" s="251"/>
      <c r="F81" s="251"/>
      <c r="G81" s="251"/>
      <c r="H81" s="251"/>
      <c r="I81" s="251"/>
      <c r="J81" s="251"/>
      <c r="K81" s="251"/>
      <c r="L81" s="251"/>
      <c r="M81" s="251"/>
      <c r="N81" s="251"/>
      <c r="O81" s="15"/>
      <c r="P81" s="15"/>
    </row>
    <row r="82" spans="2:16" s="13" customFormat="1">
      <c r="B82" s="44" t="s">
        <v>113</v>
      </c>
      <c r="C82" s="54">
        <f>'8. Monthly revenue and trips'!C16</f>
        <v>2.0642458850758652</v>
      </c>
      <c r="D82" s="251"/>
      <c r="E82" s="251"/>
      <c r="F82" s="251"/>
      <c r="G82" s="251"/>
      <c r="H82" s="251"/>
      <c r="I82" s="251"/>
      <c r="J82" s="251"/>
      <c r="K82" s="251"/>
      <c r="L82" s="251"/>
      <c r="M82" s="251"/>
      <c r="N82" s="251"/>
      <c r="O82" s="15"/>
      <c r="P82" s="15"/>
    </row>
    <row r="83" spans="2:16" s="13" customFormat="1">
      <c r="C83" s="14"/>
      <c r="D83" s="251"/>
      <c r="E83" s="251"/>
      <c r="F83" s="251"/>
      <c r="G83" s="251"/>
      <c r="H83" s="251"/>
      <c r="I83" s="251"/>
      <c r="J83" s="251"/>
      <c r="K83" s="251"/>
      <c r="L83" s="251"/>
      <c r="M83" s="251"/>
      <c r="N83" s="251"/>
    </row>
  </sheetData>
  <mergeCells count="49">
    <mergeCell ref="E64:F64"/>
    <mergeCell ref="E65:F65"/>
    <mergeCell ref="E66:F66"/>
    <mergeCell ref="E67:F67"/>
    <mergeCell ref="E54:F54"/>
    <mergeCell ref="E55:F55"/>
    <mergeCell ref="E57:F57"/>
    <mergeCell ref="E58:F58"/>
    <mergeCell ref="E59:F59"/>
    <mergeCell ref="E60:F60"/>
    <mergeCell ref="E62:F62"/>
    <mergeCell ref="E63:F63"/>
    <mergeCell ref="E56:F56"/>
    <mergeCell ref="E53:F53"/>
    <mergeCell ref="E38:F38"/>
    <mergeCell ref="E39:F39"/>
    <mergeCell ref="E40:F40"/>
    <mergeCell ref="E42:F42"/>
    <mergeCell ref="E43:F43"/>
    <mergeCell ref="E44:F44"/>
    <mergeCell ref="E41:F41"/>
    <mergeCell ref="E47:F47"/>
    <mergeCell ref="E51:F51"/>
    <mergeCell ref="E45:F45"/>
    <mergeCell ref="E48:F48"/>
    <mergeCell ref="E49:F49"/>
    <mergeCell ref="E50:F50"/>
    <mergeCell ref="E52:F52"/>
    <mergeCell ref="E23:F23"/>
    <mergeCell ref="E24:F24"/>
    <mergeCell ref="E25:F25"/>
    <mergeCell ref="E27:F27"/>
    <mergeCell ref="E28:F28"/>
    <mergeCell ref="P19:P20"/>
    <mergeCell ref="B2:P2"/>
    <mergeCell ref="E37:F37"/>
    <mergeCell ref="C19:I19"/>
    <mergeCell ref="J19:M19"/>
    <mergeCell ref="O19:O20"/>
    <mergeCell ref="E22:F22"/>
    <mergeCell ref="E26:F26"/>
    <mergeCell ref="E29:F29"/>
    <mergeCell ref="E30:F30"/>
    <mergeCell ref="E32:F32"/>
    <mergeCell ref="E31:F31"/>
    <mergeCell ref="E36:F36"/>
    <mergeCell ref="E33:F33"/>
    <mergeCell ref="E34:F34"/>
    <mergeCell ref="E35:F35"/>
  </mergeCells>
  <pageMargins left="0.7" right="0.7" top="0.75" bottom="0.75" header="0.3" footer="0.3"/>
  <pageSetup paperSize="8" scale="75" orientation="landscape" r:id="rId1"/>
  <ignoredErrors>
    <ignoredError sqref="K46"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X34"/>
  <sheetViews>
    <sheetView zoomScale="85" zoomScaleNormal="85" workbookViewId="0"/>
  </sheetViews>
  <sheetFormatPr defaultColWidth="0" defaultRowHeight="12" zeroHeight="1"/>
  <cols>
    <col min="1" max="1" width="2.85546875" style="2" customWidth="1"/>
    <col min="2" max="2" width="30.28515625" style="2" customWidth="1"/>
    <col min="3" max="8" width="17" style="1" customWidth="1"/>
    <col min="9" max="15" width="17" style="2" customWidth="1"/>
    <col min="16" max="16" width="2.85546875" style="2" customWidth="1"/>
    <col min="17" max="17" width="22.42578125" style="2" hidden="1" customWidth="1"/>
    <col min="18" max="18" width="11.5703125" style="2" hidden="1" customWidth="1"/>
    <col min="19" max="19" width="16" style="2" hidden="1" customWidth="1"/>
    <col min="20" max="21" width="9.140625" style="2" hidden="1" customWidth="1"/>
    <col min="22" max="22" width="21.7109375" style="2" hidden="1" customWidth="1"/>
    <col min="23" max="24" width="19.28515625" style="2" hidden="1" customWidth="1"/>
    <col min="25" max="16384" width="9.140625" style="2" hidden="1"/>
  </cols>
  <sheetData>
    <row r="1" spans="1:16">
      <c r="A1" s="13"/>
      <c r="B1" s="13"/>
      <c r="C1" s="14"/>
      <c r="D1" s="14"/>
      <c r="E1" s="14"/>
      <c r="F1" s="14"/>
      <c r="G1" s="14"/>
      <c r="H1" s="14"/>
      <c r="I1" s="13"/>
      <c r="J1" s="13"/>
      <c r="K1" s="13"/>
      <c r="L1" s="13"/>
      <c r="M1" s="13"/>
      <c r="N1" s="13"/>
      <c r="O1" s="13"/>
      <c r="P1" s="13"/>
    </row>
    <row r="2" spans="1:16" s="13" customFormat="1" ht="28.5" customHeight="1">
      <c r="B2" s="355" t="s">
        <v>90</v>
      </c>
      <c r="C2" s="356"/>
      <c r="D2" s="356"/>
      <c r="E2" s="356"/>
      <c r="F2" s="356"/>
      <c r="G2" s="356"/>
      <c r="H2" s="356"/>
      <c r="I2" s="356"/>
      <c r="J2" s="356"/>
      <c r="K2" s="356"/>
      <c r="L2" s="356"/>
      <c r="M2" s="356"/>
      <c r="N2" s="356"/>
      <c r="O2" s="357"/>
    </row>
    <row r="3" spans="1:16" s="13" customFormat="1">
      <c r="B3" s="15"/>
      <c r="C3" s="16"/>
      <c r="D3" s="16"/>
      <c r="E3" s="16"/>
      <c r="F3" s="16"/>
      <c r="G3" s="16"/>
      <c r="H3" s="16"/>
      <c r="I3" s="15"/>
      <c r="J3" s="15"/>
      <c r="K3" s="15"/>
      <c r="L3" s="15"/>
      <c r="M3" s="15"/>
      <c r="N3" s="15"/>
      <c r="O3" s="15"/>
    </row>
    <row r="4" spans="1:16" s="13" customFormat="1" ht="12" customHeight="1">
      <c r="B4" s="17"/>
      <c r="C4" s="358" t="s">
        <v>10</v>
      </c>
      <c r="D4" s="359"/>
      <c r="E4" s="359"/>
      <c r="F4" s="359"/>
      <c r="G4" s="359"/>
      <c r="H4" s="359"/>
      <c r="I4" s="360"/>
      <c r="J4" s="361" t="s">
        <v>101</v>
      </c>
      <c r="K4" s="362"/>
      <c r="L4" s="362"/>
      <c r="M4" s="363"/>
      <c r="N4" s="18" t="s">
        <v>8</v>
      </c>
      <c r="O4" s="351" t="s">
        <v>104</v>
      </c>
    </row>
    <row r="5" spans="1:16" s="13" customFormat="1" ht="33.75">
      <c r="B5" s="19" t="s">
        <v>25</v>
      </c>
      <c r="C5" s="20" t="s">
        <v>20</v>
      </c>
      <c r="D5" s="20" t="s">
        <v>19</v>
      </c>
      <c r="E5" s="20" t="s">
        <v>94</v>
      </c>
      <c r="F5" s="72" t="s">
        <v>102</v>
      </c>
      <c r="G5" s="20" t="s">
        <v>95</v>
      </c>
      <c r="H5" s="20" t="s">
        <v>96</v>
      </c>
      <c r="I5" s="71" t="s">
        <v>14</v>
      </c>
      <c r="J5" s="20" t="s">
        <v>16</v>
      </c>
      <c r="K5" s="20" t="s">
        <v>103</v>
      </c>
      <c r="L5" s="20" t="s">
        <v>99</v>
      </c>
      <c r="M5" s="72" t="s">
        <v>15</v>
      </c>
      <c r="N5" s="20" t="s">
        <v>100</v>
      </c>
      <c r="O5" s="352"/>
    </row>
    <row r="6" spans="1:16" s="13" customFormat="1">
      <c r="B6" s="21" t="str">
        <f>'Terminal offers'!$A$3</f>
        <v>ANZ</v>
      </c>
      <c r="C6" s="22">
        <f>'Terminal offers'!$C$3</f>
        <v>40</v>
      </c>
      <c r="D6" s="22">
        <f>'Terminal offers'!$D$3</f>
        <v>0</v>
      </c>
      <c r="E6" s="225">
        <f>'Terminal offers'!$E$3</f>
        <v>0.25</v>
      </c>
      <c r="F6" s="23">
        <f>'Terminal offers'!$F$3</f>
        <v>8.0000000000000002E-3</v>
      </c>
      <c r="G6" s="24">
        <f>IF('Terminal offers'!$G$3&gt;0,'Terminal offers'!$G$3,'Terminal offers'!$G$68)</f>
        <v>2.3276000000000005E-2</v>
      </c>
      <c r="H6" s="24">
        <f>IF('Terminal offers'!$H$3&gt;0,'Terminal offers'!$H$3,'Terminal offers'!$H$68)</f>
        <v>2.9711000000000001E-2</v>
      </c>
      <c r="I6" s="25">
        <f>'Terminal offers'!$J$3</f>
        <v>0</v>
      </c>
      <c r="J6" s="26">
        <f t="shared" ref="J6:J19" si="0">C6+I6</f>
        <v>40</v>
      </c>
      <c r="K6" s="27">
        <f>MAX((E6*C30)+(F6*C26), 'Terminal offers'!I3)</f>
        <v>29</v>
      </c>
      <c r="L6" s="27">
        <f>(G6*C27)+(H6*C28)</f>
        <v>16.805562708602093</v>
      </c>
      <c r="M6" s="28">
        <f t="shared" ref="M6:M19" si="1">SUM(J6:L6)</f>
        <v>85.805562708602096</v>
      </c>
      <c r="N6" s="29">
        <f>$C$22</f>
        <v>4275.5927861789396</v>
      </c>
      <c r="O6" s="30">
        <f>(N6+M6)/N6-1</f>
        <v>2.0068693862982601E-2</v>
      </c>
    </row>
    <row r="7" spans="1:16" s="13" customFormat="1">
      <c r="B7" s="118" t="str">
        <f>'Terminal offers'!$A$19</f>
        <v>Commonwealth Bank</v>
      </c>
      <c r="C7" s="123">
        <f>'Terminal offers'!$C$19</f>
        <v>60</v>
      </c>
      <c r="D7" s="123">
        <f>'Terminal offers'!$D$19</f>
        <v>3000</v>
      </c>
      <c r="E7" s="371">
        <f>'Terminal offers'!$E$19</f>
        <v>1.4999999999999999E-2</v>
      </c>
      <c r="F7" s="372"/>
      <c r="G7" s="115">
        <f>IF('Terminal offers'!$G$19&gt;0,'Terminal offers'!$G$19,'Terminal offers'!$G$68)</f>
        <v>2.3276000000000005E-2</v>
      </c>
      <c r="H7" s="115">
        <f>IF('Terminal offers'!$H$19&gt;0,'Terminal offers'!$H$19,'Terminal offers'!$H$68)</f>
        <v>2.9711000000000001E-2</v>
      </c>
      <c r="I7" s="121">
        <f>'Terminal offers'!$J$19</f>
        <v>0</v>
      </c>
      <c r="J7" s="120">
        <f t="shared" si="0"/>
        <v>60</v>
      </c>
      <c r="K7" s="122">
        <f>IF((C25+C26)&lt;=D7, 0, E7*((C25+C26)-D7))</f>
        <v>8.5475851806250738</v>
      </c>
      <c r="L7" s="122">
        <f>(G7*C27)+(H7*C28)</f>
        <v>16.805562708602093</v>
      </c>
      <c r="M7" s="117">
        <f t="shared" si="1"/>
        <v>85.353147889227174</v>
      </c>
      <c r="N7" s="124">
        <f t="shared" ref="N7:N19" si="2">$C$22</f>
        <v>4275.5927861789396</v>
      </c>
      <c r="O7" s="141">
        <f>(N7+M7)/N7-1</f>
        <v>1.9962880507501835E-2</v>
      </c>
    </row>
    <row r="8" spans="1:16" s="13" customFormat="1">
      <c r="B8" s="31" t="str">
        <f>'Terminal offers'!$A$35</f>
        <v>NAB</v>
      </c>
      <c r="C8" s="22">
        <f>'Terminal offers'!$C$35</f>
        <v>40</v>
      </c>
      <c r="D8" s="22">
        <f>'Terminal offers'!$D$35</f>
        <v>1500</v>
      </c>
      <c r="E8" s="353">
        <f>'Terminal offers'!$E$35</f>
        <v>1.4999999999999999E-2</v>
      </c>
      <c r="F8" s="354"/>
      <c r="G8" s="24">
        <f>IF('Terminal offers'!$G$35&gt;0,'Terminal offers'!$G$35,'Terminal offers'!$G$68)</f>
        <v>2.3276000000000005E-2</v>
      </c>
      <c r="H8" s="24">
        <f>IF('Terminal offers'!$H$35&gt;0,'Terminal offers'!$H$35,'Terminal offers'!$H$68)</f>
        <v>2.9711000000000001E-2</v>
      </c>
      <c r="I8" s="25">
        <f>'Terminal offers'!$J$35</f>
        <v>0</v>
      </c>
      <c r="J8" s="26">
        <f t="shared" si="0"/>
        <v>40</v>
      </c>
      <c r="K8" s="33">
        <f>IF((C25+C26)&lt;=D8, 0, E8*((C25+C26)-D8))</f>
        <v>31.047585180625074</v>
      </c>
      <c r="L8" s="27">
        <f>(G8*C27)+(H8*C28)</f>
        <v>16.805562708602093</v>
      </c>
      <c r="M8" s="28">
        <f t="shared" si="1"/>
        <v>87.853147889227174</v>
      </c>
      <c r="N8" s="29">
        <f t="shared" si="2"/>
        <v>4275.5927861789396</v>
      </c>
      <c r="O8" s="30">
        <f t="shared" ref="O8:O18" si="3">(N8+M8)/N8-1</f>
        <v>2.0547594750654596E-2</v>
      </c>
    </row>
    <row r="9" spans="1:16" s="13" customFormat="1">
      <c r="B9" s="112" t="str">
        <f>'Terminal offers'!$A$51</f>
        <v>Westpac</v>
      </c>
      <c r="C9" s="123">
        <f>'Terminal offers'!$C$51</f>
        <v>55</v>
      </c>
      <c r="D9" s="123">
        <f>'Terminal offers'!$D$51</f>
        <v>3500</v>
      </c>
      <c r="E9" s="371">
        <f>'Terminal offers'!$E$51</f>
        <v>1.4999999999999999E-2</v>
      </c>
      <c r="F9" s="372"/>
      <c r="G9" s="115">
        <f>IF('Terminal offers'!$G$51&gt;0,'Terminal offers'!$G$51,'Terminal offers'!$G$68)</f>
        <v>2.3276000000000005E-2</v>
      </c>
      <c r="H9" s="115">
        <f>IF('Terminal offers'!$H$51&gt;0,'Terminal offers'!$H$51,'Terminal offers'!$H$68)</f>
        <v>2.9711000000000001E-2</v>
      </c>
      <c r="I9" s="119">
        <f>'Terminal offers'!$J$51</f>
        <v>0</v>
      </c>
      <c r="J9" s="120">
        <f t="shared" si="0"/>
        <v>55</v>
      </c>
      <c r="K9" s="122">
        <f>IF((C25+C26)&lt;=D9, 0, E9*((C25+C26)-D9))</f>
        <v>1.0475851806250738</v>
      </c>
      <c r="L9" s="122">
        <f>(G9*C27)+(H9*C28)</f>
        <v>16.805562708602093</v>
      </c>
      <c r="M9" s="117">
        <f t="shared" si="1"/>
        <v>72.853147889227174</v>
      </c>
      <c r="N9" s="124">
        <f t="shared" si="2"/>
        <v>4275.5927861789396</v>
      </c>
      <c r="O9" s="141">
        <f t="shared" si="3"/>
        <v>1.7039309291738025E-2</v>
      </c>
    </row>
    <row r="10" spans="1:16" s="13" customFormat="1">
      <c r="B10" s="21" t="str">
        <f>'Terminal offers'!$A$4</f>
        <v>Bank of Melbourne</v>
      </c>
      <c r="C10" s="22">
        <f>'Terminal offers'!$C$4</f>
        <v>55</v>
      </c>
      <c r="D10" s="22">
        <f>'Terminal offers'!$D$4</f>
        <v>3500</v>
      </c>
      <c r="E10" s="353">
        <f>'Terminal offers'!$E$4</f>
        <v>1.4999999999999999E-2</v>
      </c>
      <c r="F10" s="354"/>
      <c r="G10" s="24">
        <f>IF('Terminal offers'!$G$4&gt;0,'Terminal offers'!$G$4,'Terminal offers'!$G$68)</f>
        <v>2.3276000000000005E-2</v>
      </c>
      <c r="H10" s="24">
        <f>IF('Terminal offers'!$H$4&gt;0,'Terminal offers'!$H$4,'Terminal offers'!$H$68)</f>
        <v>2.9711000000000001E-2</v>
      </c>
      <c r="I10" s="25">
        <f>'Terminal offers'!$J$4</f>
        <v>10</v>
      </c>
      <c r="J10" s="26">
        <f>C10+I10</f>
        <v>65</v>
      </c>
      <c r="K10" s="27">
        <f>IF((C25+C26)&lt;=D10, 0, E10*((C25+C26)-D10))</f>
        <v>1.0475851806250738</v>
      </c>
      <c r="L10" s="27">
        <f>(G10*C27)+(H10*C28)</f>
        <v>16.805562708602093</v>
      </c>
      <c r="M10" s="28">
        <f t="shared" si="1"/>
        <v>82.853147889227174</v>
      </c>
      <c r="N10" s="29">
        <f t="shared" si="2"/>
        <v>4275.5927861789396</v>
      </c>
      <c r="O10" s="30">
        <f t="shared" si="3"/>
        <v>1.9378166264349073E-2</v>
      </c>
    </row>
    <row r="11" spans="1:16" s="13" customFormat="1">
      <c r="B11" s="112" t="str">
        <f>'Terminal offers'!$A$9</f>
        <v>Bank SA</v>
      </c>
      <c r="C11" s="123">
        <f>'Terminal offers'!$C$9</f>
        <v>55</v>
      </c>
      <c r="D11" s="123">
        <f>'Terminal offers'!$D$9</f>
        <v>3500</v>
      </c>
      <c r="E11" s="371">
        <f>'Terminal offers'!$E$9</f>
        <v>1.4999999999999999E-2</v>
      </c>
      <c r="F11" s="372"/>
      <c r="G11" s="115">
        <f>IF('Terminal offers'!$G$9&gt;0,'Terminal offers'!$G$9,'Terminal offers'!$G$68)</f>
        <v>2.3276000000000005E-2</v>
      </c>
      <c r="H11" s="115">
        <f>IF('Terminal offers'!$H$9&gt;0,'Terminal offers'!$H$9,'Terminal offers'!$H$68)</f>
        <v>2.9711000000000001E-2</v>
      </c>
      <c r="I11" s="119">
        <f>'Terminal offers'!$J$9</f>
        <v>10</v>
      </c>
      <c r="J11" s="120">
        <f t="shared" si="0"/>
        <v>65</v>
      </c>
      <c r="K11" s="122">
        <f>IF((C25+C26)&lt;=D11, 0, E11*((C25+C26)-D11))</f>
        <v>1.0475851806250738</v>
      </c>
      <c r="L11" s="122">
        <f>(G11*C27)+(H11*C28)</f>
        <v>16.805562708602093</v>
      </c>
      <c r="M11" s="117">
        <f t="shared" si="1"/>
        <v>82.853147889227174</v>
      </c>
      <c r="N11" s="124">
        <f t="shared" si="2"/>
        <v>4275.5927861789396</v>
      </c>
      <c r="O11" s="141">
        <f t="shared" si="3"/>
        <v>1.9378166264349073E-2</v>
      </c>
    </row>
    <row r="12" spans="1:16" s="13" customFormat="1">
      <c r="B12" s="21" t="str">
        <f>'Terminal offers'!$A$18</f>
        <v>Bendigo Bank</v>
      </c>
      <c r="C12" s="22">
        <f>'Terminal offers'!$C$18</f>
        <v>33</v>
      </c>
      <c r="D12" s="22">
        <f>'Terminal offers'!$D$18</f>
        <v>0</v>
      </c>
      <c r="E12" s="226">
        <f>'Terminal offers'!$E$18</f>
        <v>0.27500000000000002</v>
      </c>
      <c r="F12" s="23">
        <f>'Terminal offers'!$F$18</f>
        <v>1.3750000000000002E-2</v>
      </c>
      <c r="G12" s="24">
        <f>IF('Terminal offers'!$G$18&gt;0,'Terminal offers'!$G$18,'Terminal offers'!$G$68)</f>
        <v>2.3276000000000005E-2</v>
      </c>
      <c r="H12" s="24">
        <f>IF('Terminal offers'!$H$18&gt;0,'Terminal offers'!$H$18,'Terminal offers'!$H$68)</f>
        <v>2.9711000000000001E-2</v>
      </c>
      <c r="I12" s="32">
        <f>'Terminal offers'!$J$18</f>
        <v>0</v>
      </c>
      <c r="J12" s="26">
        <f t="shared" si="0"/>
        <v>33</v>
      </c>
      <c r="K12" s="26">
        <f>(C30*E12)+(C26*F12)</f>
        <v>48.355017790899446</v>
      </c>
      <c r="L12" s="27">
        <f>(G12*C27)+(H12*C28)</f>
        <v>16.805562708602093</v>
      </c>
      <c r="M12" s="28">
        <f t="shared" si="1"/>
        <v>98.160580499501535</v>
      </c>
      <c r="N12" s="29">
        <f t="shared" si="2"/>
        <v>4275.5927861789396</v>
      </c>
      <c r="O12" s="30">
        <f t="shared" si="3"/>
        <v>2.2958355813680553E-2</v>
      </c>
    </row>
    <row r="13" spans="1:16" s="13" customFormat="1">
      <c r="B13" s="112" t="str">
        <f>'Terminal offers'!$A$14</f>
        <v>Bankwest</v>
      </c>
      <c r="C13" s="123">
        <f>'Terminal offers'!$C$14</f>
        <v>60</v>
      </c>
      <c r="D13" s="123">
        <f>'Terminal offers'!$D$14</f>
        <v>3000</v>
      </c>
      <c r="E13" s="371">
        <f>'Terminal offers'!$E$14</f>
        <v>1.4999999999999999E-2</v>
      </c>
      <c r="F13" s="372"/>
      <c r="G13" s="115">
        <f>IF('Terminal offers'!$G$14&gt;0,'Terminal offers'!$G$14,'Terminal offers'!$G$68)</f>
        <v>2.3276000000000005E-2</v>
      </c>
      <c r="H13" s="115">
        <f>IF('Terminal offers'!$H$14&gt;0,'Terminal offers'!$H$14,'Terminal offers'!$H$68)</f>
        <v>2.9711000000000001E-2</v>
      </c>
      <c r="I13" s="119">
        <f>'Terminal offers'!$J$14</f>
        <v>0</v>
      </c>
      <c r="J13" s="120">
        <f t="shared" si="0"/>
        <v>60</v>
      </c>
      <c r="K13" s="122">
        <f>IF((C25+C26)&lt;=D13, 0, E13*((C25+C26)-D13))</f>
        <v>8.5475851806250738</v>
      </c>
      <c r="L13" s="122">
        <f>(G13*C27)+(H13*C28)</f>
        <v>16.805562708602093</v>
      </c>
      <c r="M13" s="117">
        <f t="shared" si="1"/>
        <v>85.353147889227174</v>
      </c>
      <c r="N13" s="124">
        <f t="shared" si="2"/>
        <v>4275.5927861789396</v>
      </c>
      <c r="O13" s="141">
        <f t="shared" si="3"/>
        <v>1.9962880507501835E-2</v>
      </c>
    </row>
    <row r="14" spans="1:16" s="13" customFormat="1">
      <c r="B14" s="31" t="str">
        <f>'Terminal offers'!$A$28</f>
        <v>Hume Bank</v>
      </c>
      <c r="C14" s="22">
        <f>'Terminal offers'!$C$28</f>
        <v>40</v>
      </c>
      <c r="D14" s="22">
        <f>'Terminal offers'!$D$28</f>
        <v>1500</v>
      </c>
      <c r="E14" s="353">
        <f>'Terminal offers'!$E$28</f>
        <v>1.4999999999999999E-2</v>
      </c>
      <c r="F14" s="354"/>
      <c r="G14" s="24">
        <f>IF('Terminal offers'!$G$28&gt;0,'Terminal offers'!$G$28,'Terminal offers'!$G$68)</f>
        <v>2.3276000000000005E-2</v>
      </c>
      <c r="H14" s="24">
        <f>IF('Terminal offers'!$H$28&gt;0,'Terminal offers'!$H$28,'Terminal offers'!$H$68)</f>
        <v>2.9711000000000001E-2</v>
      </c>
      <c r="I14" s="25">
        <f>'Terminal offers'!$J$28</f>
        <v>0</v>
      </c>
      <c r="J14" s="26">
        <f t="shared" si="0"/>
        <v>40</v>
      </c>
      <c r="K14" s="26">
        <f>IF((C25+C26)&lt;=D14, 0, E14*((C25+C26)-D14))</f>
        <v>31.047585180625074</v>
      </c>
      <c r="L14" s="27">
        <f>(G14*C27)+(H14*C28)</f>
        <v>16.805562708602093</v>
      </c>
      <c r="M14" s="28">
        <f t="shared" si="1"/>
        <v>87.853147889227174</v>
      </c>
      <c r="N14" s="29">
        <f t="shared" si="2"/>
        <v>4275.5927861789396</v>
      </c>
      <c r="O14" s="30">
        <f t="shared" si="3"/>
        <v>2.0547594750654596E-2</v>
      </c>
    </row>
    <row r="15" spans="1:16" s="13" customFormat="1">
      <c r="B15" s="112" t="str">
        <f>'Terminal offers'!$A$45</f>
        <v>St George</v>
      </c>
      <c r="C15" s="123">
        <f>'Terminal offers'!$C$45</f>
        <v>55</v>
      </c>
      <c r="D15" s="123">
        <f>'Terminal offers'!$D$45</f>
        <v>3500</v>
      </c>
      <c r="E15" s="371">
        <f>'Terminal offers'!$E$45</f>
        <v>1.4999999999999999E-2</v>
      </c>
      <c r="F15" s="372"/>
      <c r="G15" s="115">
        <f>IF('Terminal offers'!$G$45&gt;0,'Terminal offers'!$G$45,'Terminal offers'!$G$68)</f>
        <v>2.3276000000000005E-2</v>
      </c>
      <c r="H15" s="115">
        <f>IF('Terminal offers'!$H$45&gt;0,'Terminal offers'!$H$45,'Terminal offers'!$H$68)</f>
        <v>2.9711000000000001E-2</v>
      </c>
      <c r="I15" s="119">
        <f>'Terminal offers'!$J$45</f>
        <v>10</v>
      </c>
      <c r="J15" s="120">
        <f t="shared" si="0"/>
        <v>65</v>
      </c>
      <c r="K15" s="122">
        <f>IF((C25+C26)&lt;=D15, 0, E15*((C25+C26)-D15))</f>
        <v>1.0475851806250738</v>
      </c>
      <c r="L15" s="122">
        <f>(G15*C27)+(H15*C28)</f>
        <v>16.805562708602093</v>
      </c>
      <c r="M15" s="117">
        <f t="shared" si="1"/>
        <v>82.853147889227174</v>
      </c>
      <c r="N15" s="124">
        <f t="shared" si="2"/>
        <v>4275.5927861789396</v>
      </c>
      <c r="O15" s="141">
        <f t="shared" si="3"/>
        <v>1.9378166264349073E-2</v>
      </c>
    </row>
    <row r="16" spans="1:16" s="13" customFormat="1">
      <c r="B16" s="21" t="str">
        <f>'Terminal offers'!$A$33</f>
        <v>Live eftpos</v>
      </c>
      <c r="C16" s="22">
        <f>'Terminal offers'!$C$33</f>
        <v>28.996000000000002</v>
      </c>
      <c r="D16" s="22">
        <f>'Terminal offers'!$D$33</f>
        <v>0</v>
      </c>
      <c r="E16" s="226">
        <f>'Terminal offers'!$E$33</f>
        <v>0.35200000000000004</v>
      </c>
      <c r="F16" s="23">
        <f>'Terminal offers'!$F$33</f>
        <v>1.7600000000000001E-2</v>
      </c>
      <c r="G16" s="24">
        <f>IF('Terminal offers'!$G$33&gt;0,'Terminal offers'!$G$33,'Terminal offers'!$G$68)</f>
        <v>1.7600000000000001E-2</v>
      </c>
      <c r="H16" s="24">
        <f>IF('Terminal offers'!$H$33&gt;0,'Terminal offers'!$H$33,'Terminal offers'!$H$68)</f>
        <v>1.7600000000000001E-2</v>
      </c>
      <c r="I16" s="25">
        <f>'Terminal offers'!$J$33</f>
        <v>0</v>
      </c>
      <c r="J16" s="26">
        <f t="shared" si="0"/>
        <v>28.996000000000002</v>
      </c>
      <c r="K16" s="26">
        <f>(C30*E16)+(C26*F16)</f>
        <v>61.894422772351277</v>
      </c>
      <c r="L16" s="27">
        <f>(G16*C27)+(H16*C28)</f>
        <v>12.421266424815904</v>
      </c>
      <c r="M16" s="28">
        <f t="shared" si="1"/>
        <v>103.3116891971672</v>
      </c>
      <c r="N16" s="29">
        <f t="shared" si="2"/>
        <v>4275.5927861789396</v>
      </c>
      <c r="O16" s="30">
        <f t="shared" si="3"/>
        <v>2.4163126463101703E-2</v>
      </c>
    </row>
    <row r="17" spans="2:16" s="13" customFormat="1">
      <c r="B17" s="112" t="str">
        <f>'Terminal offers'!$A$50</f>
        <v>Tyro</v>
      </c>
      <c r="C17" s="123">
        <f>'Terminal offers'!$C$50</f>
        <v>42.900000000000006</v>
      </c>
      <c r="D17" s="123">
        <f>'Terminal offers'!$D$50</f>
        <v>0</v>
      </c>
      <c r="E17" s="373">
        <f>'Terminal offers'!$E$50</f>
        <v>1.2100000000000001E-2</v>
      </c>
      <c r="F17" s="374"/>
      <c r="G17" s="115">
        <f>IF('Terminal offers'!$G$50&gt;0,'Terminal offers'!$G$50,'Terminal offers'!$G$68)</f>
        <v>2.3276000000000005E-2</v>
      </c>
      <c r="H17" s="115">
        <f>IF('Terminal offers'!$H$50&gt;0,'Terminal offers'!$H$50,'Terminal offers'!$H$68)</f>
        <v>2.9711000000000001E-2</v>
      </c>
      <c r="I17" s="119">
        <f>'Terminal offers'!$J$50</f>
        <v>0</v>
      </c>
      <c r="J17" s="120">
        <f t="shared" si="0"/>
        <v>42.900000000000006</v>
      </c>
      <c r="K17" s="120">
        <f>E17*(C25+C26)</f>
        <v>43.19505204570423</v>
      </c>
      <c r="L17" s="122">
        <f>(G17*C27)+(H17*C28)</f>
        <v>16.805562708602093</v>
      </c>
      <c r="M17" s="117">
        <f t="shared" si="1"/>
        <v>102.90061475430633</v>
      </c>
      <c r="N17" s="124">
        <f t="shared" si="2"/>
        <v>4275.5927861789396</v>
      </c>
      <c r="O17" s="141">
        <f t="shared" si="3"/>
        <v>2.4066982030406914E-2</v>
      </c>
    </row>
    <row r="18" spans="2:16" s="13" customFormat="1">
      <c r="B18" s="21" t="str">
        <f>'Terminal offers'!$A$23</f>
        <v>First Data</v>
      </c>
      <c r="C18" s="22">
        <f>'Terminal offers'!$C$23</f>
        <v>45</v>
      </c>
      <c r="D18" s="22">
        <f>'Terminal offers'!$D$23</f>
        <v>2500</v>
      </c>
      <c r="E18" s="353">
        <f>'Terminal offers'!$E$23</f>
        <v>1.7500000000000002E-2</v>
      </c>
      <c r="F18" s="354"/>
      <c r="G18" s="24">
        <f>IF('Terminal offers'!$G$23&gt;0,'Terminal offers'!$G$23,'Terminal offers'!$G$68)</f>
        <v>2.3276000000000005E-2</v>
      </c>
      <c r="H18" s="24">
        <f>IF('Terminal offers'!$H$23&gt;0,'Terminal offers'!$H$23,'Terminal offers'!$H$68)</f>
        <v>2.9711000000000001E-2</v>
      </c>
      <c r="I18" s="25">
        <f>'Terminal offers'!$J$23</f>
        <v>0</v>
      </c>
      <c r="J18" s="26">
        <f t="shared" si="0"/>
        <v>45</v>
      </c>
      <c r="K18" s="27">
        <f>IF((C25+C26)&lt;=D18, 0, E18*((C25+C26)-D18))</f>
        <v>18.722182710729253</v>
      </c>
      <c r="L18" s="27">
        <f>(G18*C27)+(H18*C28)</f>
        <v>16.805562708602093</v>
      </c>
      <c r="M18" s="28">
        <f t="shared" si="1"/>
        <v>80.527745419331353</v>
      </c>
      <c r="N18" s="29">
        <f t="shared" si="2"/>
        <v>4275.5927861789396</v>
      </c>
      <c r="O18" s="30">
        <f t="shared" si="3"/>
        <v>1.8834287886264844E-2</v>
      </c>
    </row>
    <row r="19" spans="2:16" s="13" customFormat="1">
      <c r="B19" s="125" t="str">
        <f>'Terminal offers'!$A$34</f>
        <v>Mint</v>
      </c>
      <c r="C19" s="126">
        <f>'Terminal offers'!$C$34</f>
        <v>39</v>
      </c>
      <c r="D19" s="126">
        <f>'Terminal offers'!$D$34</f>
        <v>0</v>
      </c>
      <c r="E19" s="227">
        <f>'Terminal offers'!$E$34</f>
        <v>0.25</v>
      </c>
      <c r="F19" s="127">
        <f>'Terminal offers'!$F$34</f>
        <v>1.2500000000000001E-2</v>
      </c>
      <c r="G19" s="128">
        <f>IF('Terminal offers'!$G$34&gt;0,'Terminal offers'!$G$34,'Terminal offers'!$G$68)</f>
        <v>2.3276000000000005E-2</v>
      </c>
      <c r="H19" s="128">
        <f>IF('Terminal offers'!$H$34&gt;0,'Terminal offers'!$H$34,'Terminal offers'!$H$68)</f>
        <v>2.9711000000000001E-2</v>
      </c>
      <c r="I19" s="129">
        <f>'Terminal offers'!$J$34</f>
        <v>0</v>
      </c>
      <c r="J19" s="130">
        <f t="shared" si="0"/>
        <v>39</v>
      </c>
      <c r="K19" s="131">
        <f>(E19*C30)+(F19*C26)</f>
        <v>43.959107082635853</v>
      </c>
      <c r="L19" s="131">
        <f>(G19*C27)+(H19*C28)</f>
        <v>16.805562708602093</v>
      </c>
      <c r="M19" s="132">
        <f t="shared" si="1"/>
        <v>99.764669791237949</v>
      </c>
      <c r="N19" s="133">
        <f t="shared" si="2"/>
        <v>4275.5927861789396</v>
      </c>
      <c r="O19" s="142">
        <f>(N19+M19)/N19-1</f>
        <v>2.3333529356147187E-2</v>
      </c>
    </row>
    <row r="20" spans="2:16" s="13" customFormat="1">
      <c r="B20" s="15"/>
      <c r="C20" s="16"/>
      <c r="D20" s="16"/>
      <c r="E20" s="16"/>
      <c r="F20" s="16"/>
      <c r="G20" s="16"/>
      <c r="H20" s="16"/>
      <c r="I20" s="15"/>
      <c r="J20" s="15"/>
      <c r="K20" s="15"/>
      <c r="L20" s="15"/>
      <c r="M20" s="15"/>
      <c r="N20" s="134" t="s">
        <v>13</v>
      </c>
      <c r="O20" s="144">
        <f>AVERAGE(O6:O19)</f>
        <v>2.0687123858120136E-2</v>
      </c>
      <c r="P20" s="39"/>
    </row>
    <row r="21" spans="2:16" s="13" customFormat="1">
      <c r="B21" s="40" t="s">
        <v>108</v>
      </c>
      <c r="C21" s="41"/>
      <c r="D21" s="16"/>
      <c r="E21" s="16"/>
      <c r="F21" s="16"/>
      <c r="G21" s="16"/>
      <c r="H21" s="16"/>
      <c r="I21" s="15"/>
      <c r="J21" s="15"/>
      <c r="K21" s="15"/>
      <c r="L21" s="15"/>
      <c r="M21" s="15"/>
      <c r="N21" s="135" t="s">
        <v>17</v>
      </c>
      <c r="O21" s="145">
        <f>MIN(O6:O19)</f>
        <v>1.7039309291738025E-2</v>
      </c>
      <c r="P21" s="39"/>
    </row>
    <row r="22" spans="2:16" s="13" customFormat="1">
      <c r="B22" s="42" t="s">
        <v>33</v>
      </c>
      <c r="C22" s="43">
        <f>'8. Monthly revenue and trips'!C6</f>
        <v>4275.5927861789396</v>
      </c>
      <c r="D22" s="16"/>
      <c r="E22" s="16"/>
      <c r="F22" s="16"/>
      <c r="G22" s="16"/>
      <c r="H22" s="16"/>
      <c r="I22" s="15"/>
      <c r="J22" s="15"/>
      <c r="K22" s="15"/>
      <c r="L22" s="15"/>
      <c r="M22" s="15"/>
      <c r="N22" s="136" t="s">
        <v>18</v>
      </c>
      <c r="O22" s="146">
        <f>MAX(O6:O19)</f>
        <v>2.4163126463101703E-2</v>
      </c>
      <c r="P22" s="39"/>
    </row>
    <row r="23" spans="2:16" s="13" customFormat="1">
      <c r="B23" s="42" t="s">
        <v>21</v>
      </c>
      <c r="C23" s="45">
        <f>'8. Monthly revenue and trips'!C4</f>
        <v>28.489485170139162</v>
      </c>
      <c r="D23" s="251"/>
      <c r="E23" s="251"/>
      <c r="F23" s="251"/>
      <c r="G23" s="251"/>
      <c r="H23" s="251"/>
      <c r="I23" s="251"/>
      <c r="J23" s="251"/>
      <c r="K23" s="251"/>
      <c r="L23" s="251"/>
      <c r="M23" s="251"/>
      <c r="N23" s="251"/>
      <c r="O23" s="15"/>
    </row>
    <row r="24" spans="2:16" s="13" customFormat="1">
      <c r="B24" s="42"/>
      <c r="C24" s="45"/>
      <c r="D24" s="251"/>
      <c r="E24" s="251"/>
      <c r="F24" s="251"/>
      <c r="G24" s="251"/>
      <c r="H24" s="251"/>
      <c r="I24" s="251"/>
      <c r="J24" s="251"/>
      <c r="K24" s="251"/>
      <c r="L24" s="251"/>
      <c r="M24" s="251"/>
      <c r="N24" s="251"/>
      <c r="O24" s="15"/>
    </row>
    <row r="25" spans="2:16" s="13" customFormat="1">
      <c r="B25" s="42" t="s">
        <v>34</v>
      </c>
      <c r="C25" s="46">
        <f>'8. Monthly revenue and trips'!C7</f>
        <v>178.23097834041658</v>
      </c>
      <c r="D25" s="251"/>
      <c r="E25" s="251"/>
      <c r="F25" s="251"/>
      <c r="G25" s="251"/>
      <c r="H25" s="251"/>
      <c r="I25" s="251"/>
      <c r="J25" s="251"/>
      <c r="K25" s="251"/>
      <c r="L25" s="251"/>
      <c r="M25" s="251"/>
      <c r="N25" s="251"/>
      <c r="O25" s="15"/>
    </row>
    <row r="26" spans="2:16" s="13" customFormat="1" ht="12.75" customHeight="1">
      <c r="B26" s="42" t="s">
        <v>197</v>
      </c>
      <c r="C26" s="46">
        <f>'8. Monthly revenue and trips'!C8</f>
        <v>3391.608033701255</v>
      </c>
      <c r="D26" s="251"/>
      <c r="E26" s="251"/>
      <c r="F26" s="251"/>
      <c r="G26" s="251"/>
      <c r="H26" s="251"/>
      <c r="I26" s="251"/>
      <c r="J26" s="251"/>
      <c r="K26" s="251"/>
      <c r="L26" s="251"/>
      <c r="M26" s="251"/>
      <c r="N26" s="251"/>
      <c r="O26" s="15"/>
    </row>
    <row r="27" spans="2:16" s="13" customFormat="1" ht="12.75" customHeight="1">
      <c r="B27" s="42" t="s">
        <v>39</v>
      </c>
      <c r="C27" s="46">
        <f>'8. Monthly revenue and trips'!C9</f>
        <v>646.94447160687764</v>
      </c>
      <c r="D27" s="251"/>
      <c r="E27" s="251"/>
      <c r="F27" s="251"/>
      <c r="G27" s="251"/>
      <c r="H27" s="251"/>
      <c r="I27" s="251"/>
      <c r="J27" s="251"/>
      <c r="K27" s="251"/>
      <c r="L27" s="251"/>
      <c r="M27" s="251"/>
      <c r="N27" s="251"/>
      <c r="O27" s="15"/>
    </row>
    <row r="28" spans="2:16" s="13" customFormat="1" ht="12.75" customHeight="1">
      <c r="B28" s="42" t="s">
        <v>114</v>
      </c>
      <c r="C28" s="46">
        <f>'8. Monthly revenue and trips'!C10</f>
        <v>58.809302530389644</v>
      </c>
      <c r="D28" s="251"/>
      <c r="E28" s="251"/>
      <c r="F28" s="251"/>
      <c r="G28" s="251"/>
      <c r="H28" s="251"/>
      <c r="I28" s="251"/>
      <c r="J28" s="251"/>
      <c r="K28" s="251"/>
      <c r="L28" s="251"/>
      <c r="M28" s="251"/>
      <c r="N28" s="251"/>
      <c r="O28" s="15"/>
    </row>
    <row r="29" spans="2:16" s="13" customFormat="1" ht="12.75" customHeight="1">
      <c r="B29" s="42"/>
      <c r="C29" s="46"/>
      <c r="D29" s="251"/>
      <c r="E29" s="251"/>
      <c r="F29" s="251"/>
      <c r="G29" s="251"/>
      <c r="H29" s="251"/>
      <c r="I29" s="251"/>
      <c r="J29" s="251"/>
      <c r="K29" s="251"/>
      <c r="L29" s="251"/>
      <c r="M29" s="251"/>
      <c r="N29" s="251"/>
      <c r="O29" s="15"/>
    </row>
    <row r="30" spans="2:16" s="13" customFormat="1">
      <c r="B30" s="42" t="s">
        <v>38</v>
      </c>
      <c r="C30" s="51">
        <f>'8. Monthly revenue and trips'!C13</f>
        <v>6.2560266454806559</v>
      </c>
      <c r="D30" s="251"/>
      <c r="E30" s="251"/>
      <c r="F30" s="251"/>
      <c r="G30" s="251"/>
      <c r="H30" s="251"/>
      <c r="I30" s="251"/>
      <c r="J30" s="251"/>
      <c r="K30" s="251"/>
      <c r="L30" s="251"/>
      <c r="M30" s="251"/>
      <c r="N30" s="251"/>
      <c r="O30" s="15"/>
    </row>
    <row r="31" spans="2:16" s="13" customFormat="1">
      <c r="B31" s="42" t="s">
        <v>199</v>
      </c>
      <c r="C31" s="51">
        <f>'8. Monthly revenue and trips'!C14</f>
        <v>119.04771228565826</v>
      </c>
      <c r="D31" s="251"/>
      <c r="E31" s="251"/>
      <c r="F31" s="251"/>
      <c r="G31" s="251"/>
      <c r="H31" s="251"/>
      <c r="I31" s="251"/>
      <c r="J31" s="251"/>
      <c r="K31" s="251"/>
      <c r="L31" s="251"/>
      <c r="M31" s="251"/>
      <c r="N31" s="251"/>
      <c r="O31" s="15"/>
    </row>
    <row r="32" spans="2:16" s="13" customFormat="1">
      <c r="B32" s="42" t="s">
        <v>41</v>
      </c>
      <c r="C32" s="51">
        <f>'8. Monthly revenue and trips'!C15</f>
        <v>22.708184010463029</v>
      </c>
      <c r="D32" s="251"/>
      <c r="E32" s="251"/>
      <c r="F32" s="251"/>
      <c r="G32" s="251"/>
      <c r="H32" s="251"/>
      <c r="I32" s="251"/>
      <c r="J32" s="251"/>
      <c r="K32" s="251"/>
      <c r="L32" s="251"/>
      <c r="M32" s="251"/>
      <c r="N32" s="251"/>
      <c r="O32" s="15"/>
    </row>
    <row r="33" spans="2:15" s="13" customFormat="1">
      <c r="B33" s="44" t="s">
        <v>113</v>
      </c>
      <c r="C33" s="54">
        <f>'8. Monthly revenue and trips'!C16</f>
        <v>2.0642458850758652</v>
      </c>
      <c r="D33" s="251"/>
      <c r="E33" s="251"/>
      <c r="F33" s="251"/>
      <c r="G33" s="251"/>
      <c r="H33" s="251"/>
      <c r="I33" s="251"/>
      <c r="J33" s="251"/>
      <c r="K33" s="251"/>
      <c r="L33" s="251"/>
      <c r="M33" s="251"/>
      <c r="N33" s="251"/>
      <c r="O33" s="15"/>
    </row>
    <row r="34" spans="2:15" s="13" customFormat="1">
      <c r="C34" s="14"/>
      <c r="D34" s="251"/>
      <c r="E34" s="251"/>
      <c r="F34" s="251"/>
      <c r="G34" s="251"/>
      <c r="H34" s="251"/>
      <c r="I34" s="251"/>
      <c r="J34" s="251"/>
      <c r="K34" s="251"/>
      <c r="L34" s="251"/>
      <c r="M34" s="251"/>
      <c r="N34" s="251"/>
    </row>
  </sheetData>
  <mergeCells count="14">
    <mergeCell ref="E17:F17"/>
    <mergeCell ref="E10:F10"/>
    <mergeCell ref="E11:F11"/>
    <mergeCell ref="E18:F18"/>
    <mergeCell ref="E8:F8"/>
    <mergeCell ref="E9:F9"/>
    <mergeCell ref="E13:F13"/>
    <mergeCell ref="E14:F14"/>
    <mergeCell ref="E15:F15"/>
    <mergeCell ref="B2:O2"/>
    <mergeCell ref="C4:I4"/>
    <mergeCell ref="J4:M4"/>
    <mergeCell ref="O4:O5"/>
    <mergeCell ref="E7:F7"/>
  </mergeCells>
  <pageMargins left="0.7" right="0.7" top="0.75" bottom="0.75" header="0.3" footer="0.3"/>
  <pageSetup paperSize="8" scale="75"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Z31"/>
  <sheetViews>
    <sheetView zoomScale="85" zoomScaleNormal="85" workbookViewId="0"/>
  </sheetViews>
  <sheetFormatPr defaultColWidth="0" defaultRowHeight="12" customHeight="1" zeroHeight="1"/>
  <cols>
    <col min="1" max="1" width="2.85546875" style="2" customWidth="1"/>
    <col min="2" max="2" width="30.28515625" style="2" customWidth="1"/>
    <col min="3" max="3" width="17" style="2" customWidth="1"/>
    <col min="4" max="9" width="17" style="1" customWidth="1"/>
    <col min="10" max="17" width="17" style="2" customWidth="1"/>
    <col min="18" max="18" width="2.85546875" style="2" customWidth="1"/>
    <col min="19" max="19" width="22.42578125" style="2" hidden="1" customWidth="1"/>
    <col min="20" max="20" width="11.5703125" style="2" hidden="1" customWidth="1"/>
    <col min="21" max="21" width="16" style="2" hidden="1" customWidth="1"/>
    <col min="22" max="23" width="9.140625" style="2" hidden="1" customWidth="1"/>
    <col min="24" max="24" width="21.7109375" style="2" hidden="1" customWidth="1"/>
    <col min="25" max="26" width="19.28515625" style="2" hidden="1" customWidth="1"/>
    <col min="27" max="16384" width="9.140625" style="2" hidden="1"/>
  </cols>
  <sheetData>
    <row r="1" spans="1:18">
      <c r="A1" s="13"/>
      <c r="B1" s="13"/>
      <c r="C1" s="13"/>
      <c r="D1" s="14"/>
      <c r="E1" s="14"/>
      <c r="F1" s="14"/>
      <c r="G1" s="14"/>
      <c r="H1" s="14"/>
      <c r="I1" s="14"/>
      <c r="J1" s="13"/>
      <c r="K1" s="13"/>
      <c r="L1" s="13"/>
      <c r="M1" s="13"/>
      <c r="N1" s="13"/>
      <c r="O1" s="13"/>
      <c r="P1" s="13"/>
      <c r="Q1" s="13"/>
      <c r="R1" s="13"/>
    </row>
    <row r="2" spans="1:18" s="13" customFormat="1" ht="27" customHeight="1">
      <c r="B2" s="355" t="s">
        <v>115</v>
      </c>
      <c r="C2" s="356"/>
      <c r="D2" s="356"/>
      <c r="E2" s="356"/>
      <c r="F2" s="356"/>
      <c r="G2" s="356"/>
      <c r="H2" s="356"/>
      <c r="I2" s="356"/>
      <c r="J2" s="356"/>
      <c r="K2" s="356"/>
      <c r="L2" s="356"/>
      <c r="M2" s="356"/>
      <c r="N2" s="356"/>
      <c r="O2" s="356"/>
      <c r="P2" s="356"/>
      <c r="Q2" s="357"/>
    </row>
    <row r="3" spans="1:18" s="13" customFormat="1">
      <c r="D3" s="14"/>
      <c r="E3" s="14"/>
      <c r="F3" s="14"/>
      <c r="G3" s="14"/>
      <c r="H3" s="14"/>
      <c r="I3" s="14"/>
    </row>
    <row r="4" spans="1:18" s="13" customFormat="1" ht="12" customHeight="1">
      <c r="B4" s="17"/>
      <c r="C4" s="358" t="s">
        <v>10</v>
      </c>
      <c r="D4" s="359"/>
      <c r="E4" s="359"/>
      <c r="F4" s="359"/>
      <c r="G4" s="359"/>
      <c r="H4" s="359"/>
      <c r="I4" s="359"/>
      <c r="J4" s="359"/>
      <c r="K4" s="361" t="s">
        <v>101</v>
      </c>
      <c r="L4" s="362"/>
      <c r="M4" s="362"/>
      <c r="N4" s="362"/>
      <c r="O4" s="363"/>
      <c r="P4" s="18" t="s">
        <v>8</v>
      </c>
      <c r="Q4" s="351" t="s">
        <v>104</v>
      </c>
    </row>
    <row r="5" spans="1:18" s="13" customFormat="1" ht="33.75">
      <c r="B5" s="249" t="s">
        <v>25</v>
      </c>
      <c r="C5" s="20" t="s">
        <v>27</v>
      </c>
      <c r="D5" s="20" t="s">
        <v>20</v>
      </c>
      <c r="E5" s="20" t="s">
        <v>19</v>
      </c>
      <c r="F5" s="20" t="s">
        <v>94</v>
      </c>
      <c r="G5" s="248" t="s">
        <v>102</v>
      </c>
      <c r="H5" s="20" t="s">
        <v>95</v>
      </c>
      <c r="I5" s="20" t="s">
        <v>96</v>
      </c>
      <c r="J5" s="247" t="s">
        <v>14</v>
      </c>
      <c r="K5" s="20" t="s">
        <v>97</v>
      </c>
      <c r="L5" s="20" t="s">
        <v>16</v>
      </c>
      <c r="M5" s="61" t="s">
        <v>98</v>
      </c>
      <c r="N5" s="20" t="s">
        <v>99</v>
      </c>
      <c r="O5" s="75" t="s">
        <v>15</v>
      </c>
      <c r="P5" s="250" t="s">
        <v>100</v>
      </c>
      <c r="Q5" s="352"/>
    </row>
    <row r="6" spans="1:18" s="13" customFormat="1">
      <c r="B6" s="21" t="s">
        <v>67</v>
      </c>
      <c r="C6" s="65">
        <f>'Terminal offers'!$B$57</f>
        <v>0</v>
      </c>
      <c r="D6" s="62">
        <f>'Terminal offers'!$C$57</f>
        <v>5</v>
      </c>
      <c r="E6" s="62">
        <f>'Terminal offers'!$D$57</f>
        <v>0</v>
      </c>
      <c r="F6" s="228">
        <f>'Terminal offers'!$E$57</f>
        <v>0.3</v>
      </c>
      <c r="G6" s="23">
        <f>'Terminal offers'!$F$57</f>
        <v>2.3E-2</v>
      </c>
      <c r="H6" s="109">
        <f>IF('Terminal offers'!$G$57&gt;0,'Terminal offers'!G57,'Terminal offers'!$G$68)</f>
        <v>2.3276000000000005E-2</v>
      </c>
      <c r="I6" s="109">
        <f>IF('Terminal offers'!$H$57&gt;0,'Terminal offers'!$H$57,'Terminal offers'!$H$68)</f>
        <v>2.9711000000000001E-2</v>
      </c>
      <c r="J6" s="63">
        <f>'Terminal offers'!$J$57</f>
        <v>0</v>
      </c>
      <c r="K6" s="223">
        <f>C6/36</f>
        <v>0</v>
      </c>
      <c r="L6" s="62">
        <f>D6+J6</f>
        <v>5</v>
      </c>
      <c r="M6" s="64">
        <f>(F6*C26)+MAX((G6*C22),'Terminal offers'!$I$57)</f>
        <v>79.883792768773048</v>
      </c>
      <c r="N6" s="65">
        <f>(H6*C23)+(I6*C24)</f>
        <v>16.805562708602093</v>
      </c>
      <c r="O6" s="28">
        <f t="shared" ref="O6:O15" si="0">SUM(K6:N6)</f>
        <v>101.68935547737514</v>
      </c>
      <c r="P6" s="62">
        <f>$C$18</f>
        <v>4275.5927861789396</v>
      </c>
      <c r="Q6" s="149">
        <f>(P6+O6)/P6-1</f>
        <v>2.3783685809857902E-2</v>
      </c>
    </row>
    <row r="7" spans="1:18" s="13" customFormat="1">
      <c r="B7" s="118" t="s">
        <v>68</v>
      </c>
      <c r="C7" s="222">
        <f>'Terminal offers'!$B$59</f>
        <v>0</v>
      </c>
      <c r="D7" s="113">
        <f>'Terminal offers'!$C$59</f>
        <v>30</v>
      </c>
      <c r="E7" s="113">
        <f>'Terminal offers'!$D$59</f>
        <v>1500</v>
      </c>
      <c r="F7" s="371">
        <f>'Terminal offers'!$E$59</f>
        <v>1.4999999999999999E-2</v>
      </c>
      <c r="G7" s="372"/>
      <c r="H7" s="115">
        <f>IF('Terminal offers'!$G$59&gt;0,'Terminal offers'!$G$59,'Terminal offers'!$G$68)</f>
        <v>2.3276000000000005E-2</v>
      </c>
      <c r="I7" s="115">
        <f>IF('Terminal offers'!$H$59&gt;0,'Terminal offers'!$H$59,'Terminal offers'!$H$68)</f>
        <v>2.9711000000000001E-2</v>
      </c>
      <c r="J7" s="121">
        <f>'Terminal offers'!$J$59</f>
        <v>0</v>
      </c>
      <c r="K7" s="122">
        <f t="shared" ref="K7:K15" si="1">C7/36</f>
        <v>0</v>
      </c>
      <c r="L7" s="120">
        <f t="shared" ref="L7:L15" si="2">D7+J7</f>
        <v>30</v>
      </c>
      <c r="M7" s="121">
        <f>IF((C21+C22)&lt;=E7,0,F7*((C21+C22)-E7))</f>
        <v>31.047585180625074</v>
      </c>
      <c r="N7" s="116">
        <f>(H7*C23)+(I7*C24)</f>
        <v>16.805562708602093</v>
      </c>
      <c r="O7" s="117">
        <f t="shared" si="0"/>
        <v>77.853147889227174</v>
      </c>
      <c r="P7" s="113">
        <f t="shared" ref="P7:P15" si="3">$C$18</f>
        <v>4275.5927861789396</v>
      </c>
      <c r="Q7" s="150">
        <f>(P7+O7)/P7-1</f>
        <v>1.8208737778043549E-2</v>
      </c>
    </row>
    <row r="8" spans="1:18" s="13" customFormat="1">
      <c r="B8" s="31" t="s">
        <v>69</v>
      </c>
      <c r="C8" s="62">
        <f>'Terminal offers'!$B$61</f>
        <v>135</v>
      </c>
      <c r="D8" s="62">
        <f>'Terminal offers'!$C$61</f>
        <v>10</v>
      </c>
      <c r="E8" s="62">
        <f>'Terminal offers'!$D$61</f>
        <v>0</v>
      </c>
      <c r="F8" s="229">
        <f>'Terminal offers'!$E$61</f>
        <v>0.3</v>
      </c>
      <c r="G8" s="23">
        <f>'Terminal offers'!$F$61</f>
        <v>1.7000000000000001E-2</v>
      </c>
      <c r="H8" s="24">
        <f>IF('Terminal offers'!$G$61&gt;0,'Terminal offers'!$G$61,'Terminal offers'!$G$68)</f>
        <v>2.3276000000000005E-2</v>
      </c>
      <c r="I8" s="24">
        <f>IF('Terminal offers'!$H$61&gt;0,'Terminal offers'!$H$61,'Terminal offers'!$H$68)</f>
        <v>2.9711000000000001E-2</v>
      </c>
      <c r="J8" s="25">
        <f>'Terminal offers'!$J$61</f>
        <v>0</v>
      </c>
      <c r="K8" s="65">
        <f t="shared" si="1"/>
        <v>3.75</v>
      </c>
      <c r="L8" s="26">
        <f t="shared" si="2"/>
        <v>10</v>
      </c>
      <c r="M8" s="66">
        <f>MAX((F8*C26)+(G8*C22), 'Terminal offers'!$I$61)</f>
        <v>59.534144566565537</v>
      </c>
      <c r="N8" s="65">
        <f>(H8*C23)+(I8*C24)</f>
        <v>16.805562708602093</v>
      </c>
      <c r="O8" s="28">
        <f t="shared" si="0"/>
        <v>90.08970727516764</v>
      </c>
      <c r="P8" s="62">
        <f t="shared" si="3"/>
        <v>4275.5927861789396</v>
      </c>
      <c r="Q8" s="151">
        <f t="shared" ref="Q8:Q13" si="4">(P8+O8)/P8-1</f>
        <v>2.1070694002101265E-2</v>
      </c>
    </row>
    <row r="9" spans="1:18" s="13" customFormat="1">
      <c r="B9" s="118" t="s">
        <v>123</v>
      </c>
      <c r="C9" s="122">
        <f>'Terminal offers'!$B$66</f>
        <v>100</v>
      </c>
      <c r="D9" s="113">
        <f>'Terminal offers'!$C$66</f>
        <v>0</v>
      </c>
      <c r="E9" s="113">
        <f>'Terminal offers'!$D$66</f>
        <v>0</v>
      </c>
      <c r="F9" s="371">
        <f>'Terminal offers'!$E$66</f>
        <v>1.95E-2</v>
      </c>
      <c r="G9" s="372"/>
      <c r="H9" s="115">
        <f>IF('Terminal offers'!$G$66&gt;0,'Terminal offers'!$G$66,'Terminal offers'!$G$68)</f>
        <v>2.3276000000000005E-2</v>
      </c>
      <c r="I9" s="115">
        <f>IF('Terminal offers'!$H$66&gt;0,'Terminal offers'!$H$66,'Terminal offers'!$H$68)</f>
        <v>2.9711000000000001E-2</v>
      </c>
      <c r="J9" s="119">
        <f>'Terminal offers'!$J$66</f>
        <v>0</v>
      </c>
      <c r="K9" s="122">
        <f t="shared" si="1"/>
        <v>2.7777777777777777</v>
      </c>
      <c r="L9" s="120">
        <f t="shared" si="2"/>
        <v>0</v>
      </c>
      <c r="M9" s="121">
        <f>F9*(C21+C22)</f>
        <v>69.611860734812595</v>
      </c>
      <c r="N9" s="116">
        <f>(H9*C23)+(I9*C24)</f>
        <v>16.805562708602093</v>
      </c>
      <c r="O9" s="117">
        <f t="shared" si="0"/>
        <v>89.195201221192463</v>
      </c>
      <c r="P9" s="113">
        <f t="shared" si="3"/>
        <v>4275.5927861789396</v>
      </c>
      <c r="Q9" s="150">
        <f t="shared" si="4"/>
        <v>2.0861481829962836E-2</v>
      </c>
    </row>
    <row r="10" spans="1:18" s="13" customFormat="1">
      <c r="B10" s="31" t="s">
        <v>54</v>
      </c>
      <c r="C10" s="224">
        <f>'Terminal offers'!$B$58</f>
        <v>0</v>
      </c>
      <c r="D10" s="62">
        <f>'Terminal offers'!$C$58</f>
        <v>13.200000000000001</v>
      </c>
      <c r="E10" s="62">
        <f>'Terminal offers'!$D$58</f>
        <v>0</v>
      </c>
      <c r="F10" s="226">
        <f>'Terminal offers'!$E$58</f>
        <v>0.27500000000000002</v>
      </c>
      <c r="G10" s="23">
        <f>'Terminal offers'!$F$58</f>
        <v>2.0900000000000002E-2</v>
      </c>
      <c r="H10" s="24">
        <f>IF('Terminal offers'!$G$58&gt;0,'Terminal offers'!$G$58,'Terminal offers'!$G$68)</f>
        <v>2.3276000000000005E-2</v>
      </c>
      <c r="I10" s="24">
        <f>IF('Terminal offers'!$H$58&gt;0,'Terminal offers'!$H$58,'Terminal offers'!$H$68)</f>
        <v>2.9711000000000001E-2</v>
      </c>
      <c r="J10" s="32">
        <f>'Terminal offers'!$J$58</f>
        <v>0</v>
      </c>
      <c r="K10" s="65">
        <f t="shared" si="1"/>
        <v>0</v>
      </c>
      <c r="L10" s="26">
        <f t="shared" si="2"/>
        <v>13.200000000000001</v>
      </c>
      <c r="M10" s="25">
        <f>(C26*F10)+(G10*C22)</f>
        <v>72.605015231863405</v>
      </c>
      <c r="N10" s="65">
        <f>(H10*C23)+(I10*C24)</f>
        <v>16.805562708602093</v>
      </c>
      <c r="O10" s="28">
        <f t="shared" si="0"/>
        <v>102.6105779404655</v>
      </c>
      <c r="P10" s="62">
        <f t="shared" si="3"/>
        <v>4275.5927861789396</v>
      </c>
      <c r="Q10" s="151">
        <f t="shared" si="4"/>
        <v>2.3999146567970309E-2</v>
      </c>
    </row>
    <row r="11" spans="1:18" s="13" customFormat="1">
      <c r="B11" s="118" t="s">
        <v>70</v>
      </c>
      <c r="C11" s="122">
        <f>'Terminal offers'!$B$65</f>
        <v>100</v>
      </c>
      <c r="D11" s="113">
        <f>'Terminal offers'!$C$65</f>
        <v>0</v>
      </c>
      <c r="E11" s="113">
        <f>'Terminal offers'!$D$65</f>
        <v>0</v>
      </c>
      <c r="F11" s="230">
        <f>'Terminal offers'!$E$65</f>
        <v>0.3</v>
      </c>
      <c r="G11" s="114">
        <f>'Terminal offers'!$F$65</f>
        <v>2.4E-2</v>
      </c>
      <c r="H11" s="115">
        <f>IF('Terminal offers'!$G$65&gt;0,'Terminal offers'!$G$65,'Terminal offers'!$G$68)</f>
        <v>2.3276000000000005E-2</v>
      </c>
      <c r="I11" s="115">
        <f>IF('Terminal offers'!$H$65&gt;0,'Terminal offers'!$H$65,'Terminal offers'!$H$68)</f>
        <v>2.9711000000000001E-2</v>
      </c>
      <c r="J11" s="119">
        <f>'Terminal offers'!$J$65</f>
        <v>0</v>
      </c>
      <c r="K11" s="122">
        <f t="shared" si="1"/>
        <v>2.7777777777777777</v>
      </c>
      <c r="L11" s="120">
        <f t="shared" si="2"/>
        <v>0</v>
      </c>
      <c r="M11" s="121">
        <f>(F11*C26)+(G11*C22)</f>
        <v>83.275400802474309</v>
      </c>
      <c r="N11" s="116">
        <f>(H11*C23)+(I11*C24)</f>
        <v>16.805562708602093</v>
      </c>
      <c r="O11" s="117">
        <f t="shared" si="0"/>
        <v>102.85874128885418</v>
      </c>
      <c r="P11" s="113">
        <f t="shared" si="3"/>
        <v>4275.5927861789396</v>
      </c>
      <c r="Q11" s="150">
        <f t="shared" si="4"/>
        <v>2.4057188425743004E-2</v>
      </c>
    </row>
    <row r="12" spans="1:18" s="13" customFormat="1">
      <c r="B12" s="31" t="s">
        <v>72</v>
      </c>
      <c r="C12" s="27">
        <f>'Terminal offers'!$B$60</f>
        <v>0</v>
      </c>
      <c r="D12" s="27">
        <f>IF(C18&gt;2000,0,10)</f>
        <v>0</v>
      </c>
      <c r="E12" s="62">
        <f>'Terminal offers'!$D$60</f>
        <v>0</v>
      </c>
      <c r="F12" s="226">
        <f>'Terminal offers'!$E$60</f>
        <v>0.25</v>
      </c>
      <c r="G12" s="23">
        <f>'Terminal offers'!$F$60</f>
        <v>1.6899999999999998E-2</v>
      </c>
      <c r="H12" s="24">
        <f>IF('Terminal offers'!$G$60&gt;0,'Terminal offers'!$G$60,'Terminal offers'!$G$68)</f>
        <v>2.3276000000000005E-2</v>
      </c>
      <c r="I12" s="24">
        <f>IF('Terminal offers'!$H$60&gt;0,'Terminal offers'!$H$60,'Terminal offers'!$H$68)</f>
        <v>2.9711000000000001E-2</v>
      </c>
      <c r="J12" s="25">
        <f>'Terminal offers'!$J$60</f>
        <v>0</v>
      </c>
      <c r="K12" s="65">
        <f t="shared" si="1"/>
        <v>0</v>
      </c>
      <c r="L12" s="26">
        <f t="shared" si="2"/>
        <v>0</v>
      </c>
      <c r="M12" s="32">
        <f>(F12*C26)+(G12*C22)</f>
        <v>58.882182430921368</v>
      </c>
      <c r="N12" s="65">
        <f>(H12*C23)+(I12*C24)</f>
        <v>16.805562708602093</v>
      </c>
      <c r="O12" s="28">
        <f t="shared" si="0"/>
        <v>75.687745139523457</v>
      </c>
      <c r="P12" s="62">
        <f t="shared" si="3"/>
        <v>4275.5927861789396</v>
      </c>
      <c r="Q12" s="151">
        <f t="shared" si="4"/>
        <v>1.770228104607785E-2</v>
      </c>
    </row>
    <row r="13" spans="1:18" s="13" customFormat="1">
      <c r="B13" s="118" t="s">
        <v>71</v>
      </c>
      <c r="C13" s="122">
        <f>'Terminal offers'!$B$62</f>
        <v>99</v>
      </c>
      <c r="D13" s="122">
        <f>'Terminal offers'!$C$62</f>
        <v>0</v>
      </c>
      <c r="E13" s="113">
        <f>'Terminal offers'!$D$62</f>
        <v>0</v>
      </c>
      <c r="F13" s="371">
        <f>'Terminal offers'!$E$62</f>
        <v>1.95E-2</v>
      </c>
      <c r="G13" s="372"/>
      <c r="H13" s="115">
        <f>IF('Terminal offers'!$G$62&gt;0,'Terminal offers'!$G$62,'Terminal offers'!$G$68)</f>
        <v>1.95E-2</v>
      </c>
      <c r="I13" s="115">
        <f>IF('Terminal offers'!$H$62&gt;0,'Terminal offers'!$H$62,'Terminal offers'!$H$68)</f>
        <v>2.9711000000000001E-2</v>
      </c>
      <c r="J13" s="119">
        <f>'Terminal offers'!$J$62</f>
        <v>0</v>
      </c>
      <c r="K13" s="122">
        <f t="shared" si="1"/>
        <v>2.75</v>
      </c>
      <c r="L13" s="120">
        <f t="shared" si="2"/>
        <v>0</v>
      </c>
      <c r="M13" s="121">
        <f>F13*(C21+C22)</f>
        <v>69.611860734812595</v>
      </c>
      <c r="N13" s="116">
        <f>(H13*C23)+(I13*C24)</f>
        <v>14.362700383814522</v>
      </c>
      <c r="O13" s="117">
        <f t="shared" si="0"/>
        <v>86.724561118627122</v>
      </c>
      <c r="P13" s="113">
        <f t="shared" si="3"/>
        <v>4275.5927861789396</v>
      </c>
      <c r="Q13" s="150">
        <f t="shared" si="4"/>
        <v>2.0283634446893295E-2</v>
      </c>
    </row>
    <row r="14" spans="1:18" s="13" customFormat="1">
      <c r="B14" s="31" t="s">
        <v>5</v>
      </c>
      <c r="C14" s="27">
        <f>'Terminal offers'!$B$64</f>
        <v>59</v>
      </c>
      <c r="D14" s="62">
        <f>'Terminal offers'!$C$64</f>
        <v>0</v>
      </c>
      <c r="E14" s="62">
        <f>'Terminal offers'!$D$64</f>
        <v>0</v>
      </c>
      <c r="F14" s="353">
        <f>'Terminal offers'!$E$64</f>
        <v>1.9E-2</v>
      </c>
      <c r="G14" s="354"/>
      <c r="H14" s="24">
        <f>IF('Terminal offers'!$G$64&gt;0,'Terminal offers'!$G$64,'Terminal offers'!$G$68)</f>
        <v>1.9E-2</v>
      </c>
      <c r="I14" s="24">
        <f>IF('Terminal offers'!$H$64&gt;0,'Terminal offers'!$H$64,'Terminal offers'!$H$68)</f>
        <v>2.9711000000000001E-2</v>
      </c>
      <c r="J14" s="25">
        <f>'Terminal offers'!$J$64</f>
        <v>0</v>
      </c>
      <c r="K14" s="65">
        <f t="shared" si="1"/>
        <v>1.6388888888888888</v>
      </c>
      <c r="L14" s="26">
        <f t="shared" si="2"/>
        <v>0</v>
      </c>
      <c r="M14" s="25">
        <f>F14*(C21+C22)</f>
        <v>67.826941228791753</v>
      </c>
      <c r="N14" s="65">
        <f>(H14*C23)+(I14*C24)</f>
        <v>14.039228148011082</v>
      </c>
      <c r="O14" s="28">
        <f t="shared" si="0"/>
        <v>83.505058265691716</v>
      </c>
      <c r="P14" s="62">
        <f t="shared" si="3"/>
        <v>4275.5927861789396</v>
      </c>
      <c r="Q14" s="151">
        <f>(P14+O14)/P14-1</f>
        <v>1.9530638777300213E-2</v>
      </c>
    </row>
    <row r="15" spans="1:18" s="13" customFormat="1">
      <c r="B15" s="137" t="s">
        <v>59</v>
      </c>
      <c r="C15" s="131">
        <f>'Terminal offers'!$B$63</f>
        <v>0</v>
      </c>
      <c r="D15" s="131">
        <f>'Terminal offers'!$C$63</f>
        <v>25.3</v>
      </c>
      <c r="E15" s="140">
        <f>'Terminal offers'!$D$63</f>
        <v>0</v>
      </c>
      <c r="F15" s="231">
        <f>'Terminal offers'!$E$63</f>
        <v>0.30800000000000005</v>
      </c>
      <c r="G15" s="232">
        <f>'Terminal offers'!$F$63</f>
        <v>2.0020000000000003E-2</v>
      </c>
      <c r="H15" s="128">
        <f>IF('Terminal offers'!$G$63&gt;0,'Terminal offers'!$G$63,'Terminal offers'!$G$68)</f>
        <v>2.3276000000000005E-2</v>
      </c>
      <c r="I15" s="128">
        <f>IF('Terminal offers'!$H$63&gt;0,'Terminal offers'!$H$63,'Terminal offers'!$H$68)</f>
        <v>2.9711000000000001E-2</v>
      </c>
      <c r="J15" s="129">
        <f>'Terminal offers'!$J$63</f>
        <v>0</v>
      </c>
      <c r="K15" s="131">
        <f t="shared" si="1"/>
        <v>0</v>
      </c>
      <c r="L15" s="130">
        <f t="shared" si="2"/>
        <v>25.3</v>
      </c>
      <c r="M15" s="138">
        <f>((F15*C26)+(G15*C22))</f>
        <v>69.826849041507174</v>
      </c>
      <c r="N15" s="139">
        <f>(H15*C23)+(I15*C24)</f>
        <v>16.805562708602093</v>
      </c>
      <c r="O15" s="132">
        <f t="shared" si="0"/>
        <v>111.93241175010927</v>
      </c>
      <c r="P15" s="140">
        <f t="shared" si="3"/>
        <v>4275.5927861789396</v>
      </c>
      <c r="Q15" s="152">
        <f>(P15+O15)/P15-1</f>
        <v>2.6179390168291183E-2</v>
      </c>
    </row>
    <row r="16" spans="1:18" s="13" customFormat="1">
      <c r="B16" s="67"/>
      <c r="C16" s="15"/>
      <c r="D16" s="16"/>
      <c r="E16" s="16"/>
      <c r="F16" s="16"/>
      <c r="G16" s="16"/>
      <c r="H16" s="16"/>
      <c r="I16" s="16"/>
      <c r="J16" s="15"/>
      <c r="K16" s="15"/>
      <c r="L16" s="15"/>
      <c r="M16" s="15"/>
      <c r="N16" s="15"/>
      <c r="O16" s="15"/>
      <c r="P16" s="134" t="s">
        <v>13</v>
      </c>
      <c r="Q16" s="144">
        <f>AVERAGE(Q6:Q15)</f>
        <v>2.1567687885224139E-2</v>
      </c>
    </row>
    <row r="17" spans="1:18" s="13" customFormat="1">
      <c r="B17" s="40" t="s">
        <v>108</v>
      </c>
      <c r="C17" s="41"/>
      <c r="D17" s="16"/>
      <c r="E17" s="16"/>
      <c r="F17" s="16"/>
      <c r="G17" s="16"/>
      <c r="H17" s="16"/>
      <c r="I17" s="16"/>
      <c r="J17" s="15"/>
      <c r="K17" s="15"/>
      <c r="L17" s="15"/>
      <c r="M17" s="15"/>
      <c r="N17" s="15"/>
      <c r="O17" s="15"/>
      <c r="P17" s="135" t="s">
        <v>17</v>
      </c>
      <c r="Q17" s="145">
        <f>MIN(Q6:Q15)</f>
        <v>1.770228104607785E-2</v>
      </c>
    </row>
    <row r="18" spans="1:18" s="13" customFormat="1">
      <c r="B18" s="42" t="s">
        <v>33</v>
      </c>
      <c r="C18" s="43">
        <f>'8. Monthly revenue and trips'!C6</f>
        <v>4275.5927861789396</v>
      </c>
      <c r="D18" s="16"/>
      <c r="E18" s="16"/>
      <c r="F18" s="16"/>
      <c r="G18" s="16"/>
      <c r="H18" s="16"/>
      <c r="I18" s="16"/>
      <c r="J18" s="15"/>
      <c r="K18" s="15"/>
      <c r="L18" s="15"/>
      <c r="M18" s="15"/>
      <c r="N18" s="15"/>
      <c r="O18" s="15"/>
      <c r="P18" s="136" t="s">
        <v>18</v>
      </c>
      <c r="Q18" s="146">
        <f>MAX(Q6:Q15)</f>
        <v>2.6179390168291183E-2</v>
      </c>
    </row>
    <row r="19" spans="1:18" s="13" customFormat="1">
      <c r="B19" s="42" t="s">
        <v>21</v>
      </c>
      <c r="C19" s="45">
        <f>'8. Monthly revenue and trips'!C4</f>
        <v>28.489485170139162</v>
      </c>
      <c r="D19" s="16"/>
      <c r="E19" s="50"/>
      <c r="F19" s="68"/>
      <c r="G19" s="16"/>
      <c r="H19" s="16"/>
      <c r="I19" s="16"/>
      <c r="J19" s="15"/>
      <c r="K19" s="15"/>
      <c r="L19" s="15"/>
      <c r="M19" s="15"/>
      <c r="N19" s="15"/>
      <c r="O19" s="15"/>
      <c r="P19" s="15"/>
      <c r="Q19" s="15"/>
    </row>
    <row r="20" spans="1:18">
      <c r="A20" s="13"/>
      <c r="B20" s="42"/>
      <c r="C20" s="45"/>
      <c r="D20" s="16"/>
      <c r="E20" s="50"/>
      <c r="F20" s="68"/>
      <c r="G20" s="16"/>
      <c r="H20" s="16"/>
      <c r="I20" s="16"/>
      <c r="J20" s="15"/>
      <c r="K20" s="15"/>
      <c r="L20" s="15"/>
      <c r="M20" s="15"/>
      <c r="N20" s="15"/>
      <c r="O20" s="15"/>
      <c r="P20" s="15"/>
      <c r="Q20" s="15"/>
      <c r="R20" s="13"/>
    </row>
    <row r="21" spans="1:18">
      <c r="A21" s="13"/>
      <c r="B21" s="42" t="s">
        <v>34</v>
      </c>
      <c r="C21" s="43">
        <f>'8. Monthly revenue and trips'!C7</f>
        <v>178.23097834041658</v>
      </c>
      <c r="D21" s="15"/>
      <c r="E21" s="15"/>
      <c r="F21" s="16"/>
      <c r="G21" s="15"/>
      <c r="H21" s="15"/>
      <c r="I21" s="15"/>
      <c r="J21" s="15"/>
      <c r="K21" s="15"/>
      <c r="L21" s="15"/>
      <c r="M21" s="15"/>
      <c r="N21" s="15"/>
      <c r="O21" s="15"/>
      <c r="P21" s="15"/>
      <c r="Q21" s="15"/>
      <c r="R21" s="13"/>
    </row>
    <row r="22" spans="1:18">
      <c r="A22" s="13"/>
      <c r="B22" s="42" t="s">
        <v>197</v>
      </c>
      <c r="C22" s="43">
        <f>'8. Monthly revenue and trips'!C8</f>
        <v>3391.608033701255</v>
      </c>
      <c r="D22" s="15"/>
      <c r="E22" s="15"/>
      <c r="F22" s="16"/>
      <c r="G22" s="16"/>
      <c r="H22" s="16"/>
      <c r="I22" s="16"/>
      <c r="J22" s="15"/>
      <c r="K22" s="15"/>
      <c r="L22" s="15"/>
      <c r="M22" s="15"/>
      <c r="N22" s="15"/>
      <c r="O22" s="15"/>
      <c r="P22" s="15"/>
      <c r="Q22" s="15"/>
      <c r="R22" s="13"/>
    </row>
    <row r="23" spans="1:18">
      <c r="A23" s="13"/>
      <c r="B23" s="42" t="s">
        <v>39</v>
      </c>
      <c r="C23" s="43">
        <f>'8. Monthly revenue and trips'!C9</f>
        <v>646.94447160687764</v>
      </c>
      <c r="D23" s="15"/>
      <c r="E23" s="15"/>
      <c r="F23" s="16"/>
      <c r="G23" s="16"/>
      <c r="H23" s="16"/>
      <c r="I23" s="16"/>
      <c r="J23" s="15"/>
      <c r="K23" s="15"/>
      <c r="L23" s="15"/>
      <c r="M23" s="15"/>
      <c r="N23" s="15"/>
      <c r="O23" s="15"/>
      <c r="P23" s="15"/>
      <c r="Q23" s="15"/>
      <c r="R23" s="13"/>
    </row>
    <row r="24" spans="1:18">
      <c r="A24" s="13"/>
      <c r="B24" s="42" t="s">
        <v>114</v>
      </c>
      <c r="C24" s="43">
        <f>'8. Monthly revenue and trips'!C10</f>
        <v>58.809302530389644</v>
      </c>
      <c r="D24" s="15"/>
      <c r="E24" s="15"/>
      <c r="F24" s="16"/>
      <c r="G24" s="16"/>
      <c r="H24" s="16"/>
      <c r="I24" s="16"/>
      <c r="J24" s="15"/>
      <c r="K24" s="15"/>
      <c r="L24" s="15"/>
      <c r="M24" s="15"/>
      <c r="N24" s="15"/>
      <c r="O24" s="15"/>
      <c r="P24" s="15"/>
      <c r="Q24" s="15"/>
      <c r="R24" s="13"/>
    </row>
    <row r="25" spans="1:18">
      <c r="A25" s="13"/>
      <c r="B25" s="42"/>
      <c r="C25" s="46"/>
      <c r="D25" s="15"/>
      <c r="E25" s="15"/>
      <c r="F25" s="16"/>
      <c r="G25" s="16"/>
      <c r="H25" s="16"/>
      <c r="I25" s="16"/>
      <c r="J25" s="15"/>
      <c r="K25" s="15"/>
      <c r="L25" s="15"/>
      <c r="M25" s="15"/>
      <c r="N25" s="15"/>
      <c r="O25" s="15"/>
      <c r="P25" s="15"/>
      <c r="Q25" s="15"/>
      <c r="R25" s="13"/>
    </row>
    <row r="26" spans="1:18">
      <c r="A26" s="13"/>
      <c r="B26" s="42" t="s">
        <v>38</v>
      </c>
      <c r="C26" s="253">
        <f>'8. Monthly revenue and trips'!C13</f>
        <v>6.2560266454806559</v>
      </c>
      <c r="D26" s="16"/>
      <c r="E26" s="16"/>
      <c r="F26" s="16"/>
      <c r="G26" s="16"/>
      <c r="H26" s="16"/>
      <c r="I26" s="16"/>
      <c r="J26" s="15"/>
      <c r="K26" s="15"/>
      <c r="L26" s="15"/>
      <c r="M26" s="15"/>
      <c r="N26" s="15"/>
      <c r="O26" s="15"/>
      <c r="P26" s="15"/>
      <c r="Q26" s="15"/>
      <c r="R26" s="13"/>
    </row>
    <row r="27" spans="1:18">
      <c r="A27" s="13"/>
      <c r="B27" s="42" t="s">
        <v>198</v>
      </c>
      <c r="C27" s="253">
        <f>'8. Monthly revenue and trips'!C14</f>
        <v>119.04771228565826</v>
      </c>
      <c r="D27" s="15"/>
      <c r="E27" s="15"/>
      <c r="F27" s="15"/>
      <c r="G27" s="15"/>
      <c r="H27" s="15"/>
      <c r="I27" s="15"/>
      <c r="J27" s="15"/>
      <c r="K27" s="15"/>
      <c r="L27" s="15"/>
      <c r="M27" s="15"/>
      <c r="N27" s="15"/>
      <c r="O27" s="15"/>
      <c r="P27" s="15"/>
      <c r="Q27" s="15"/>
      <c r="R27" s="13"/>
    </row>
    <row r="28" spans="1:18">
      <c r="A28" s="13"/>
      <c r="B28" s="42" t="s">
        <v>41</v>
      </c>
      <c r="C28" s="253">
        <f>'8. Monthly revenue and trips'!C21</f>
        <v>0.15131105883098991</v>
      </c>
      <c r="D28" s="15"/>
      <c r="E28" s="15"/>
      <c r="F28" s="16"/>
      <c r="G28" s="15"/>
      <c r="H28" s="15"/>
      <c r="I28" s="15"/>
      <c r="J28" s="15"/>
      <c r="K28" s="15"/>
      <c r="L28" s="15"/>
      <c r="M28" s="15"/>
      <c r="N28" s="15"/>
      <c r="O28" s="15"/>
      <c r="P28" s="15"/>
      <c r="Q28" s="15"/>
      <c r="R28" s="13"/>
    </row>
    <row r="29" spans="1:18" ht="12.75" customHeight="1">
      <c r="A29" s="13"/>
      <c r="B29" s="44" t="s">
        <v>113</v>
      </c>
      <c r="C29" s="254">
        <f>'8. Monthly revenue and trips'!C16</f>
        <v>2.0642458850758652</v>
      </c>
      <c r="D29" s="15"/>
      <c r="E29" s="15"/>
      <c r="F29" s="16"/>
      <c r="G29" s="15"/>
      <c r="H29" s="15"/>
      <c r="I29" s="15"/>
      <c r="J29" s="15"/>
      <c r="K29" s="15"/>
      <c r="L29" s="15"/>
      <c r="M29" s="15"/>
      <c r="N29" s="15"/>
      <c r="O29" s="15"/>
      <c r="P29" s="15"/>
      <c r="Q29" s="15"/>
      <c r="R29" s="13"/>
    </row>
    <row r="30" spans="1:18">
      <c r="A30" s="13"/>
      <c r="B30" s="13"/>
      <c r="C30" s="13"/>
      <c r="D30" s="14"/>
      <c r="E30" s="14"/>
      <c r="F30" s="14"/>
      <c r="G30" s="14"/>
      <c r="H30" s="14"/>
      <c r="I30" s="14"/>
      <c r="J30" s="13"/>
      <c r="K30" s="13"/>
      <c r="L30" s="13"/>
      <c r="M30" s="13"/>
      <c r="N30" s="13"/>
      <c r="O30" s="13"/>
      <c r="P30" s="13"/>
      <c r="Q30" s="13"/>
      <c r="R30" s="13"/>
    </row>
    <row r="31" spans="1:18">
      <c r="A31" s="13"/>
      <c r="B31" s="13"/>
      <c r="C31" s="13"/>
      <c r="D31" s="14"/>
      <c r="E31" s="14"/>
      <c r="F31" s="14"/>
      <c r="G31" s="14"/>
      <c r="H31" s="14"/>
      <c r="I31" s="14"/>
      <c r="J31" s="13"/>
      <c r="K31" s="13"/>
      <c r="L31" s="13"/>
      <c r="M31" s="13"/>
      <c r="N31" s="13"/>
      <c r="O31" s="13"/>
      <c r="P31" s="13"/>
      <c r="Q31" s="13"/>
      <c r="R31" s="13"/>
    </row>
  </sheetData>
  <mergeCells count="8">
    <mergeCell ref="F13:G13"/>
    <mergeCell ref="F14:G14"/>
    <mergeCell ref="B2:Q2"/>
    <mergeCell ref="C4:J4"/>
    <mergeCell ref="K4:O4"/>
    <mergeCell ref="Q4:Q5"/>
    <mergeCell ref="F7:G7"/>
    <mergeCell ref="F9:G9"/>
  </mergeCells>
  <pageMargins left="0.7" right="0.7" top="0.75" bottom="0.75" header="0.3" footer="0.3"/>
  <pageSetup paperSize="8" scale="66"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W143"/>
  <sheetViews>
    <sheetView zoomScale="85" zoomScaleNormal="85" workbookViewId="0"/>
  </sheetViews>
  <sheetFormatPr defaultColWidth="0" defaultRowHeight="12" zeroHeight="1"/>
  <cols>
    <col min="1" max="1" width="3.7109375" style="13" customWidth="1"/>
    <col min="2" max="2" width="30.28515625" style="2" customWidth="1"/>
    <col min="3" max="8" width="17" style="1" customWidth="1"/>
    <col min="9" max="15" width="17" style="2" customWidth="1"/>
    <col min="16" max="16" width="3.7109375" style="13" customWidth="1"/>
    <col min="17" max="17" width="22.42578125" style="2" hidden="1" customWidth="1"/>
    <col min="18" max="18" width="11.5703125" style="2" hidden="1" customWidth="1"/>
    <col min="19" max="19" width="16" style="2" hidden="1" customWidth="1"/>
    <col min="20" max="21" width="9.140625" style="2" hidden="1" customWidth="1"/>
    <col min="22" max="22" width="21.7109375" style="2" hidden="1" customWidth="1"/>
    <col min="23" max="23" width="19.28515625" style="2" hidden="1" customWidth="1"/>
    <col min="24" max="16384" width="9.140625" style="2" hidden="1"/>
  </cols>
  <sheetData>
    <row r="1" spans="2:18">
      <c r="B1" s="13"/>
      <c r="C1" s="14"/>
      <c r="D1" s="14"/>
      <c r="E1" s="14"/>
      <c r="F1" s="14"/>
      <c r="G1" s="14"/>
      <c r="H1" s="14"/>
      <c r="I1" s="13"/>
      <c r="J1" s="13"/>
      <c r="K1" s="13"/>
      <c r="L1" s="13"/>
      <c r="M1" s="13"/>
      <c r="N1" s="13"/>
      <c r="O1" s="13"/>
    </row>
    <row r="2" spans="2:18" ht="27" customHeight="1">
      <c r="B2" s="355" t="s">
        <v>91</v>
      </c>
      <c r="C2" s="356"/>
      <c r="D2" s="356"/>
      <c r="E2" s="356"/>
      <c r="F2" s="356"/>
      <c r="G2" s="356"/>
      <c r="H2" s="356"/>
      <c r="I2" s="356"/>
      <c r="J2" s="356"/>
      <c r="K2" s="356"/>
      <c r="L2" s="356"/>
      <c r="M2" s="356"/>
      <c r="N2" s="356"/>
      <c r="O2" s="357"/>
    </row>
    <row r="3" spans="2:18">
      <c r="B3" s="15"/>
      <c r="C3" s="16"/>
      <c r="D3" s="16"/>
      <c r="E3" s="16"/>
      <c r="F3" s="16"/>
      <c r="G3" s="16"/>
      <c r="H3" s="16"/>
      <c r="I3" s="15"/>
      <c r="J3" s="15"/>
      <c r="K3" s="15"/>
      <c r="L3" s="15"/>
      <c r="M3" s="15"/>
      <c r="N3" s="15"/>
      <c r="O3" s="15"/>
    </row>
    <row r="4" spans="2:18" ht="28.5" customHeight="1">
      <c r="B4" s="375" t="s">
        <v>109</v>
      </c>
      <c r="C4" s="376"/>
      <c r="D4" s="376"/>
      <c r="E4" s="376"/>
      <c r="F4" s="376"/>
      <c r="G4" s="376"/>
      <c r="H4" s="376"/>
      <c r="I4" s="376"/>
      <c r="J4" s="376"/>
      <c r="K4" s="376"/>
      <c r="L4" s="376"/>
      <c r="M4" s="376"/>
      <c r="N4" s="376"/>
      <c r="O4" s="377"/>
    </row>
    <row r="5" spans="2:18">
      <c r="B5" s="15"/>
      <c r="C5" s="16"/>
      <c r="D5" s="16"/>
      <c r="E5" s="16"/>
      <c r="F5" s="16"/>
      <c r="G5" s="16"/>
      <c r="H5" s="16"/>
      <c r="I5" s="15"/>
      <c r="J5" s="15"/>
      <c r="K5" s="15"/>
      <c r="L5" s="15"/>
      <c r="M5" s="15"/>
      <c r="N5" s="15"/>
      <c r="O5" s="15"/>
    </row>
    <row r="6" spans="2:18" ht="12" customHeight="1">
      <c r="B6" s="17"/>
      <c r="C6" s="358" t="s">
        <v>10</v>
      </c>
      <c r="D6" s="359"/>
      <c r="E6" s="359"/>
      <c r="F6" s="359"/>
      <c r="G6" s="359"/>
      <c r="H6" s="359"/>
      <c r="I6" s="360"/>
      <c r="J6" s="361" t="s">
        <v>101</v>
      </c>
      <c r="K6" s="362"/>
      <c r="L6" s="362"/>
      <c r="M6" s="363"/>
      <c r="N6" s="18" t="s">
        <v>8</v>
      </c>
      <c r="O6" s="351" t="s">
        <v>104</v>
      </c>
    </row>
    <row r="7" spans="2:18" ht="33.75">
      <c r="B7" s="73" t="s">
        <v>25</v>
      </c>
      <c r="C7" s="20" t="s">
        <v>20</v>
      </c>
      <c r="D7" s="20" t="s">
        <v>19</v>
      </c>
      <c r="E7" s="20" t="s">
        <v>94</v>
      </c>
      <c r="F7" s="72" t="s">
        <v>102</v>
      </c>
      <c r="G7" s="20" t="s">
        <v>95</v>
      </c>
      <c r="H7" s="20" t="s">
        <v>96</v>
      </c>
      <c r="I7" s="71" t="s">
        <v>14</v>
      </c>
      <c r="J7" s="20" t="s">
        <v>16</v>
      </c>
      <c r="K7" s="20" t="s">
        <v>103</v>
      </c>
      <c r="L7" s="20" t="s">
        <v>99</v>
      </c>
      <c r="M7" s="72" t="s">
        <v>15</v>
      </c>
      <c r="N7" s="20" t="s">
        <v>100</v>
      </c>
      <c r="O7" s="352"/>
      <c r="Q7" s="3"/>
      <c r="R7" s="3"/>
    </row>
    <row r="8" spans="2:18">
      <c r="B8" s="21" t="str">
        <f>'Terminal offers'!$A$3</f>
        <v>ANZ</v>
      </c>
      <c r="C8" s="22">
        <f>'Terminal offers'!$C$3</f>
        <v>40</v>
      </c>
      <c r="D8" s="22">
        <f>'Terminal offers'!$D$3</f>
        <v>0</v>
      </c>
      <c r="E8" s="225">
        <f>'Terminal offers'!$E$3</f>
        <v>0.25</v>
      </c>
      <c r="F8" s="23">
        <f>'Terminal offers'!$F$3</f>
        <v>8.0000000000000002E-3</v>
      </c>
      <c r="G8" s="24">
        <f>IF('Terminal offers'!$G$3&gt;0,'Terminal offers'!$G$3,'Terminal offers'!$G$68)</f>
        <v>2.3276000000000005E-2</v>
      </c>
      <c r="H8" s="24">
        <f>IF('Terminal offers'!$H$3&gt;0,'Terminal offers'!$H$3,'Terminal offers'!$H$68)</f>
        <v>2.9711000000000001E-2</v>
      </c>
      <c r="I8" s="25">
        <f>'Terminal offers'!$J$3</f>
        <v>0</v>
      </c>
      <c r="J8" s="111">
        <f t="shared" ref="J8:J21" si="0">C8+I8</f>
        <v>40</v>
      </c>
      <c r="K8" s="27">
        <f>MAX((E8*C32)+(F8*C28),  'Terminal offers'!I3)</f>
        <v>30.131714477529222</v>
      </c>
      <c r="L8" s="27">
        <f>(G8*C29)+(H8*C30)</f>
        <v>17.6458408440322</v>
      </c>
      <c r="M8" s="28">
        <f>SUM(J8:L8)</f>
        <v>87.777555321561408</v>
      </c>
      <c r="N8" s="29">
        <f>$C$24</f>
        <v>4489.3724254878871</v>
      </c>
      <c r="O8" s="110">
        <f>(N8+M8)/N8-1</f>
        <v>1.9552299743103241E-2</v>
      </c>
    </row>
    <row r="9" spans="2:18">
      <c r="B9" s="118" t="str">
        <f>'Terminal offers'!$A$19</f>
        <v>Commonwealth Bank</v>
      </c>
      <c r="C9" s="123">
        <f>'Terminal offers'!$C$19</f>
        <v>60</v>
      </c>
      <c r="D9" s="123">
        <f>'Terminal offers'!$D$19</f>
        <v>3000</v>
      </c>
      <c r="E9" s="371">
        <f>'Terminal offers'!$E$19</f>
        <v>1.4999999999999999E-2</v>
      </c>
      <c r="F9" s="372"/>
      <c r="G9" s="115">
        <f>IF('Terminal offers'!$G$19&gt;0,'Terminal offers'!$G$19,'Terminal offers'!$G$68)</f>
        <v>2.3276000000000005E-2</v>
      </c>
      <c r="H9" s="115">
        <f>IF('Terminal offers'!$H$19&gt;0,'Terminal offers'!$H$19,'Terminal offers'!$H$68)</f>
        <v>2.9711000000000001E-2</v>
      </c>
      <c r="I9" s="121">
        <f>'Terminal offers'!$J$19</f>
        <v>0</v>
      </c>
      <c r="J9" s="43">
        <f t="shared" si="0"/>
        <v>60</v>
      </c>
      <c r="K9" s="122">
        <f>IF((C27+C28)&lt;=D9, 0, E9*((C27+C28)-D9))</f>
        <v>11.224964439656336</v>
      </c>
      <c r="L9" s="122">
        <f>(G9*C29)+(H9*C30)</f>
        <v>17.6458408440322</v>
      </c>
      <c r="M9" s="117">
        <f>SUM(J9:L9)</f>
        <v>88.870805283688526</v>
      </c>
      <c r="N9" s="124">
        <f t="shared" ref="N9:N21" si="1">$C$24</f>
        <v>4489.3724254878871</v>
      </c>
      <c r="O9" s="141">
        <f>(N9+M9)/N9-1</f>
        <v>1.9795819295172379E-2</v>
      </c>
    </row>
    <row r="10" spans="2:18">
      <c r="B10" s="31" t="str">
        <f>'Terminal offers'!$A$35</f>
        <v>NAB</v>
      </c>
      <c r="C10" s="22">
        <f>'Terminal offers'!$C$35</f>
        <v>40</v>
      </c>
      <c r="D10" s="22">
        <f>'Terminal offers'!$D$35</f>
        <v>1500</v>
      </c>
      <c r="E10" s="353">
        <f>'Terminal offers'!$E$35</f>
        <v>1.4999999999999999E-2</v>
      </c>
      <c r="F10" s="354"/>
      <c r="G10" s="24">
        <f>IF('Terminal offers'!$G$35&gt;0,'Terminal offers'!$G$35,'Terminal offers'!$G$68)</f>
        <v>2.3276000000000005E-2</v>
      </c>
      <c r="H10" s="24">
        <f>IF('Terminal offers'!$H$35&gt;0,'Terminal offers'!$H$35,'Terminal offers'!$H$68)</f>
        <v>2.9711000000000001E-2</v>
      </c>
      <c r="I10" s="25">
        <f>'Terminal offers'!$J$35</f>
        <v>0</v>
      </c>
      <c r="J10" s="111">
        <f t="shared" si="0"/>
        <v>40</v>
      </c>
      <c r="K10" s="33">
        <f>IF((C27+C28)&lt;=D10, 0, E10*((C27+C28)-D10))</f>
        <v>33.724964439656333</v>
      </c>
      <c r="L10" s="27">
        <f>(G10*C29)+(H10*C30)</f>
        <v>17.6458408440322</v>
      </c>
      <c r="M10" s="28">
        <f t="shared" ref="M10:M21" si="2">SUM(J10:L10)</f>
        <v>91.370805283688526</v>
      </c>
      <c r="N10" s="29">
        <f t="shared" si="1"/>
        <v>4489.3724254878871</v>
      </c>
      <c r="O10" s="30">
        <f t="shared" ref="O10:O20" si="3">(N10+M10)/N10-1</f>
        <v>2.0352690002936935E-2</v>
      </c>
    </row>
    <row r="11" spans="2:18">
      <c r="B11" s="112" t="str">
        <f>'Terminal offers'!$A$51</f>
        <v>Westpac</v>
      </c>
      <c r="C11" s="123">
        <f>'Terminal offers'!$C$51</f>
        <v>55</v>
      </c>
      <c r="D11" s="123">
        <f>'Terminal offers'!$D$51</f>
        <v>3500</v>
      </c>
      <c r="E11" s="371">
        <f>'Terminal offers'!$E$51</f>
        <v>1.4999999999999999E-2</v>
      </c>
      <c r="F11" s="372"/>
      <c r="G11" s="115">
        <f>IF('Terminal offers'!$G$51&gt;0,'Terminal offers'!$G$51,'Terminal offers'!$G$68)</f>
        <v>2.3276000000000005E-2</v>
      </c>
      <c r="H11" s="115">
        <f>IF('Terminal offers'!$H$51&gt;0,'Terminal offers'!$H$51,'Terminal offers'!$H$68)</f>
        <v>2.9711000000000001E-2</v>
      </c>
      <c r="I11" s="119">
        <f>'Terminal offers'!$J$51</f>
        <v>0</v>
      </c>
      <c r="J11" s="43">
        <f t="shared" si="0"/>
        <v>55</v>
      </c>
      <c r="K11" s="122">
        <f>IF((C27+C28)&lt;=D11, 0, E11*((C27+C28)-D11))</f>
        <v>3.7249644396563371</v>
      </c>
      <c r="L11" s="122">
        <f>(G11*C29)+(H11*C30)</f>
        <v>17.6458408440322</v>
      </c>
      <c r="M11" s="117">
        <f t="shared" si="2"/>
        <v>76.37080528368854</v>
      </c>
      <c r="N11" s="124">
        <f t="shared" si="1"/>
        <v>4489.3724254878871</v>
      </c>
      <c r="O11" s="141">
        <f t="shared" si="3"/>
        <v>1.701146575634982E-2</v>
      </c>
    </row>
    <row r="12" spans="2:18">
      <c r="B12" s="21" t="str">
        <f>'Terminal offers'!$A$4</f>
        <v>Bank of Melbourne</v>
      </c>
      <c r="C12" s="22">
        <f>'Terminal offers'!$C$4</f>
        <v>55</v>
      </c>
      <c r="D12" s="22">
        <f>'Terminal offers'!$D$4</f>
        <v>3500</v>
      </c>
      <c r="E12" s="353">
        <f>'Terminal offers'!$E$4</f>
        <v>1.4999999999999999E-2</v>
      </c>
      <c r="F12" s="354"/>
      <c r="G12" s="24">
        <f>IF('Terminal offers'!$G$4&gt;0,'Terminal offers'!$G$4,'Terminal offers'!$G$68)</f>
        <v>2.3276000000000005E-2</v>
      </c>
      <c r="H12" s="24">
        <f>IF('Terminal offers'!$H$4&gt;0,'Terminal offers'!$H$4,'Terminal offers'!$H$68)</f>
        <v>2.9711000000000001E-2</v>
      </c>
      <c r="I12" s="25">
        <f>'Terminal offers'!$J$4</f>
        <v>10</v>
      </c>
      <c r="J12" s="111">
        <f>C12+I12</f>
        <v>65</v>
      </c>
      <c r="K12" s="27">
        <f>IF((C27+C28)&lt;=D12, 0, E12*((C27+C28)-D12))</f>
        <v>3.7249644396563371</v>
      </c>
      <c r="L12" s="27">
        <f>(G12*C29)+(H12*C30)</f>
        <v>17.6458408440322</v>
      </c>
      <c r="M12" s="28">
        <f t="shared" si="2"/>
        <v>86.370805283688526</v>
      </c>
      <c r="N12" s="29">
        <f t="shared" si="1"/>
        <v>4489.3724254878871</v>
      </c>
      <c r="O12" s="30">
        <f t="shared" si="3"/>
        <v>1.9238948587407823E-2</v>
      </c>
    </row>
    <row r="13" spans="2:18">
      <c r="B13" s="112" t="str">
        <f>'Terminal offers'!$A$9</f>
        <v>Bank SA</v>
      </c>
      <c r="C13" s="123">
        <f>'Terminal offers'!$C$9</f>
        <v>55</v>
      </c>
      <c r="D13" s="123">
        <f>'Terminal offers'!$D$9</f>
        <v>3500</v>
      </c>
      <c r="E13" s="371">
        <f>'Terminal offers'!$E$9</f>
        <v>1.4999999999999999E-2</v>
      </c>
      <c r="F13" s="372"/>
      <c r="G13" s="115">
        <f>IF('Terminal offers'!$G$9&gt;0,'Terminal offers'!$G$9,'Terminal offers'!$G$68)</f>
        <v>2.3276000000000005E-2</v>
      </c>
      <c r="H13" s="115">
        <f>IF('Terminal offers'!$H$9&gt;0,'Terminal offers'!$H$9,'Terminal offers'!$H$68)</f>
        <v>2.9711000000000001E-2</v>
      </c>
      <c r="I13" s="119">
        <f>'Terminal offers'!$J$9</f>
        <v>10</v>
      </c>
      <c r="J13" s="43">
        <f t="shared" si="0"/>
        <v>65</v>
      </c>
      <c r="K13" s="122">
        <f>IF((C27+C28)&lt;=D13, 0, E13*((C27+C28)-D13))</f>
        <v>3.7249644396563371</v>
      </c>
      <c r="L13" s="122">
        <f>(G13*C29)+(H13*C30)</f>
        <v>17.6458408440322</v>
      </c>
      <c r="M13" s="117">
        <f t="shared" si="2"/>
        <v>86.370805283688526</v>
      </c>
      <c r="N13" s="124">
        <f t="shared" si="1"/>
        <v>4489.3724254878871</v>
      </c>
      <c r="O13" s="141">
        <f t="shared" si="3"/>
        <v>1.9238948587407823E-2</v>
      </c>
    </row>
    <row r="14" spans="2:18">
      <c r="B14" s="21" t="str">
        <f>'Terminal offers'!$A$18</f>
        <v>Bendigo Bank</v>
      </c>
      <c r="C14" s="22">
        <f>'Terminal offers'!$C$18</f>
        <v>33</v>
      </c>
      <c r="D14" s="22">
        <f>'Terminal offers'!$D$18</f>
        <v>0</v>
      </c>
      <c r="E14" s="226">
        <f>'Terminal offers'!$E$18</f>
        <v>0.27500000000000002</v>
      </c>
      <c r="F14" s="23">
        <f>'Terminal offers'!$F$18</f>
        <v>1.3750000000000002E-2</v>
      </c>
      <c r="G14" s="24">
        <f>IF('Terminal offers'!$G$18&gt;0,'Terminal offers'!$G$18,'Terminal offers'!$G$68)</f>
        <v>2.3276000000000005E-2</v>
      </c>
      <c r="H14" s="24">
        <f>IF('Terminal offers'!$H$18&gt;0,'Terminal offers'!$H$18,'Terminal offers'!$H$68)</f>
        <v>2.9711000000000001E-2</v>
      </c>
      <c r="I14" s="32">
        <f>'Terminal offers'!$J$18</f>
        <v>0</v>
      </c>
      <c r="J14" s="111">
        <f t="shared" si="0"/>
        <v>33</v>
      </c>
      <c r="K14" s="26">
        <f>(C32*E14)+(C28*F14)</f>
        <v>50.772768680444422</v>
      </c>
      <c r="L14" s="27">
        <f>(G14*C29)+(H14*C30)</f>
        <v>17.6458408440322</v>
      </c>
      <c r="M14" s="28">
        <f t="shared" si="2"/>
        <v>101.41860952447661</v>
      </c>
      <c r="N14" s="29">
        <f t="shared" si="1"/>
        <v>4489.3724254878871</v>
      </c>
      <c r="O14" s="30">
        <f t="shared" si="3"/>
        <v>2.2590821146555973E-2</v>
      </c>
    </row>
    <row r="15" spans="2:18">
      <c r="B15" s="112" t="str">
        <f>'Terminal offers'!$A$14</f>
        <v>Bankwest</v>
      </c>
      <c r="C15" s="123">
        <f>'Terminal offers'!$C$14</f>
        <v>60</v>
      </c>
      <c r="D15" s="123">
        <f>'Terminal offers'!$D$14</f>
        <v>3000</v>
      </c>
      <c r="E15" s="371">
        <f>'Terminal offers'!$E$14</f>
        <v>1.4999999999999999E-2</v>
      </c>
      <c r="F15" s="372"/>
      <c r="G15" s="115">
        <f>IF('Terminal offers'!$G$14&gt;0,'Terminal offers'!$G$14,'Terminal offers'!$G$68)</f>
        <v>2.3276000000000005E-2</v>
      </c>
      <c r="H15" s="115">
        <f>IF('Terminal offers'!$H$14&gt;0,'Terminal offers'!$H$14,'Terminal offers'!$H$68)</f>
        <v>2.9711000000000001E-2</v>
      </c>
      <c r="I15" s="119">
        <f>'Terminal offers'!$J$14</f>
        <v>0</v>
      </c>
      <c r="J15" s="43">
        <f t="shared" si="0"/>
        <v>60</v>
      </c>
      <c r="K15" s="122">
        <f>IF((C27+C28)&lt;=D15, 0, E15*((C27+C28)-D15))</f>
        <v>11.224964439656336</v>
      </c>
      <c r="L15" s="122">
        <f>(G15*C29)+(H15*C30)</f>
        <v>17.6458408440322</v>
      </c>
      <c r="M15" s="117">
        <f t="shared" si="2"/>
        <v>88.870805283688526</v>
      </c>
      <c r="N15" s="124">
        <f t="shared" si="1"/>
        <v>4489.3724254878871</v>
      </c>
      <c r="O15" s="141">
        <f t="shared" si="3"/>
        <v>1.9795819295172379E-2</v>
      </c>
    </row>
    <row r="16" spans="2:18">
      <c r="B16" s="31" t="str">
        <f>'Terminal offers'!$A$28</f>
        <v>Hume Bank</v>
      </c>
      <c r="C16" s="22">
        <f>'Terminal offers'!$C$28</f>
        <v>40</v>
      </c>
      <c r="D16" s="22">
        <f>'Terminal offers'!$D$28</f>
        <v>1500</v>
      </c>
      <c r="E16" s="353">
        <f>'Terminal offers'!$E$28</f>
        <v>1.4999999999999999E-2</v>
      </c>
      <c r="F16" s="354"/>
      <c r="G16" s="24">
        <f>IF('Terminal offers'!$G$28&gt;0,'Terminal offers'!$G$28,'Terminal offers'!$G$68)</f>
        <v>2.3276000000000005E-2</v>
      </c>
      <c r="H16" s="24">
        <f>IF('Terminal offers'!$H$28&gt;0,'Terminal offers'!$H$28,'Terminal offers'!$H$68)</f>
        <v>2.9711000000000001E-2</v>
      </c>
      <c r="I16" s="25">
        <f>'Terminal offers'!$J$28</f>
        <v>0</v>
      </c>
      <c r="J16" s="111">
        <f t="shared" si="0"/>
        <v>40</v>
      </c>
      <c r="K16" s="26">
        <f>IF((C27+C28)&lt;=D16, 0, E16*((C27+C28)-D16))</f>
        <v>33.724964439656333</v>
      </c>
      <c r="L16" s="27">
        <f>(G16*C29)+(H16*C30)</f>
        <v>17.6458408440322</v>
      </c>
      <c r="M16" s="28">
        <f t="shared" si="2"/>
        <v>91.370805283688526</v>
      </c>
      <c r="N16" s="29">
        <f t="shared" si="1"/>
        <v>4489.3724254878871</v>
      </c>
      <c r="O16" s="30">
        <f t="shared" si="3"/>
        <v>2.0352690002936935E-2</v>
      </c>
    </row>
    <row r="17" spans="2:16">
      <c r="B17" s="112" t="str">
        <f>'Terminal offers'!$A$45</f>
        <v>St George</v>
      </c>
      <c r="C17" s="123">
        <f>'Terminal offers'!$C$45</f>
        <v>55</v>
      </c>
      <c r="D17" s="123">
        <f>'Terminal offers'!$D$45</f>
        <v>3500</v>
      </c>
      <c r="E17" s="371">
        <f>'Terminal offers'!$E$45</f>
        <v>1.4999999999999999E-2</v>
      </c>
      <c r="F17" s="372"/>
      <c r="G17" s="115">
        <f>IF('Terminal offers'!$G$45&gt;0,'Terminal offers'!$G$45,'Terminal offers'!$G$68)</f>
        <v>2.3276000000000005E-2</v>
      </c>
      <c r="H17" s="115">
        <f>IF('Terminal offers'!$H$45&gt;0,'Terminal offers'!$H$45,'Terminal offers'!$H$68)</f>
        <v>2.9711000000000001E-2</v>
      </c>
      <c r="I17" s="119">
        <f>'Terminal offers'!$J$45</f>
        <v>10</v>
      </c>
      <c r="J17" s="43">
        <f t="shared" si="0"/>
        <v>65</v>
      </c>
      <c r="K17" s="122">
        <f>IF((C27+C28)&lt;=D17, 0, E17*((C27+C28)-D17))</f>
        <v>3.7249644396563371</v>
      </c>
      <c r="L17" s="122">
        <f>(G17*C29)+(H17*C30)</f>
        <v>17.6458408440322</v>
      </c>
      <c r="M17" s="117">
        <f t="shared" si="2"/>
        <v>86.370805283688526</v>
      </c>
      <c r="N17" s="124">
        <f t="shared" si="1"/>
        <v>4489.3724254878871</v>
      </c>
      <c r="O17" s="141">
        <f t="shared" si="3"/>
        <v>1.9238948587407823E-2</v>
      </c>
    </row>
    <row r="18" spans="2:16">
      <c r="B18" s="21" t="str">
        <f>'Terminal offers'!$A$33</f>
        <v>Live eftpos</v>
      </c>
      <c r="C18" s="22">
        <f>'Terminal offers'!$C$33</f>
        <v>28.996000000000002</v>
      </c>
      <c r="D18" s="22">
        <f>'Terminal offers'!$D$33</f>
        <v>0</v>
      </c>
      <c r="E18" s="226">
        <f>'Terminal offers'!$E$33</f>
        <v>0.35200000000000004</v>
      </c>
      <c r="F18" s="23">
        <f>'Terminal offers'!$F$33</f>
        <v>1.7600000000000001E-2</v>
      </c>
      <c r="G18" s="24">
        <f>IF('Terminal offers'!$G$33&gt;0,'Terminal offers'!$G$33,'Terminal offers'!$G$68)</f>
        <v>1.7600000000000001E-2</v>
      </c>
      <c r="H18" s="24">
        <f>IF('Terminal offers'!$H$33&gt;0,'Terminal offers'!$H$33,'Terminal offers'!$H$68)</f>
        <v>1.7600000000000001E-2</v>
      </c>
      <c r="I18" s="25">
        <f>'Terminal offers'!$J$33</f>
        <v>0</v>
      </c>
      <c r="J18" s="111">
        <f t="shared" si="0"/>
        <v>28.996000000000002</v>
      </c>
      <c r="K18" s="26">
        <f>(C32*E18)+(C28*F18)</f>
        <v>64.989143910968863</v>
      </c>
      <c r="L18" s="27">
        <f>(G18*C29)+(H18*C30)</f>
        <v>13.042329746056701</v>
      </c>
      <c r="M18" s="28">
        <f t="shared" si="2"/>
        <v>107.02747365702558</v>
      </c>
      <c r="N18" s="29">
        <f t="shared" si="1"/>
        <v>4489.3724254878871</v>
      </c>
      <c r="O18" s="30">
        <f t="shared" si="3"/>
        <v>2.3840186002254793E-2</v>
      </c>
    </row>
    <row r="19" spans="2:16">
      <c r="B19" s="112" t="str">
        <f>'Terminal offers'!$A$50</f>
        <v>Tyro</v>
      </c>
      <c r="C19" s="123">
        <f>'Terminal offers'!$C$50</f>
        <v>42.900000000000006</v>
      </c>
      <c r="D19" s="123">
        <f>'Terminal offers'!$D$50</f>
        <v>0</v>
      </c>
      <c r="E19" s="373">
        <f>'Terminal offers'!$E$50</f>
        <v>1.2100000000000001E-2</v>
      </c>
      <c r="F19" s="374"/>
      <c r="G19" s="115">
        <f>IF('Terminal offers'!$G$50&gt;0,'Terminal offers'!$G$50,'Terminal offers'!$G$68)</f>
        <v>2.3276000000000005E-2</v>
      </c>
      <c r="H19" s="115">
        <f>IF('Terminal offers'!$H$50&gt;0,'Terminal offers'!$H$50,'Terminal offers'!$H$68)</f>
        <v>2.9711000000000001E-2</v>
      </c>
      <c r="I19" s="119">
        <f>'Terminal offers'!$J$50</f>
        <v>0</v>
      </c>
      <c r="J19" s="43">
        <f t="shared" si="0"/>
        <v>42.900000000000006</v>
      </c>
      <c r="K19" s="120">
        <f>E19*(C27+C28)</f>
        <v>45.354804647989454</v>
      </c>
      <c r="L19" s="122">
        <f>(G19*C29)+(H19*C30)</f>
        <v>17.6458408440322</v>
      </c>
      <c r="M19" s="117">
        <f>SUM(J19:L19)</f>
        <v>105.90064549202165</v>
      </c>
      <c r="N19" s="124">
        <f t="shared" si="1"/>
        <v>4489.3724254878871</v>
      </c>
      <c r="O19" s="141">
        <f t="shared" si="3"/>
        <v>2.3589186963145048E-2</v>
      </c>
    </row>
    <row r="20" spans="2:16">
      <c r="B20" s="21" t="str">
        <f>'Terminal offers'!$A$23</f>
        <v>First Data</v>
      </c>
      <c r="C20" s="22">
        <f>'Terminal offers'!$C$23</f>
        <v>45</v>
      </c>
      <c r="D20" s="22">
        <f>'Terminal offers'!$D$23</f>
        <v>2500</v>
      </c>
      <c r="E20" s="353">
        <f>'Terminal offers'!$E$23</f>
        <v>1.7500000000000002E-2</v>
      </c>
      <c r="F20" s="354"/>
      <c r="G20" s="24">
        <f>IF('Terminal offers'!$G$23&gt;0,'Terminal offers'!$G$23,'Terminal offers'!$G$68)</f>
        <v>2.3276000000000005E-2</v>
      </c>
      <c r="H20" s="24">
        <f>IF('Terminal offers'!$H$23&gt;0,'Terminal offers'!$H$23,'Terminal offers'!$H$68)</f>
        <v>2.9711000000000001E-2</v>
      </c>
      <c r="I20" s="25">
        <f>'Terminal offers'!$J$23</f>
        <v>0</v>
      </c>
      <c r="J20" s="111">
        <f t="shared" si="0"/>
        <v>45</v>
      </c>
      <c r="K20" s="27">
        <f>IF((C27+C28)&lt;=D20, 0, E20*((C27+C28)-D20))</f>
        <v>21.84579184626573</v>
      </c>
      <c r="L20" s="27">
        <f>(G20*C29)+(H20*C30)</f>
        <v>17.6458408440322</v>
      </c>
      <c r="M20" s="28">
        <f t="shared" si="2"/>
        <v>84.491632690297934</v>
      </c>
      <c r="N20" s="29">
        <f t="shared" si="1"/>
        <v>4489.3724254878871</v>
      </c>
      <c r="O20" s="30">
        <f t="shared" si="3"/>
        <v>1.8820366118570631E-2</v>
      </c>
    </row>
    <row r="21" spans="2:16">
      <c r="B21" s="125" t="str">
        <f>'Terminal offers'!$A$34</f>
        <v>Mint</v>
      </c>
      <c r="C21" s="126">
        <f>'Terminal offers'!$C$34</f>
        <v>39</v>
      </c>
      <c r="D21" s="126">
        <f>'Terminal offers'!$D$34</f>
        <v>0</v>
      </c>
      <c r="E21" s="227">
        <f>'Terminal offers'!$E$34</f>
        <v>0.25</v>
      </c>
      <c r="F21" s="127">
        <f>'Terminal offers'!$F$34</f>
        <v>1.2500000000000001E-2</v>
      </c>
      <c r="G21" s="128">
        <f>IF('Terminal offers'!$G$34&gt;0,'Terminal offers'!$G$34,'Terminal offers'!$G$68)</f>
        <v>2.3276000000000005E-2</v>
      </c>
      <c r="H21" s="128">
        <f>IF('Terminal offers'!$H$34&gt;0,'Terminal offers'!$H$34,'Terminal offers'!$H$68)</f>
        <v>2.9711000000000001E-2</v>
      </c>
      <c r="I21" s="129">
        <f>'Terminal offers'!$J$34</f>
        <v>0</v>
      </c>
      <c r="J21" s="147">
        <f t="shared" si="0"/>
        <v>39</v>
      </c>
      <c r="K21" s="131">
        <f>(E21*C32)+(F21*C28)</f>
        <v>46.157062436767653</v>
      </c>
      <c r="L21" s="131">
        <f>(G21*C29)+(H21*C30)</f>
        <v>17.6458408440322</v>
      </c>
      <c r="M21" s="132">
        <f t="shared" si="2"/>
        <v>102.80290328079985</v>
      </c>
      <c r="N21" s="133">
        <f t="shared" si="1"/>
        <v>4489.3724254878871</v>
      </c>
      <c r="O21" s="142">
        <f>(N21+M21)/N21-1</f>
        <v>2.2899170204091046E-2</v>
      </c>
    </row>
    <row r="22" spans="2:16">
      <c r="B22" s="15"/>
      <c r="C22" s="16"/>
      <c r="D22" s="16"/>
      <c r="E22" s="16"/>
      <c r="F22" s="16"/>
      <c r="G22" s="16"/>
      <c r="H22" s="16"/>
      <c r="I22" s="15"/>
      <c r="J22" s="15"/>
      <c r="K22" s="15"/>
      <c r="L22" s="15"/>
      <c r="M22" s="15"/>
      <c r="N22" s="148" t="s">
        <v>13</v>
      </c>
      <c r="O22" s="145">
        <f>AVERAGE(O8:O21)</f>
        <v>2.0451240020893761E-2</v>
      </c>
      <c r="P22" s="39"/>
    </row>
    <row r="23" spans="2:16">
      <c r="B23" s="40" t="s">
        <v>108</v>
      </c>
      <c r="C23" s="41"/>
      <c r="D23" s="16"/>
      <c r="E23" s="16"/>
      <c r="F23" s="16"/>
      <c r="G23" s="16"/>
      <c r="H23" s="16"/>
      <c r="I23" s="15"/>
      <c r="J23" s="15"/>
      <c r="K23" s="15"/>
      <c r="L23" s="15"/>
      <c r="M23" s="15"/>
      <c r="N23" s="135" t="s">
        <v>17</v>
      </c>
      <c r="O23" s="145">
        <f>MIN(O8:O21)</f>
        <v>1.701146575634982E-2</v>
      </c>
      <c r="P23" s="39"/>
    </row>
    <row r="24" spans="2:16">
      <c r="B24" s="42" t="s">
        <v>33</v>
      </c>
      <c r="C24" s="43">
        <f>'8. Monthly revenue and trips'!C6*1.05</f>
        <v>4489.3724254878871</v>
      </c>
      <c r="D24" s="16"/>
      <c r="E24" s="16"/>
      <c r="F24" s="16"/>
      <c r="G24" s="16"/>
      <c r="H24" s="16"/>
      <c r="I24" s="15"/>
      <c r="J24" s="15"/>
      <c r="K24" s="15"/>
      <c r="L24" s="15"/>
      <c r="M24" s="15"/>
      <c r="N24" s="136" t="s">
        <v>18</v>
      </c>
      <c r="O24" s="146">
        <f>MAX(O8:O21)</f>
        <v>2.3840186002254793E-2</v>
      </c>
      <c r="P24" s="39"/>
    </row>
    <row r="25" spans="2:16">
      <c r="B25" s="42" t="s">
        <v>21</v>
      </c>
      <c r="C25" s="45">
        <f>'8. Monthly revenue and trips'!C4</f>
        <v>28.489485170139162</v>
      </c>
      <c r="D25" s="16"/>
      <c r="E25" s="16"/>
      <c r="F25" s="16"/>
      <c r="G25" s="16"/>
      <c r="H25" s="16"/>
      <c r="I25" s="15"/>
      <c r="J25" s="15"/>
      <c r="K25" s="15"/>
      <c r="L25" s="15"/>
      <c r="M25" s="15"/>
      <c r="N25" s="15"/>
      <c r="O25" s="15"/>
    </row>
    <row r="26" spans="2:16">
      <c r="B26" s="42"/>
      <c r="C26" s="45"/>
      <c r="D26" s="16"/>
      <c r="E26" s="16"/>
      <c r="F26" s="16"/>
      <c r="G26" s="16"/>
      <c r="H26" s="16"/>
      <c r="I26" s="15"/>
      <c r="J26" s="15"/>
      <c r="K26" s="15"/>
      <c r="L26" s="15"/>
      <c r="M26" s="15"/>
      <c r="N26" s="15"/>
      <c r="O26" s="15"/>
    </row>
    <row r="27" spans="2:16">
      <c r="B27" s="42" t="s">
        <v>34</v>
      </c>
      <c r="C27" s="46">
        <f>'8. Monthly revenue and trips'!C19*'12. Sensitivity (EFTPOS)'!C24</f>
        <v>187.14252725743742</v>
      </c>
      <c r="D27" s="16"/>
      <c r="E27" s="47"/>
      <c r="F27" s="16"/>
      <c r="G27" s="16"/>
      <c r="H27" s="16"/>
      <c r="I27" s="15"/>
      <c r="J27" s="15"/>
      <c r="K27" s="15"/>
      <c r="L27" s="15"/>
      <c r="M27" s="15"/>
      <c r="N27" s="15"/>
      <c r="O27" s="15"/>
    </row>
    <row r="28" spans="2:16" ht="12.75" customHeight="1">
      <c r="B28" s="42" t="s">
        <v>197</v>
      </c>
      <c r="C28" s="46">
        <f>'8. Monthly revenue and trips'!C20*'12. Sensitivity (EFTPOS)'!C24</f>
        <v>3561.1884353863184</v>
      </c>
      <c r="D28" s="16"/>
      <c r="E28" s="16"/>
      <c r="F28" s="16"/>
      <c r="G28" s="16"/>
      <c r="H28" s="16"/>
      <c r="I28" s="15"/>
      <c r="J28" s="48"/>
      <c r="K28" s="15"/>
      <c r="L28" s="15"/>
      <c r="M28" s="15"/>
      <c r="N28" s="15"/>
      <c r="O28" s="15"/>
    </row>
    <row r="29" spans="2:16" ht="12.75" customHeight="1">
      <c r="B29" s="42" t="s">
        <v>39</v>
      </c>
      <c r="C29" s="46">
        <f>'8. Monthly revenue and trips'!C21*'12. Sensitivity (EFTPOS)'!C24</f>
        <v>679.29169518722153</v>
      </c>
      <c r="D29" s="16"/>
      <c r="E29" s="16"/>
      <c r="F29" s="16"/>
      <c r="G29" s="16"/>
      <c r="H29" s="49"/>
      <c r="I29" s="15"/>
      <c r="J29" s="48"/>
      <c r="K29" s="15"/>
      <c r="L29" s="15"/>
      <c r="M29" s="15"/>
      <c r="N29" s="15"/>
      <c r="O29" s="15"/>
    </row>
    <row r="30" spans="2:16" ht="12.75" customHeight="1">
      <c r="B30" s="42" t="s">
        <v>114</v>
      </c>
      <c r="C30" s="46">
        <f>'8. Monthly revenue and trips'!C22*'12. Sensitivity (EFTPOS)'!C24</f>
        <v>61.749767656909135</v>
      </c>
      <c r="D30" s="16"/>
      <c r="E30" s="16"/>
      <c r="F30" s="16"/>
      <c r="G30" s="16"/>
      <c r="H30" s="50"/>
      <c r="I30" s="15"/>
      <c r="J30" s="48"/>
      <c r="K30" s="15"/>
      <c r="L30" s="15"/>
      <c r="M30" s="15"/>
      <c r="N30" s="15"/>
      <c r="O30" s="15"/>
    </row>
    <row r="31" spans="2:16" ht="12.75" customHeight="1">
      <c r="B31" s="42"/>
      <c r="C31" s="46"/>
      <c r="D31" s="16"/>
      <c r="E31" s="16"/>
      <c r="F31" s="16"/>
      <c r="G31" s="16"/>
      <c r="H31" s="50"/>
      <c r="I31" s="15"/>
      <c r="J31" s="48"/>
      <c r="K31" s="15"/>
      <c r="L31" s="15"/>
      <c r="M31" s="15"/>
      <c r="N31" s="15"/>
      <c r="O31" s="15"/>
    </row>
    <row r="32" spans="2:16">
      <c r="B32" s="42" t="s">
        <v>38</v>
      </c>
      <c r="C32" s="51">
        <f>C27/$C$25</f>
        <v>6.5688279777546885</v>
      </c>
      <c r="D32" s="16"/>
      <c r="E32" s="16"/>
      <c r="F32" s="16"/>
      <c r="G32" s="16"/>
      <c r="H32" s="16"/>
      <c r="I32" s="15"/>
      <c r="J32" s="15"/>
      <c r="K32" s="15"/>
      <c r="L32" s="15"/>
      <c r="M32" s="15"/>
      <c r="N32" s="15"/>
      <c r="O32" s="15"/>
    </row>
    <row r="33" spans="2:15">
      <c r="B33" s="42" t="s">
        <v>199</v>
      </c>
      <c r="C33" s="51">
        <f t="shared" ref="C33:C35" si="4">C28/$C$25</f>
        <v>125.00009789994121</v>
      </c>
      <c r="D33" s="16"/>
      <c r="E33" s="52"/>
      <c r="F33" s="16"/>
      <c r="G33" s="16"/>
      <c r="H33" s="16"/>
      <c r="I33" s="15"/>
      <c r="J33" s="15"/>
      <c r="K33" s="15"/>
      <c r="L33" s="15"/>
      <c r="M33" s="15"/>
      <c r="N33" s="15"/>
      <c r="O33" s="15"/>
    </row>
    <row r="34" spans="2:15">
      <c r="B34" s="42" t="s">
        <v>41</v>
      </c>
      <c r="C34" s="51">
        <f t="shared" si="4"/>
        <v>23.843593210986178</v>
      </c>
      <c r="D34" s="16"/>
      <c r="E34" s="52"/>
      <c r="F34" s="16"/>
      <c r="G34" s="16"/>
      <c r="H34" s="16"/>
      <c r="I34" s="15"/>
      <c r="J34" s="15"/>
      <c r="K34" s="53"/>
      <c r="L34" s="15"/>
      <c r="M34" s="15"/>
      <c r="N34" s="15"/>
      <c r="O34" s="15"/>
    </row>
    <row r="35" spans="2:15">
      <c r="B35" s="44" t="s">
        <v>113</v>
      </c>
      <c r="C35" s="54">
        <f t="shared" si="4"/>
        <v>2.1674581793296586</v>
      </c>
      <c r="D35" s="16"/>
      <c r="E35" s="55"/>
      <c r="F35" s="16"/>
      <c r="G35" s="16"/>
      <c r="H35" s="16"/>
      <c r="I35" s="15"/>
      <c r="J35" s="15"/>
      <c r="K35" s="53"/>
      <c r="L35" s="15"/>
      <c r="M35" s="15"/>
      <c r="N35" s="15"/>
      <c r="O35" s="15"/>
    </row>
    <row r="36" spans="2:15">
      <c r="B36" s="13"/>
      <c r="C36" s="14"/>
      <c r="D36" s="14"/>
      <c r="E36" s="14"/>
      <c r="F36" s="14"/>
      <c r="G36" s="14"/>
      <c r="H36" s="14"/>
      <c r="I36" s="13"/>
      <c r="J36" s="13"/>
      <c r="K36" s="13"/>
      <c r="L36" s="13"/>
      <c r="M36" s="13"/>
      <c r="N36" s="13"/>
      <c r="O36" s="13"/>
    </row>
    <row r="37" spans="2:15">
      <c r="B37" s="13"/>
      <c r="C37" s="14"/>
      <c r="D37" s="14"/>
      <c r="E37" s="14"/>
      <c r="F37" s="14"/>
      <c r="G37" s="14"/>
      <c r="H37" s="14"/>
      <c r="I37" s="13"/>
      <c r="J37" s="13"/>
      <c r="K37" s="13"/>
      <c r="L37" s="13"/>
      <c r="M37" s="13"/>
      <c r="N37" s="13"/>
      <c r="O37" s="13"/>
    </row>
    <row r="38" spans="2:15" ht="28.5" customHeight="1">
      <c r="B38" s="375" t="s">
        <v>110</v>
      </c>
      <c r="C38" s="376"/>
      <c r="D38" s="376"/>
      <c r="E38" s="376"/>
      <c r="F38" s="376"/>
      <c r="G38" s="376"/>
      <c r="H38" s="376"/>
      <c r="I38" s="376"/>
      <c r="J38" s="376"/>
      <c r="K38" s="376"/>
      <c r="L38" s="376"/>
      <c r="M38" s="376"/>
      <c r="N38" s="376"/>
      <c r="O38" s="377"/>
    </row>
    <row r="39" spans="2:15">
      <c r="B39" s="13"/>
      <c r="C39" s="14"/>
      <c r="D39" s="14"/>
      <c r="E39" s="14"/>
      <c r="F39" s="14"/>
      <c r="G39" s="14"/>
      <c r="H39" s="14"/>
      <c r="I39" s="13"/>
      <c r="J39" s="13"/>
      <c r="K39" s="13"/>
      <c r="L39" s="13"/>
      <c r="M39" s="13"/>
      <c r="N39" s="13"/>
      <c r="O39" s="13"/>
    </row>
    <row r="40" spans="2:15" ht="12" customHeight="1">
      <c r="B40" s="17"/>
      <c r="C40" s="358" t="s">
        <v>10</v>
      </c>
      <c r="D40" s="359"/>
      <c r="E40" s="359"/>
      <c r="F40" s="359"/>
      <c r="G40" s="359"/>
      <c r="H40" s="359"/>
      <c r="I40" s="360"/>
      <c r="J40" s="361" t="s">
        <v>101</v>
      </c>
      <c r="K40" s="362"/>
      <c r="L40" s="362"/>
      <c r="M40" s="363"/>
      <c r="N40" s="18" t="s">
        <v>8</v>
      </c>
      <c r="O40" s="351" t="s">
        <v>104</v>
      </c>
    </row>
    <row r="41" spans="2:15" ht="33.75">
      <c r="B41" s="73" t="s">
        <v>25</v>
      </c>
      <c r="C41" s="20" t="s">
        <v>20</v>
      </c>
      <c r="D41" s="20" t="s">
        <v>19</v>
      </c>
      <c r="E41" s="20" t="s">
        <v>94</v>
      </c>
      <c r="F41" s="72" t="s">
        <v>102</v>
      </c>
      <c r="G41" s="20" t="s">
        <v>95</v>
      </c>
      <c r="H41" s="20" t="s">
        <v>96</v>
      </c>
      <c r="I41" s="71" t="s">
        <v>14</v>
      </c>
      <c r="J41" s="20" t="s">
        <v>16</v>
      </c>
      <c r="K41" s="20" t="s">
        <v>103</v>
      </c>
      <c r="L41" s="20" t="s">
        <v>99</v>
      </c>
      <c r="M41" s="72" t="s">
        <v>15</v>
      </c>
      <c r="N41" s="20" t="s">
        <v>100</v>
      </c>
      <c r="O41" s="352"/>
    </row>
    <row r="42" spans="2:15">
      <c r="B42" s="21" t="str">
        <f>'Terminal offers'!$A$3</f>
        <v>ANZ</v>
      </c>
      <c r="C42" s="22">
        <f>'Terminal offers'!$C$3</f>
        <v>40</v>
      </c>
      <c r="D42" s="22">
        <f>'Terminal offers'!$D$3</f>
        <v>0</v>
      </c>
      <c r="E42" s="225">
        <f>'Terminal offers'!$E$3</f>
        <v>0.25</v>
      </c>
      <c r="F42" s="23">
        <f>'Terminal offers'!$F$3</f>
        <v>8.0000000000000002E-3</v>
      </c>
      <c r="G42" s="24">
        <f>IF('Terminal offers'!$G$3&gt;0,'Terminal offers'!$G$3,'Terminal offers'!$G$68)</f>
        <v>2.3276000000000005E-2</v>
      </c>
      <c r="H42" s="24">
        <f>IF('Terminal offers'!$H$3&gt;0,'Terminal offers'!$H$3,'Terminal offers'!$H$68)</f>
        <v>2.9711000000000001E-2</v>
      </c>
      <c r="I42" s="25">
        <f>'Terminal offers'!$J$3</f>
        <v>0</v>
      </c>
      <c r="J42" s="26">
        <f t="shared" ref="J42:J45" si="5">C42+I42</f>
        <v>40</v>
      </c>
      <c r="K42" s="27">
        <f>MAX((E42*C66)+(F42*C62),  'Terminal offers'!I3)</f>
        <v>29</v>
      </c>
      <c r="L42" s="27">
        <f>(G42*C63)+(H42*C64)</f>
        <v>15.96528457317199</v>
      </c>
      <c r="M42" s="28">
        <f>SUM(J42:L42)</f>
        <v>84.965284573171985</v>
      </c>
      <c r="N42" s="29">
        <f>$C$58</f>
        <v>4061.8131468699926</v>
      </c>
      <c r="O42" s="30">
        <f>(N42+M42)/N42-1</f>
        <v>2.0918068237246734E-2</v>
      </c>
    </row>
    <row r="43" spans="2:15">
      <c r="B43" s="118" t="str">
        <f>'Terminal offers'!$A$19</f>
        <v>Commonwealth Bank</v>
      </c>
      <c r="C43" s="123">
        <f>'Terminal offers'!$C$19</f>
        <v>60</v>
      </c>
      <c r="D43" s="123">
        <f>'Terminal offers'!$D$19</f>
        <v>3000</v>
      </c>
      <c r="E43" s="371">
        <f>'Terminal offers'!$E$19</f>
        <v>1.4999999999999999E-2</v>
      </c>
      <c r="F43" s="372"/>
      <c r="G43" s="115">
        <f>IF('Terminal offers'!$G$19&gt;0,'Terminal offers'!$G$19,'Terminal offers'!$G$68)</f>
        <v>2.3276000000000005E-2</v>
      </c>
      <c r="H43" s="115">
        <f>IF('Terminal offers'!$H$19&gt;0,'Terminal offers'!$H$19,'Terminal offers'!$H$68)</f>
        <v>2.9711000000000001E-2</v>
      </c>
      <c r="I43" s="121">
        <f>'Terminal offers'!$J$19</f>
        <v>0</v>
      </c>
      <c r="J43" s="120">
        <f t="shared" si="5"/>
        <v>60</v>
      </c>
      <c r="K43" s="122">
        <f>IF((C61+C62)&lt;=D43, 0, E43*((C61+C62)-D43))</f>
        <v>5.8702059215938238</v>
      </c>
      <c r="L43" s="122">
        <f>(G43*C63)+(H43*C64)</f>
        <v>15.96528457317199</v>
      </c>
      <c r="M43" s="117">
        <f>SUM(J43:L43)</f>
        <v>81.835490494765807</v>
      </c>
      <c r="N43" s="124">
        <f>$C$58</f>
        <v>4061.8131468699926</v>
      </c>
      <c r="O43" s="141">
        <f>(N43+M43)/N43-1</f>
        <v>2.0147527110602859E-2</v>
      </c>
    </row>
    <row r="44" spans="2:15">
      <c r="B44" s="31" t="str">
        <f>'Terminal offers'!$A$35</f>
        <v>NAB</v>
      </c>
      <c r="C44" s="22">
        <f>'Terminal offers'!$C$35</f>
        <v>40</v>
      </c>
      <c r="D44" s="22">
        <f>'Terminal offers'!$D$35</f>
        <v>1500</v>
      </c>
      <c r="E44" s="353">
        <f>'Terminal offers'!$E$35</f>
        <v>1.4999999999999999E-2</v>
      </c>
      <c r="F44" s="354"/>
      <c r="G44" s="24">
        <f>IF('Terminal offers'!$G$35&gt;0,'Terminal offers'!$G$35,'Terminal offers'!$G$68)</f>
        <v>2.3276000000000005E-2</v>
      </c>
      <c r="H44" s="24">
        <f>IF('Terminal offers'!$H$35&gt;0,'Terminal offers'!$H$35,'Terminal offers'!$H$68)</f>
        <v>2.9711000000000001E-2</v>
      </c>
      <c r="I44" s="25">
        <f>'Terminal offers'!$J$35</f>
        <v>0</v>
      </c>
      <c r="J44" s="26">
        <f t="shared" si="5"/>
        <v>40</v>
      </c>
      <c r="K44" s="33">
        <f>IF((C61+C62)&lt;=D44, 0, E44*((C61+C62)-D44))</f>
        <v>28.370205921593822</v>
      </c>
      <c r="L44" s="27">
        <f>(G44*C63)+(H44*C64)</f>
        <v>15.96528457317199</v>
      </c>
      <c r="M44" s="28">
        <f t="shared" ref="M44:M52" si="6">SUM(J44:L44)</f>
        <v>84.335490494765807</v>
      </c>
      <c r="N44" s="29">
        <f t="shared" ref="N44:N54" si="7">$C$58</f>
        <v>4061.8131468699926</v>
      </c>
      <c r="O44" s="30">
        <f t="shared" ref="O44:O54" si="8">(N44+M44)/N44-1</f>
        <v>2.0763015787605754E-2</v>
      </c>
    </row>
    <row r="45" spans="2:15">
      <c r="B45" s="112" t="str">
        <f>'Terminal offers'!$A$51</f>
        <v>Westpac</v>
      </c>
      <c r="C45" s="123">
        <f>'Terminal offers'!$C$51</f>
        <v>55</v>
      </c>
      <c r="D45" s="123">
        <f>'Terminal offers'!$D$51</f>
        <v>3500</v>
      </c>
      <c r="E45" s="371">
        <f>'Terminal offers'!$E$51</f>
        <v>1.4999999999999999E-2</v>
      </c>
      <c r="F45" s="372"/>
      <c r="G45" s="115">
        <f>IF('Terminal offers'!$G$51&gt;0,'Terminal offers'!$G$51,'Terminal offers'!$G$68)</f>
        <v>2.3276000000000005E-2</v>
      </c>
      <c r="H45" s="115">
        <f>IF('Terminal offers'!$H$51&gt;0,'Terminal offers'!$H$51,'Terminal offers'!$H$68)</f>
        <v>2.9711000000000001E-2</v>
      </c>
      <c r="I45" s="119">
        <f>'Terminal offers'!$J$51</f>
        <v>0</v>
      </c>
      <c r="J45" s="120">
        <f t="shared" si="5"/>
        <v>55</v>
      </c>
      <c r="K45" s="122">
        <f>IF((C61+C62)&lt;=D45, 0, E45*((C61+C62)-D45))</f>
        <v>0</v>
      </c>
      <c r="L45" s="122">
        <f>(G45*C63)+(H45*C64)</f>
        <v>15.96528457317199</v>
      </c>
      <c r="M45" s="117">
        <f t="shared" si="6"/>
        <v>70.965284573171985</v>
      </c>
      <c r="N45" s="124">
        <f t="shared" si="7"/>
        <v>4061.8131468699926</v>
      </c>
      <c r="O45" s="141">
        <f t="shared" si="8"/>
        <v>1.747133164603043E-2</v>
      </c>
    </row>
    <row r="46" spans="2:15">
      <c r="B46" s="21" t="str">
        <f>'Terminal offers'!$A$4</f>
        <v>Bank of Melbourne</v>
      </c>
      <c r="C46" s="22">
        <f>'Terminal offers'!$C$4</f>
        <v>55</v>
      </c>
      <c r="D46" s="22">
        <f>'Terminal offers'!$D$4</f>
        <v>3500</v>
      </c>
      <c r="E46" s="353">
        <f>'Terminal offers'!$E$4</f>
        <v>1.4999999999999999E-2</v>
      </c>
      <c r="F46" s="354"/>
      <c r="G46" s="24">
        <f>IF('Terminal offers'!$G$4&gt;0,'Terminal offers'!$G$4,'Terminal offers'!$G$68)</f>
        <v>2.3276000000000005E-2</v>
      </c>
      <c r="H46" s="24">
        <f>IF('Terminal offers'!$H$4&gt;0,'Terminal offers'!$H$4,'Terminal offers'!$H$68)</f>
        <v>2.9711000000000001E-2</v>
      </c>
      <c r="I46" s="25">
        <f>'Terminal offers'!$J$4</f>
        <v>10</v>
      </c>
      <c r="J46" s="26">
        <f>C46+I46</f>
        <v>65</v>
      </c>
      <c r="K46" s="27">
        <f>IF((C61+C62)&lt;=D46, 0, E46*((C61+C62)-D46))</f>
        <v>0</v>
      </c>
      <c r="L46" s="27">
        <f>(G46*C63)+(H46*C64)</f>
        <v>15.96528457317199</v>
      </c>
      <c r="M46" s="28">
        <f t="shared" si="6"/>
        <v>80.965284573171985</v>
      </c>
      <c r="N46" s="29">
        <f t="shared" si="7"/>
        <v>4061.8131468699926</v>
      </c>
      <c r="O46" s="30">
        <f t="shared" si="8"/>
        <v>1.9933286354042012E-2</v>
      </c>
    </row>
    <row r="47" spans="2:15">
      <c r="B47" s="112" t="str">
        <f>'Terminal offers'!$A$9</f>
        <v>Bank SA</v>
      </c>
      <c r="C47" s="123">
        <f>'Terminal offers'!$C$9</f>
        <v>55</v>
      </c>
      <c r="D47" s="123">
        <f>'Terminal offers'!$D$9</f>
        <v>3500</v>
      </c>
      <c r="E47" s="371">
        <f>'Terminal offers'!$E$9</f>
        <v>1.4999999999999999E-2</v>
      </c>
      <c r="F47" s="372"/>
      <c r="G47" s="115">
        <f>IF('Terminal offers'!$G$9&gt;0,'Terminal offers'!$G$9,'Terminal offers'!$G$68)</f>
        <v>2.3276000000000005E-2</v>
      </c>
      <c r="H47" s="115">
        <f>IF('Terminal offers'!$H$9&gt;0,'Terminal offers'!$H$9,'Terminal offers'!$H$68)</f>
        <v>2.9711000000000001E-2</v>
      </c>
      <c r="I47" s="119">
        <f>'Terminal offers'!$J$9</f>
        <v>10</v>
      </c>
      <c r="J47" s="120">
        <f t="shared" ref="J47:J55" si="9">C47+I47</f>
        <v>65</v>
      </c>
      <c r="K47" s="122">
        <f>IF((C61+C62)&lt;=D47, 0, E47*((C61+C62)-D47))</f>
        <v>0</v>
      </c>
      <c r="L47" s="122">
        <f>(G47*C63)+(H47*C64)</f>
        <v>15.96528457317199</v>
      </c>
      <c r="M47" s="117">
        <f t="shared" si="6"/>
        <v>80.965284573171985</v>
      </c>
      <c r="N47" s="124">
        <f t="shared" si="7"/>
        <v>4061.8131468699926</v>
      </c>
      <c r="O47" s="141">
        <f t="shared" si="8"/>
        <v>1.9933286354042012E-2</v>
      </c>
    </row>
    <row r="48" spans="2:15">
      <c r="B48" s="21" t="str">
        <f>'Terminal offers'!$A$18</f>
        <v>Bendigo Bank</v>
      </c>
      <c r="C48" s="22">
        <f>'Terminal offers'!$C$18</f>
        <v>33</v>
      </c>
      <c r="D48" s="22">
        <f>'Terminal offers'!$D$18</f>
        <v>0</v>
      </c>
      <c r="E48" s="226">
        <f>'Terminal offers'!$E$18</f>
        <v>0.27500000000000002</v>
      </c>
      <c r="F48" s="23">
        <f>'Terminal offers'!$F$18</f>
        <v>1.3750000000000002E-2</v>
      </c>
      <c r="G48" s="24">
        <f>IF('Terminal offers'!$G$18&gt;0,'Terminal offers'!$G$18,'Terminal offers'!$G$68)</f>
        <v>2.3276000000000005E-2</v>
      </c>
      <c r="H48" s="24">
        <f>IF('Terminal offers'!$H$18&gt;0,'Terminal offers'!$H$18,'Terminal offers'!$H$68)</f>
        <v>2.9711000000000001E-2</v>
      </c>
      <c r="I48" s="32">
        <f>'Terminal offers'!$J$18</f>
        <v>0</v>
      </c>
      <c r="J48" s="26">
        <f t="shared" si="9"/>
        <v>33</v>
      </c>
      <c r="K48" s="26">
        <f>(C66*E48)+(C62*F48)</f>
        <v>45.937266901354477</v>
      </c>
      <c r="L48" s="27">
        <f>(G48*C63)+(H48*C64)</f>
        <v>15.96528457317199</v>
      </c>
      <c r="M48" s="28">
        <f t="shared" si="6"/>
        <v>94.902551474526462</v>
      </c>
      <c r="N48" s="29">
        <f t="shared" si="7"/>
        <v>4061.8131468699926</v>
      </c>
      <c r="O48" s="30">
        <f t="shared" si="8"/>
        <v>2.336457834050254E-2</v>
      </c>
    </row>
    <row r="49" spans="2:15">
      <c r="B49" s="112" t="str">
        <f>'Terminal offers'!$A$14</f>
        <v>Bankwest</v>
      </c>
      <c r="C49" s="123">
        <f>'Terminal offers'!$C$14</f>
        <v>60</v>
      </c>
      <c r="D49" s="123">
        <f>'Terminal offers'!$D$14</f>
        <v>3000</v>
      </c>
      <c r="E49" s="371">
        <f>'Terminal offers'!$E$14</f>
        <v>1.4999999999999999E-2</v>
      </c>
      <c r="F49" s="372"/>
      <c r="G49" s="115">
        <f>IF('Terminal offers'!$G$14&gt;0,'Terminal offers'!$G$14,'Terminal offers'!$G$68)</f>
        <v>2.3276000000000005E-2</v>
      </c>
      <c r="H49" s="115">
        <f>IF('Terminal offers'!$H$14&gt;0,'Terminal offers'!$H$14,'Terminal offers'!$H$68)</f>
        <v>2.9711000000000001E-2</v>
      </c>
      <c r="I49" s="119">
        <f>'Terminal offers'!$J$14</f>
        <v>0</v>
      </c>
      <c r="J49" s="120">
        <f t="shared" si="9"/>
        <v>60</v>
      </c>
      <c r="K49" s="122">
        <f>IF((C61+C62)&lt;=D49, 0, E49*((C61+C62)-D49))</f>
        <v>5.8702059215938238</v>
      </c>
      <c r="L49" s="122">
        <f>(G49*C63)+(H49*C64)</f>
        <v>15.96528457317199</v>
      </c>
      <c r="M49" s="117">
        <f t="shared" si="6"/>
        <v>81.835490494765807</v>
      </c>
      <c r="N49" s="124">
        <f t="shared" si="7"/>
        <v>4061.8131468699926</v>
      </c>
      <c r="O49" s="141">
        <f t="shared" si="8"/>
        <v>2.0147527110602859E-2</v>
      </c>
    </row>
    <row r="50" spans="2:15">
      <c r="B50" s="31" t="str">
        <f>'Terminal offers'!$A$28</f>
        <v>Hume Bank</v>
      </c>
      <c r="C50" s="22">
        <f>'Terminal offers'!$C$28</f>
        <v>40</v>
      </c>
      <c r="D50" s="22">
        <f>'Terminal offers'!$D$28</f>
        <v>1500</v>
      </c>
      <c r="E50" s="353">
        <f>'Terminal offers'!$E$28</f>
        <v>1.4999999999999999E-2</v>
      </c>
      <c r="F50" s="354"/>
      <c r="G50" s="24">
        <f>IF('Terminal offers'!$G$28&gt;0,'Terminal offers'!$G$28,'Terminal offers'!$G$68)</f>
        <v>2.3276000000000005E-2</v>
      </c>
      <c r="H50" s="24">
        <f>IF('Terminal offers'!$H$28&gt;0,'Terminal offers'!$H$28,'Terminal offers'!$H$68)</f>
        <v>2.9711000000000001E-2</v>
      </c>
      <c r="I50" s="25">
        <f>'Terminal offers'!$J$28</f>
        <v>0</v>
      </c>
      <c r="J50" s="26">
        <f t="shared" si="9"/>
        <v>40</v>
      </c>
      <c r="K50" s="26">
        <f>IF((C61+C62)&lt;=D50, 0, E50*((C61+C62)-D50))</f>
        <v>28.370205921593822</v>
      </c>
      <c r="L50" s="27">
        <f>(G50*C63)+(H50*C64)</f>
        <v>15.96528457317199</v>
      </c>
      <c r="M50" s="28">
        <f t="shared" si="6"/>
        <v>84.335490494765807</v>
      </c>
      <c r="N50" s="29">
        <f t="shared" si="7"/>
        <v>4061.8131468699926</v>
      </c>
      <c r="O50" s="30">
        <f t="shared" si="8"/>
        <v>2.0763015787605754E-2</v>
      </c>
    </row>
    <row r="51" spans="2:15">
      <c r="B51" s="112" t="str">
        <f>'Terminal offers'!$A$45</f>
        <v>St George</v>
      </c>
      <c r="C51" s="123">
        <f>'Terminal offers'!$C$45</f>
        <v>55</v>
      </c>
      <c r="D51" s="123">
        <f>'Terminal offers'!$D$45</f>
        <v>3500</v>
      </c>
      <c r="E51" s="371">
        <f>'Terminal offers'!$E$45</f>
        <v>1.4999999999999999E-2</v>
      </c>
      <c r="F51" s="372"/>
      <c r="G51" s="115">
        <f>IF('Terminal offers'!$G$45&gt;0,'Terminal offers'!$G$45,'Terminal offers'!$G$68)</f>
        <v>2.3276000000000005E-2</v>
      </c>
      <c r="H51" s="115">
        <f>IF('Terminal offers'!$H$45&gt;0,'Terminal offers'!$H$45,'Terminal offers'!$H$68)</f>
        <v>2.9711000000000001E-2</v>
      </c>
      <c r="I51" s="119">
        <f>'Terminal offers'!$J$45</f>
        <v>10</v>
      </c>
      <c r="J51" s="120">
        <f t="shared" si="9"/>
        <v>65</v>
      </c>
      <c r="K51" s="122">
        <f>IF((C61+C62)&lt;=D51, 0, E51*((C61+C62)-D51))</f>
        <v>0</v>
      </c>
      <c r="L51" s="122">
        <f>(G51*C63)+(H51*C64)</f>
        <v>15.96528457317199</v>
      </c>
      <c r="M51" s="117">
        <f t="shared" si="6"/>
        <v>80.965284573171985</v>
      </c>
      <c r="N51" s="124">
        <f t="shared" si="7"/>
        <v>4061.8131468699926</v>
      </c>
      <c r="O51" s="141">
        <f t="shared" si="8"/>
        <v>1.9933286354042012E-2</v>
      </c>
    </row>
    <row r="52" spans="2:15">
      <c r="B52" s="21" t="str">
        <f>'Terminal offers'!$A$33</f>
        <v>Live eftpos</v>
      </c>
      <c r="C52" s="22">
        <f>'Terminal offers'!$C$33</f>
        <v>28.996000000000002</v>
      </c>
      <c r="D52" s="22">
        <f>'Terminal offers'!$D$33</f>
        <v>0</v>
      </c>
      <c r="E52" s="226">
        <f>'Terminal offers'!$E$33</f>
        <v>0.35200000000000004</v>
      </c>
      <c r="F52" s="23">
        <f>'Terminal offers'!$F$33</f>
        <v>1.7600000000000001E-2</v>
      </c>
      <c r="G52" s="24">
        <f>IF('Terminal offers'!$G$33&gt;0,'Terminal offers'!$G$33,'Terminal offers'!$G$68)</f>
        <v>1.7600000000000001E-2</v>
      </c>
      <c r="H52" s="24">
        <f>IF('Terminal offers'!$H$33&gt;0,'Terminal offers'!$H$33,'Terminal offers'!$H$68)</f>
        <v>1.7600000000000001E-2</v>
      </c>
      <c r="I52" s="25">
        <f>'Terminal offers'!$J$33</f>
        <v>0</v>
      </c>
      <c r="J52" s="26">
        <f t="shared" si="9"/>
        <v>28.996000000000002</v>
      </c>
      <c r="K52" s="26">
        <f>(C66*E52)+(C62*F52)</f>
        <v>58.799701633733726</v>
      </c>
      <c r="L52" s="27">
        <f>(G52*C63)+(H52*C64)</f>
        <v>11.800203103575111</v>
      </c>
      <c r="M52" s="28">
        <f t="shared" si="6"/>
        <v>99.595904737308842</v>
      </c>
      <c r="N52" s="29">
        <f t="shared" si="7"/>
        <v>4061.8131468699926</v>
      </c>
      <c r="O52" s="30">
        <f t="shared" si="8"/>
        <v>2.4520060656669118E-2</v>
      </c>
    </row>
    <row r="53" spans="2:15">
      <c r="B53" s="112" t="str">
        <f>'Terminal offers'!$A$50</f>
        <v>Tyro</v>
      </c>
      <c r="C53" s="123">
        <f>'Terminal offers'!$C$50</f>
        <v>42.900000000000006</v>
      </c>
      <c r="D53" s="123">
        <f>'Terminal offers'!$D$50</f>
        <v>0</v>
      </c>
      <c r="E53" s="373">
        <f>'Terminal offers'!$E$50</f>
        <v>1.2100000000000001E-2</v>
      </c>
      <c r="F53" s="374"/>
      <c r="G53" s="115">
        <f>IF('Terminal offers'!$G$50&gt;0,'Terminal offers'!$G$50,'Terminal offers'!$G$68)</f>
        <v>2.3276000000000005E-2</v>
      </c>
      <c r="H53" s="115">
        <f>IF('Terminal offers'!$H$50&gt;0,'Terminal offers'!$H$50,'Terminal offers'!$H$68)</f>
        <v>2.9711000000000001E-2</v>
      </c>
      <c r="I53" s="119">
        <f>'Terminal offers'!$J$50</f>
        <v>0</v>
      </c>
      <c r="J53" s="120">
        <f t="shared" si="9"/>
        <v>42.900000000000006</v>
      </c>
      <c r="K53" s="120">
        <f>E53*(C61+C62)</f>
        <v>41.035299443419021</v>
      </c>
      <c r="L53" s="122">
        <f>(G53*C63)+(H53*C64)</f>
        <v>15.96528457317199</v>
      </c>
      <c r="M53" s="117">
        <f>SUM(J53:L53)</f>
        <v>99.900584016591012</v>
      </c>
      <c r="N53" s="124">
        <f t="shared" si="7"/>
        <v>4061.8131468699926</v>
      </c>
      <c r="O53" s="141">
        <f t="shared" si="8"/>
        <v>2.4595071315275607E-2</v>
      </c>
    </row>
    <row r="54" spans="2:15">
      <c r="B54" s="21" t="str">
        <f>'Terminal offers'!$A$23</f>
        <v>First Data</v>
      </c>
      <c r="C54" s="22">
        <f>'Terminal offers'!$C$23</f>
        <v>45</v>
      </c>
      <c r="D54" s="22">
        <f>'Terminal offers'!$D$23</f>
        <v>2500</v>
      </c>
      <c r="E54" s="353">
        <f>'Terminal offers'!$E$23</f>
        <v>1.7500000000000002E-2</v>
      </c>
      <c r="F54" s="354"/>
      <c r="G54" s="24">
        <f>IF('Terminal offers'!$G$23&gt;0,'Terminal offers'!$G$23,'Terminal offers'!$G$68)</f>
        <v>2.3276000000000005E-2</v>
      </c>
      <c r="H54" s="24">
        <f>IF('Terminal offers'!$H$23&gt;0,'Terminal offers'!$H$23,'Terminal offers'!$H$68)</f>
        <v>2.9711000000000001E-2</v>
      </c>
      <c r="I54" s="25">
        <f>'Terminal offers'!$J$23</f>
        <v>0</v>
      </c>
      <c r="J54" s="26">
        <f t="shared" si="9"/>
        <v>45</v>
      </c>
      <c r="K54" s="27">
        <f>IF((C61+C62)&lt;=D54, 0, E54*((C61+C62)-D54))</f>
        <v>15.598573575192797</v>
      </c>
      <c r="L54" s="27">
        <f>(G54*C63)+(H54*C64)</f>
        <v>15.96528457317199</v>
      </c>
      <c r="M54" s="28">
        <f t="shared" ref="M54:M55" si="10">SUM(J54:L54)</f>
        <v>76.563858148364787</v>
      </c>
      <c r="N54" s="29">
        <f t="shared" si="7"/>
        <v>4061.8131468699926</v>
      </c>
      <c r="O54" s="30">
        <f t="shared" si="8"/>
        <v>1.8849675103189911E-2</v>
      </c>
    </row>
    <row r="55" spans="2:15">
      <c r="B55" s="125" t="str">
        <f>'Terminal offers'!$A$34</f>
        <v>Mint</v>
      </c>
      <c r="C55" s="126">
        <f>'Terminal offers'!$C$34</f>
        <v>39</v>
      </c>
      <c r="D55" s="126">
        <f>'Terminal offers'!$D$34</f>
        <v>0</v>
      </c>
      <c r="E55" s="227">
        <f>'Terminal offers'!$E$34</f>
        <v>0.25</v>
      </c>
      <c r="F55" s="127">
        <f>'Terminal offers'!$F$34</f>
        <v>1.2500000000000001E-2</v>
      </c>
      <c r="G55" s="128">
        <f>IF('Terminal offers'!$G$34&gt;0,'Terminal offers'!$G$34,'Terminal offers'!$G$68)</f>
        <v>2.3276000000000005E-2</v>
      </c>
      <c r="H55" s="128">
        <f>IF('Terminal offers'!$H$34&gt;0,'Terminal offers'!$H$34,'Terminal offers'!$H$68)</f>
        <v>2.9711000000000001E-2</v>
      </c>
      <c r="I55" s="129">
        <f>'Terminal offers'!$J$34</f>
        <v>0</v>
      </c>
      <c r="J55" s="130">
        <f t="shared" si="9"/>
        <v>39</v>
      </c>
      <c r="K55" s="131">
        <f>(E55*C66)+(F55*C62)</f>
        <v>41.761151728504068</v>
      </c>
      <c r="L55" s="131">
        <f>(G55*C63)+(H55*C64)</f>
        <v>15.96528457317199</v>
      </c>
      <c r="M55" s="132">
        <f t="shared" si="10"/>
        <v>96.72643630167606</v>
      </c>
      <c r="N55" s="133">
        <f>$C$58</f>
        <v>4061.8131468699926</v>
      </c>
      <c r="O55" s="142">
        <f>(N55+M55)/N55-1</f>
        <v>2.3813610524209494E-2</v>
      </c>
    </row>
    <row r="56" spans="2:15">
      <c r="B56" s="56"/>
      <c r="C56" s="57"/>
      <c r="D56" s="16"/>
      <c r="E56" s="16"/>
      <c r="F56" s="16"/>
      <c r="G56" s="16"/>
      <c r="H56" s="16"/>
      <c r="I56" s="15"/>
      <c r="J56" s="15"/>
      <c r="K56" s="15"/>
      <c r="L56" s="15"/>
      <c r="M56" s="15"/>
      <c r="N56" s="134" t="s">
        <v>13</v>
      </c>
      <c r="O56" s="144">
        <f>AVERAGE(O42:O55)</f>
        <v>2.1082381477261936E-2</v>
      </c>
    </row>
    <row r="57" spans="2:15">
      <c r="B57" s="40" t="s">
        <v>108</v>
      </c>
      <c r="C57" s="41"/>
      <c r="D57" s="16"/>
      <c r="E57" s="16"/>
      <c r="F57" s="16"/>
      <c r="G57" s="16"/>
      <c r="H57" s="16"/>
      <c r="I57" s="15"/>
      <c r="J57" s="15"/>
      <c r="K57" s="15"/>
      <c r="L57" s="15"/>
      <c r="M57" s="15"/>
      <c r="N57" s="135" t="s">
        <v>17</v>
      </c>
      <c r="O57" s="145">
        <f>MIN(O42:O55)</f>
        <v>1.747133164603043E-2</v>
      </c>
    </row>
    <row r="58" spans="2:15">
      <c r="B58" s="42" t="s">
        <v>33</v>
      </c>
      <c r="C58" s="43">
        <f>'8. Monthly revenue and trips'!C6*0.95</f>
        <v>4061.8131468699926</v>
      </c>
      <c r="D58" s="16"/>
      <c r="E58" s="16"/>
      <c r="F58" s="16"/>
      <c r="G58" s="16"/>
      <c r="H58" s="16"/>
      <c r="I58" s="15"/>
      <c r="J58" s="15"/>
      <c r="K58" s="15"/>
      <c r="L58" s="15"/>
      <c r="M58" s="15"/>
      <c r="N58" s="136" t="s">
        <v>18</v>
      </c>
      <c r="O58" s="146">
        <f>MAX(O42:O55)</f>
        <v>2.4595071315275607E-2</v>
      </c>
    </row>
    <row r="59" spans="2:15">
      <c r="B59" s="42" t="s">
        <v>21</v>
      </c>
      <c r="C59" s="45">
        <f>'8. Monthly revenue and trips'!C4</f>
        <v>28.489485170139162</v>
      </c>
      <c r="D59" s="16"/>
      <c r="E59" s="16"/>
      <c r="F59" s="16"/>
      <c r="G59" s="16"/>
      <c r="H59" s="16"/>
      <c r="I59" s="15"/>
      <c r="J59" s="15"/>
      <c r="K59" s="15"/>
      <c r="L59" s="15"/>
      <c r="M59" s="15"/>
      <c r="N59" s="15"/>
      <c r="O59" s="15"/>
    </row>
    <row r="60" spans="2:15">
      <c r="B60" s="42"/>
      <c r="C60" s="45"/>
      <c r="D60" s="16"/>
      <c r="E60" s="16"/>
      <c r="F60" s="16"/>
      <c r="G60" s="16"/>
      <c r="H60" s="16"/>
      <c r="I60" s="15"/>
      <c r="J60" s="15"/>
      <c r="K60" s="15"/>
      <c r="L60" s="15"/>
      <c r="M60" s="15"/>
      <c r="N60" s="15"/>
      <c r="O60" s="15"/>
    </row>
    <row r="61" spans="2:15">
      <c r="B61" s="42" t="s">
        <v>34</v>
      </c>
      <c r="C61" s="46">
        <f>'8. Monthly revenue and trips'!C19*'12. Sensitivity (EFTPOS)'!C58</f>
        <v>169.31942942339575</v>
      </c>
      <c r="D61" s="16"/>
      <c r="E61" s="47"/>
      <c r="F61" s="16"/>
      <c r="G61" s="16"/>
      <c r="H61" s="16"/>
      <c r="I61" s="15"/>
      <c r="J61" s="15"/>
      <c r="K61" s="15"/>
      <c r="L61" s="15"/>
      <c r="M61" s="15"/>
      <c r="N61" s="15"/>
      <c r="O61" s="15"/>
    </row>
    <row r="62" spans="2:15">
      <c r="B62" s="42" t="s">
        <v>197</v>
      </c>
      <c r="C62" s="46">
        <f>'8. Monthly revenue and trips'!C20*'12. Sensitivity (EFTPOS)'!C58</f>
        <v>3222.0276320161925</v>
      </c>
      <c r="D62" s="16"/>
      <c r="E62" s="16"/>
      <c r="F62" s="16"/>
      <c r="G62" s="16"/>
      <c r="H62" s="16"/>
      <c r="I62" s="15"/>
      <c r="J62" s="48"/>
      <c r="K62" s="15"/>
      <c r="L62" s="15"/>
      <c r="M62" s="15"/>
      <c r="N62" s="15"/>
      <c r="O62" s="15"/>
    </row>
    <row r="63" spans="2:15">
      <c r="B63" s="42" t="s">
        <v>39</v>
      </c>
      <c r="C63" s="46">
        <f>'8. Monthly revenue and trips'!C21*'12. Sensitivity (EFTPOS)'!C58</f>
        <v>614.59724802653375</v>
      </c>
      <c r="D63" s="16"/>
      <c r="E63" s="16"/>
      <c r="F63" s="16"/>
      <c r="G63" s="16"/>
      <c r="H63" s="49"/>
      <c r="I63" s="15"/>
      <c r="J63" s="48"/>
      <c r="K63" s="15"/>
      <c r="L63" s="15"/>
      <c r="M63" s="15"/>
      <c r="N63" s="15"/>
      <c r="O63" s="15"/>
    </row>
    <row r="64" spans="2:15">
      <c r="B64" s="42" t="s">
        <v>114</v>
      </c>
      <c r="C64" s="46">
        <f>'8. Monthly revenue and trips'!C22*'12. Sensitivity (EFTPOS)'!C58</f>
        <v>55.86883740387016</v>
      </c>
      <c r="D64" s="16"/>
      <c r="E64" s="16"/>
      <c r="F64" s="16"/>
      <c r="G64" s="16"/>
      <c r="H64" s="50"/>
      <c r="I64" s="15"/>
      <c r="J64" s="48"/>
      <c r="K64" s="15"/>
      <c r="L64" s="15"/>
      <c r="M64" s="15"/>
      <c r="N64" s="15"/>
      <c r="O64" s="15"/>
    </row>
    <row r="65" spans="2:15">
      <c r="B65" s="42"/>
      <c r="C65" s="46"/>
      <c r="D65" s="16"/>
      <c r="E65" s="16"/>
      <c r="F65" s="16"/>
      <c r="G65" s="16"/>
      <c r="H65" s="50"/>
      <c r="I65" s="15"/>
      <c r="J65" s="48"/>
      <c r="K65" s="15"/>
      <c r="L65" s="15"/>
      <c r="M65" s="15"/>
      <c r="N65" s="15"/>
      <c r="O65" s="15"/>
    </row>
    <row r="66" spans="2:15">
      <c r="B66" s="42" t="s">
        <v>38</v>
      </c>
      <c r="C66" s="51">
        <f>C61/$C$59</f>
        <v>5.9432253132066224</v>
      </c>
      <c r="D66" s="16"/>
      <c r="E66" s="16"/>
      <c r="F66" s="16"/>
      <c r="G66" s="16"/>
      <c r="H66" s="16"/>
      <c r="I66" s="15"/>
      <c r="J66" s="15"/>
      <c r="K66" s="15"/>
      <c r="L66" s="15"/>
      <c r="M66" s="15"/>
      <c r="N66" s="15"/>
      <c r="O66" s="15"/>
    </row>
    <row r="67" spans="2:15">
      <c r="B67" s="42" t="s">
        <v>198</v>
      </c>
      <c r="C67" s="51">
        <f t="shared" ref="C67:C68" si="11">C62/$C$59</f>
        <v>113.09532667137536</v>
      </c>
      <c r="D67" s="16"/>
      <c r="E67" s="52"/>
      <c r="F67" s="16"/>
      <c r="G67" s="16"/>
      <c r="H67" s="16"/>
      <c r="I67" s="15"/>
      <c r="J67" s="15"/>
      <c r="K67" s="15"/>
      <c r="L67" s="15"/>
      <c r="M67" s="15"/>
      <c r="N67" s="15"/>
      <c r="O67" s="15"/>
    </row>
    <row r="68" spans="2:15">
      <c r="B68" s="42" t="s">
        <v>41</v>
      </c>
      <c r="C68" s="51">
        <f t="shared" si="11"/>
        <v>21.572774809939876</v>
      </c>
      <c r="D68" s="16"/>
      <c r="E68" s="52"/>
      <c r="F68" s="16"/>
      <c r="G68" s="16"/>
      <c r="H68" s="16"/>
      <c r="I68" s="15"/>
      <c r="J68" s="15"/>
      <c r="K68" s="53"/>
      <c r="L68" s="15"/>
      <c r="M68" s="15"/>
      <c r="N68" s="15"/>
      <c r="O68" s="15"/>
    </row>
    <row r="69" spans="2:15">
      <c r="B69" s="44" t="s">
        <v>113</v>
      </c>
      <c r="C69" s="54">
        <f>C64/$C$59</f>
        <v>1.9610335908220717</v>
      </c>
      <c r="D69" s="16"/>
      <c r="E69" s="55"/>
      <c r="F69" s="16"/>
      <c r="G69" s="16"/>
      <c r="H69" s="16"/>
      <c r="I69" s="15"/>
      <c r="J69" s="15"/>
      <c r="K69" s="53"/>
      <c r="L69" s="15"/>
      <c r="M69" s="15"/>
      <c r="N69" s="15"/>
      <c r="O69" s="15"/>
    </row>
    <row r="70" spans="2:15">
      <c r="B70" s="13"/>
      <c r="C70" s="14"/>
      <c r="D70" s="14"/>
      <c r="E70" s="14"/>
      <c r="F70" s="14"/>
      <c r="G70" s="14"/>
      <c r="H70" s="14"/>
      <c r="I70" s="13"/>
      <c r="J70" s="13"/>
      <c r="K70" s="13"/>
      <c r="L70" s="13"/>
      <c r="M70" s="13"/>
      <c r="N70" s="13"/>
      <c r="O70" s="13"/>
    </row>
    <row r="71" spans="2:15">
      <c r="B71" s="13"/>
      <c r="C71" s="14"/>
      <c r="D71" s="14"/>
      <c r="E71" s="14"/>
      <c r="F71" s="14"/>
      <c r="G71" s="14"/>
      <c r="H71" s="14"/>
      <c r="I71" s="13"/>
      <c r="J71" s="13"/>
      <c r="K71" s="13"/>
      <c r="L71" s="13"/>
      <c r="M71" s="13"/>
      <c r="N71" s="13"/>
      <c r="O71" s="13"/>
    </row>
    <row r="72" spans="2:15" ht="28.5" customHeight="1">
      <c r="B72" s="375" t="s">
        <v>111</v>
      </c>
      <c r="C72" s="376"/>
      <c r="D72" s="376"/>
      <c r="E72" s="376"/>
      <c r="F72" s="376"/>
      <c r="G72" s="376"/>
      <c r="H72" s="376"/>
      <c r="I72" s="376"/>
      <c r="J72" s="376"/>
      <c r="K72" s="376"/>
      <c r="L72" s="376"/>
      <c r="M72" s="376"/>
      <c r="N72" s="376"/>
      <c r="O72" s="377"/>
    </row>
    <row r="73" spans="2:15">
      <c r="B73" s="15"/>
      <c r="C73" s="16"/>
      <c r="D73" s="16"/>
      <c r="E73" s="16"/>
      <c r="F73" s="16"/>
      <c r="G73" s="16"/>
      <c r="H73" s="16"/>
      <c r="I73" s="15"/>
      <c r="J73" s="15"/>
      <c r="K73" s="15"/>
      <c r="L73" s="15"/>
      <c r="M73" s="15"/>
      <c r="N73" s="15"/>
      <c r="O73" s="15"/>
    </row>
    <row r="74" spans="2:15" ht="12" customHeight="1">
      <c r="B74" s="17"/>
      <c r="C74" s="358" t="s">
        <v>10</v>
      </c>
      <c r="D74" s="359"/>
      <c r="E74" s="359"/>
      <c r="F74" s="359"/>
      <c r="G74" s="359"/>
      <c r="H74" s="359"/>
      <c r="I74" s="360"/>
      <c r="J74" s="361" t="s">
        <v>101</v>
      </c>
      <c r="K74" s="362"/>
      <c r="L74" s="362"/>
      <c r="M74" s="363"/>
      <c r="N74" s="18" t="s">
        <v>8</v>
      </c>
      <c r="O74" s="351" t="s">
        <v>104</v>
      </c>
    </row>
    <row r="75" spans="2:15" ht="33.75">
      <c r="B75" s="73" t="s">
        <v>25</v>
      </c>
      <c r="C75" s="20" t="s">
        <v>20</v>
      </c>
      <c r="D75" s="20" t="s">
        <v>19</v>
      </c>
      <c r="E75" s="20" t="s">
        <v>94</v>
      </c>
      <c r="F75" s="72" t="s">
        <v>102</v>
      </c>
      <c r="G75" s="20" t="s">
        <v>95</v>
      </c>
      <c r="H75" s="20" t="s">
        <v>96</v>
      </c>
      <c r="I75" s="71" t="s">
        <v>14</v>
      </c>
      <c r="J75" s="20" t="s">
        <v>16</v>
      </c>
      <c r="K75" s="20" t="s">
        <v>103</v>
      </c>
      <c r="L75" s="20" t="s">
        <v>99</v>
      </c>
      <c r="M75" s="72" t="s">
        <v>15</v>
      </c>
      <c r="N75" s="20" t="s">
        <v>100</v>
      </c>
      <c r="O75" s="352"/>
    </row>
    <row r="76" spans="2:15">
      <c r="B76" s="21" t="str">
        <f>'Terminal offers'!$A$3</f>
        <v>ANZ</v>
      </c>
      <c r="C76" s="22">
        <f>'Terminal offers'!$C$3</f>
        <v>40</v>
      </c>
      <c r="D76" s="22">
        <f>'Terminal offers'!$D$3</f>
        <v>0</v>
      </c>
      <c r="E76" s="225">
        <f>'Terminal offers'!$E$3</f>
        <v>0.25</v>
      </c>
      <c r="F76" s="23">
        <f>'Terminal offers'!$F$3</f>
        <v>8.0000000000000002E-3</v>
      </c>
      <c r="G76" s="24">
        <f>IF('Terminal offers'!$G$3&gt;0,'Terminal offers'!$G$3,'Terminal offers'!$G$68)</f>
        <v>2.3276000000000005E-2</v>
      </c>
      <c r="H76" s="24">
        <f>IF('Terminal offers'!$H$3&gt;0,'Terminal offers'!$H$3,'Terminal offers'!$H$68)</f>
        <v>2.9711000000000001E-2</v>
      </c>
      <c r="I76" s="25">
        <f>'Terminal offers'!$J$3</f>
        <v>0</v>
      </c>
      <c r="J76" s="26">
        <f t="shared" ref="J76:J79" si="12">C76+I76</f>
        <v>40</v>
      </c>
      <c r="K76" s="27">
        <f>MAX((E76*C100)+(F76*C96),  'Terminal offers'!I3)</f>
        <v>31.566558024078226</v>
      </c>
      <c r="L76" s="27">
        <f>(G76*C97)+(H76*C98)</f>
        <v>18.486118979462304</v>
      </c>
      <c r="M76" s="28">
        <f>SUM(J76:L76)</f>
        <v>90.052677003540538</v>
      </c>
      <c r="N76" s="29">
        <f>$C$92</f>
        <v>4703.1520647968337</v>
      </c>
      <c r="O76" s="30">
        <f>(N76+M76)/N76-1</f>
        <v>1.9147302864728877E-2</v>
      </c>
    </row>
    <row r="77" spans="2:15">
      <c r="B77" s="118" t="str">
        <f>'Terminal offers'!$A$19</f>
        <v>Commonwealth Bank</v>
      </c>
      <c r="C77" s="123">
        <f>'Terminal offers'!$C$19</f>
        <v>60</v>
      </c>
      <c r="D77" s="123">
        <f>'Terminal offers'!$D$19</f>
        <v>3000</v>
      </c>
      <c r="E77" s="371">
        <f>'Terminal offers'!$E$19</f>
        <v>1.4999999999999999E-2</v>
      </c>
      <c r="F77" s="372"/>
      <c r="G77" s="115">
        <f>IF('Terminal offers'!$G$19&gt;0,'Terminal offers'!$G$19,'Terminal offers'!$G$68)</f>
        <v>2.3276000000000005E-2</v>
      </c>
      <c r="H77" s="115">
        <f>IF('Terminal offers'!$H$19&gt;0,'Terminal offers'!$H$19,'Terminal offers'!$H$68)</f>
        <v>2.9711000000000001E-2</v>
      </c>
      <c r="I77" s="121">
        <f>'Terminal offers'!$J$19</f>
        <v>0</v>
      </c>
      <c r="J77" s="120">
        <f t="shared" si="12"/>
        <v>60</v>
      </c>
      <c r="K77" s="122">
        <f>IF((C95+C96)&lt;=D77, 0, E77*((C95+C96)-D77))</f>
        <v>13.902343698687586</v>
      </c>
      <c r="L77" s="122">
        <f>(G77*C97)+(H77*C98)</f>
        <v>18.486118979462304</v>
      </c>
      <c r="M77" s="117">
        <f>SUM(J77:L77)</f>
        <v>92.388462678149892</v>
      </c>
      <c r="N77" s="124">
        <f>$C$92</f>
        <v>4703.1520647968337</v>
      </c>
      <c r="O77" s="141">
        <f>(N77+M77)/N77-1</f>
        <v>1.9643945465782187E-2</v>
      </c>
    </row>
    <row r="78" spans="2:15">
      <c r="B78" s="31" t="str">
        <f>'Terminal offers'!$A$35</f>
        <v>NAB</v>
      </c>
      <c r="C78" s="22">
        <f>'Terminal offers'!$C$35</f>
        <v>40</v>
      </c>
      <c r="D78" s="22">
        <f>'Terminal offers'!$D$35</f>
        <v>1500</v>
      </c>
      <c r="E78" s="353">
        <f>'Terminal offers'!$E$35</f>
        <v>1.4999999999999999E-2</v>
      </c>
      <c r="F78" s="354"/>
      <c r="G78" s="24">
        <f>IF('Terminal offers'!$G$35&gt;0,'Terminal offers'!$G$35,'Terminal offers'!$G$68)</f>
        <v>2.3276000000000005E-2</v>
      </c>
      <c r="H78" s="24">
        <f>IF('Terminal offers'!$H$35&gt;0,'Terminal offers'!$H$35,'Terminal offers'!$H$68)</f>
        <v>2.9711000000000001E-2</v>
      </c>
      <c r="I78" s="25">
        <f>'Terminal offers'!$J$35</f>
        <v>0</v>
      </c>
      <c r="J78" s="26">
        <f t="shared" si="12"/>
        <v>40</v>
      </c>
      <c r="K78" s="33">
        <f>IF((C95+C96)&lt;=D78, 0, E78*((C95+C96)-D78))</f>
        <v>36.402343698687588</v>
      </c>
      <c r="L78" s="27">
        <f>(G78*C97)+(H78*C98)</f>
        <v>18.486118979462304</v>
      </c>
      <c r="M78" s="28">
        <f t="shared" ref="M78:M86" si="13">SUM(J78:L78)</f>
        <v>94.888462678149892</v>
      </c>
      <c r="N78" s="29">
        <f t="shared" ref="N78:N88" si="14">$C$92</f>
        <v>4703.1520647968337</v>
      </c>
      <c r="O78" s="30">
        <f t="shared" ref="O78:O88" si="15">(N78+M78)/N78-1</f>
        <v>2.0175503868648414E-2</v>
      </c>
    </row>
    <row r="79" spans="2:15">
      <c r="B79" s="112" t="str">
        <f>'Terminal offers'!$A$51</f>
        <v>Westpac</v>
      </c>
      <c r="C79" s="123">
        <f>'Terminal offers'!$C$51</f>
        <v>55</v>
      </c>
      <c r="D79" s="123">
        <f>'Terminal offers'!$D$51</f>
        <v>3500</v>
      </c>
      <c r="E79" s="371">
        <f>'Terminal offers'!$E$51</f>
        <v>1.4999999999999999E-2</v>
      </c>
      <c r="F79" s="372"/>
      <c r="G79" s="115">
        <f>IF('Terminal offers'!$G$51&gt;0,'Terminal offers'!$G$51,'Terminal offers'!$G$68)</f>
        <v>2.3276000000000005E-2</v>
      </c>
      <c r="H79" s="115">
        <f>IF('Terminal offers'!$H$51&gt;0,'Terminal offers'!$H$51,'Terminal offers'!$H$68)</f>
        <v>2.9711000000000001E-2</v>
      </c>
      <c r="I79" s="119">
        <f>'Terminal offers'!$J$51</f>
        <v>0</v>
      </c>
      <c r="J79" s="120">
        <f t="shared" si="12"/>
        <v>55</v>
      </c>
      <c r="K79" s="122">
        <f>IF((C95+C96)&lt;=D79, 0, E79*((C95+C96)-D79))</f>
        <v>6.4023436986875861</v>
      </c>
      <c r="L79" s="122">
        <f>(G79*C97)+(H79*C98)</f>
        <v>18.486118979462304</v>
      </c>
      <c r="M79" s="117">
        <f t="shared" si="13"/>
        <v>79.888462678149892</v>
      </c>
      <c r="N79" s="124">
        <f t="shared" si="14"/>
        <v>4703.1520647968337</v>
      </c>
      <c r="O79" s="141">
        <f t="shared" si="15"/>
        <v>1.6986153451451491E-2</v>
      </c>
    </row>
    <row r="80" spans="2:15">
      <c r="B80" s="21" t="str">
        <f>'Terminal offers'!$A$4</f>
        <v>Bank of Melbourne</v>
      </c>
      <c r="C80" s="22">
        <f>'Terminal offers'!$C$4</f>
        <v>55</v>
      </c>
      <c r="D80" s="22">
        <f>'Terminal offers'!$D$4</f>
        <v>3500</v>
      </c>
      <c r="E80" s="353">
        <f>'Terminal offers'!$E$4</f>
        <v>1.4999999999999999E-2</v>
      </c>
      <c r="F80" s="354"/>
      <c r="G80" s="24">
        <f>IF('Terminal offers'!$G$4&gt;0,'Terminal offers'!$G$4,'Terminal offers'!$G$68)</f>
        <v>2.3276000000000005E-2</v>
      </c>
      <c r="H80" s="24">
        <f>IF('Terminal offers'!$H$4&gt;0,'Terminal offers'!$H$4,'Terminal offers'!$H$68)</f>
        <v>2.9711000000000001E-2</v>
      </c>
      <c r="I80" s="25">
        <f>'Terminal offers'!$J$4</f>
        <v>10</v>
      </c>
      <c r="J80" s="26">
        <f>C80+I80</f>
        <v>65</v>
      </c>
      <c r="K80" s="27">
        <f>IF((C95+C96)&lt;=D80, 0, E80*((C95+C96)-D80))</f>
        <v>6.4023436986875861</v>
      </c>
      <c r="L80" s="27">
        <f>(G80*C97)+(H80*C98)</f>
        <v>18.486118979462304</v>
      </c>
      <c r="M80" s="28">
        <f t="shared" si="13"/>
        <v>89.888462678149892</v>
      </c>
      <c r="N80" s="29">
        <f t="shared" si="14"/>
        <v>4703.1520647968337</v>
      </c>
      <c r="O80" s="30">
        <f t="shared" si="15"/>
        <v>1.9112387062916181E-2</v>
      </c>
    </row>
    <row r="81" spans="2:15">
      <c r="B81" s="112" t="str">
        <f>'Terminal offers'!$A$9</f>
        <v>Bank SA</v>
      </c>
      <c r="C81" s="123">
        <f>'Terminal offers'!$C$9</f>
        <v>55</v>
      </c>
      <c r="D81" s="123">
        <f>'Terminal offers'!$D$9</f>
        <v>3500</v>
      </c>
      <c r="E81" s="371">
        <f>'Terminal offers'!$E$9</f>
        <v>1.4999999999999999E-2</v>
      </c>
      <c r="F81" s="372"/>
      <c r="G81" s="115">
        <f>IF('Terminal offers'!$G$9&gt;0,'Terminal offers'!$G$9,'Terminal offers'!$G$68)</f>
        <v>2.3276000000000005E-2</v>
      </c>
      <c r="H81" s="115">
        <f>IF('Terminal offers'!$H$9&gt;0,'Terminal offers'!$H$9,'Terminal offers'!$H$68)</f>
        <v>2.9711000000000001E-2</v>
      </c>
      <c r="I81" s="119">
        <f>'Terminal offers'!$J$9</f>
        <v>10</v>
      </c>
      <c r="J81" s="120">
        <f t="shared" ref="J81:J89" si="16">C81+I81</f>
        <v>65</v>
      </c>
      <c r="K81" s="122">
        <f>IF((C95+C96)&lt;=D81, 0, E81*((C95+C96)-D81))</f>
        <v>6.4023436986875861</v>
      </c>
      <c r="L81" s="122">
        <f>(G81*C97)+(H81*C98)</f>
        <v>18.486118979462304</v>
      </c>
      <c r="M81" s="117">
        <f t="shared" si="13"/>
        <v>89.888462678149892</v>
      </c>
      <c r="N81" s="124">
        <f t="shared" si="14"/>
        <v>4703.1520647968337</v>
      </c>
      <c r="O81" s="141">
        <f t="shared" si="15"/>
        <v>1.9112387062916181E-2</v>
      </c>
    </row>
    <row r="82" spans="2:15">
      <c r="B82" s="21" t="str">
        <f>'Terminal offers'!$A$18</f>
        <v>Bendigo Bank</v>
      </c>
      <c r="C82" s="22">
        <f>'Terminal offers'!$C$18</f>
        <v>33</v>
      </c>
      <c r="D82" s="22">
        <f>'Terminal offers'!$D$18</f>
        <v>0</v>
      </c>
      <c r="E82" s="226">
        <f>'Terminal offers'!$E$18</f>
        <v>0.27500000000000002</v>
      </c>
      <c r="F82" s="23">
        <f>'Terminal offers'!$F$18</f>
        <v>1.3750000000000002E-2</v>
      </c>
      <c r="G82" s="24">
        <f>IF('Terminal offers'!$G$18&gt;0,'Terminal offers'!$G$18,'Terminal offers'!$G$68)</f>
        <v>2.3276000000000005E-2</v>
      </c>
      <c r="H82" s="24">
        <f>IF('Terminal offers'!$H$18&gt;0,'Terminal offers'!$H$18,'Terminal offers'!$H$68)</f>
        <v>2.9711000000000001E-2</v>
      </c>
      <c r="I82" s="32">
        <f>'Terminal offers'!$J$18</f>
        <v>0</v>
      </c>
      <c r="J82" s="26">
        <f t="shared" si="16"/>
        <v>33</v>
      </c>
      <c r="K82" s="26">
        <f>(C100*E82)+(C96*F82)</f>
        <v>53.190519569989391</v>
      </c>
      <c r="L82" s="27">
        <f>(G82*C97)+(H82*C98)</f>
        <v>18.486118979462304</v>
      </c>
      <c r="M82" s="28">
        <f t="shared" si="13"/>
        <v>104.6766385494517</v>
      </c>
      <c r="N82" s="29">
        <f t="shared" si="14"/>
        <v>4703.1520647968337</v>
      </c>
      <c r="O82" s="30">
        <f t="shared" si="15"/>
        <v>2.2256698721897283E-2</v>
      </c>
    </row>
    <row r="83" spans="2:15">
      <c r="B83" s="112" t="str">
        <f>'Terminal offers'!$A$14</f>
        <v>Bankwest</v>
      </c>
      <c r="C83" s="123">
        <f>'Terminal offers'!$C$14</f>
        <v>60</v>
      </c>
      <c r="D83" s="123">
        <f>'Terminal offers'!$D$14</f>
        <v>3000</v>
      </c>
      <c r="E83" s="371">
        <f>'Terminal offers'!$E$14</f>
        <v>1.4999999999999999E-2</v>
      </c>
      <c r="F83" s="372"/>
      <c r="G83" s="115">
        <f>IF('Terminal offers'!$G$14&gt;0,'Terminal offers'!$G$14,'Terminal offers'!$G$68)</f>
        <v>2.3276000000000005E-2</v>
      </c>
      <c r="H83" s="115">
        <f>IF('Terminal offers'!$H$14&gt;0,'Terminal offers'!$H$14,'Terminal offers'!$H$68)</f>
        <v>2.9711000000000001E-2</v>
      </c>
      <c r="I83" s="119">
        <f>'Terminal offers'!$J$14</f>
        <v>0</v>
      </c>
      <c r="J83" s="120">
        <f t="shared" si="16"/>
        <v>60</v>
      </c>
      <c r="K83" s="122">
        <f>IF((C95+C96)&lt;=D83, 0, E83*((C95+C96)-D83))</f>
        <v>13.902343698687586</v>
      </c>
      <c r="L83" s="122">
        <f>(G83*C97)+(H83*C98)</f>
        <v>18.486118979462304</v>
      </c>
      <c r="M83" s="117">
        <f t="shared" si="13"/>
        <v>92.388462678149892</v>
      </c>
      <c r="N83" s="124">
        <f t="shared" si="14"/>
        <v>4703.1520647968337</v>
      </c>
      <c r="O83" s="141">
        <f t="shared" si="15"/>
        <v>1.9643945465782187E-2</v>
      </c>
    </row>
    <row r="84" spans="2:15">
      <c r="B84" s="31" t="str">
        <f>'Terminal offers'!$A$28</f>
        <v>Hume Bank</v>
      </c>
      <c r="C84" s="22">
        <f>'Terminal offers'!$C$28</f>
        <v>40</v>
      </c>
      <c r="D84" s="22">
        <f>'Terminal offers'!$D$28</f>
        <v>1500</v>
      </c>
      <c r="E84" s="353">
        <f>'Terminal offers'!$E$28</f>
        <v>1.4999999999999999E-2</v>
      </c>
      <c r="F84" s="354"/>
      <c r="G84" s="24">
        <f>IF('Terminal offers'!$G$28&gt;0,'Terminal offers'!$G$28,'Terminal offers'!$G$68)</f>
        <v>2.3276000000000005E-2</v>
      </c>
      <c r="H84" s="24">
        <f>IF('Terminal offers'!$H$28&gt;0,'Terminal offers'!$H$28,'Terminal offers'!$H$68)</f>
        <v>2.9711000000000001E-2</v>
      </c>
      <c r="I84" s="25">
        <f>'Terminal offers'!$J$28</f>
        <v>0</v>
      </c>
      <c r="J84" s="26">
        <f t="shared" si="16"/>
        <v>40</v>
      </c>
      <c r="K84" s="26">
        <f>IF((C95+C96)&lt;=D84, 0, E84*((C95+C96)-D84))</f>
        <v>36.402343698687588</v>
      </c>
      <c r="L84" s="27">
        <f>(G84*C97)+(H84*C98)</f>
        <v>18.486118979462304</v>
      </c>
      <c r="M84" s="28">
        <f t="shared" si="13"/>
        <v>94.888462678149892</v>
      </c>
      <c r="N84" s="29">
        <f t="shared" si="14"/>
        <v>4703.1520647968337</v>
      </c>
      <c r="O84" s="30">
        <f t="shared" si="15"/>
        <v>2.0175503868648414E-2</v>
      </c>
    </row>
    <row r="85" spans="2:15">
      <c r="B85" s="112" t="str">
        <f>'Terminal offers'!$A$45</f>
        <v>St George</v>
      </c>
      <c r="C85" s="123">
        <f>'Terminal offers'!$C$45</f>
        <v>55</v>
      </c>
      <c r="D85" s="123">
        <f>'Terminal offers'!$D$45</f>
        <v>3500</v>
      </c>
      <c r="E85" s="371">
        <f>'Terminal offers'!$E$45</f>
        <v>1.4999999999999999E-2</v>
      </c>
      <c r="F85" s="372"/>
      <c r="G85" s="115">
        <f>IF('Terminal offers'!$G$45&gt;0,'Terminal offers'!$G$45,'Terminal offers'!$G$68)</f>
        <v>2.3276000000000005E-2</v>
      </c>
      <c r="H85" s="115">
        <f>IF('Terminal offers'!$H$45&gt;0,'Terminal offers'!$H$45,'Terminal offers'!$H$68)</f>
        <v>2.9711000000000001E-2</v>
      </c>
      <c r="I85" s="119">
        <f>'Terminal offers'!$J$45</f>
        <v>10</v>
      </c>
      <c r="J85" s="120">
        <f t="shared" si="16"/>
        <v>65</v>
      </c>
      <c r="K85" s="122">
        <f>IF((C95+C96)&lt;=D85, 0, E85*((C95+C96)-D85))</f>
        <v>6.4023436986875861</v>
      </c>
      <c r="L85" s="122">
        <f>(G85*C97)+(H85*C98)</f>
        <v>18.486118979462304</v>
      </c>
      <c r="M85" s="117">
        <f t="shared" si="13"/>
        <v>89.888462678149892</v>
      </c>
      <c r="N85" s="124">
        <f t="shared" si="14"/>
        <v>4703.1520647968337</v>
      </c>
      <c r="O85" s="141">
        <f t="shared" si="15"/>
        <v>1.9112387062916181E-2</v>
      </c>
    </row>
    <row r="86" spans="2:15">
      <c r="B86" s="21" t="str">
        <f>'Terminal offers'!$A$33</f>
        <v>Live eftpos</v>
      </c>
      <c r="C86" s="22">
        <f>'Terminal offers'!$C$33</f>
        <v>28.996000000000002</v>
      </c>
      <c r="D86" s="22">
        <f>'Terminal offers'!$D$33</f>
        <v>0</v>
      </c>
      <c r="E86" s="226">
        <f>'Terminal offers'!$E$33</f>
        <v>0.35200000000000004</v>
      </c>
      <c r="F86" s="23">
        <f>'Terminal offers'!$F$33</f>
        <v>1.7600000000000001E-2</v>
      </c>
      <c r="G86" s="24">
        <f>IF('Terminal offers'!$G$33&gt;0,'Terminal offers'!$G$33,'Terminal offers'!$G$68)</f>
        <v>1.7600000000000001E-2</v>
      </c>
      <c r="H86" s="24">
        <f>IF('Terminal offers'!$H$33&gt;0,'Terminal offers'!$H$33,'Terminal offers'!$H$68)</f>
        <v>1.7600000000000001E-2</v>
      </c>
      <c r="I86" s="25">
        <f>'Terminal offers'!$J$33</f>
        <v>0</v>
      </c>
      <c r="J86" s="26">
        <f t="shared" si="16"/>
        <v>28.996000000000002</v>
      </c>
      <c r="K86" s="26">
        <f>(C100*E86)+(C96*F86)</f>
        <v>68.083865049586421</v>
      </c>
      <c r="L86" s="27">
        <f>(G86*C97)+(H86*C98)</f>
        <v>13.663393067297495</v>
      </c>
      <c r="M86" s="28">
        <f t="shared" si="13"/>
        <v>110.74325811688392</v>
      </c>
      <c r="N86" s="29">
        <f t="shared" si="14"/>
        <v>4703.1520647968337</v>
      </c>
      <c r="O86" s="30">
        <f t="shared" si="15"/>
        <v>2.3546603765121521E-2</v>
      </c>
    </row>
    <row r="87" spans="2:15">
      <c r="B87" s="112" t="str">
        <f>'Terminal offers'!$A$50</f>
        <v>Tyro</v>
      </c>
      <c r="C87" s="123">
        <f>'Terminal offers'!$C$50</f>
        <v>42.900000000000006</v>
      </c>
      <c r="D87" s="123">
        <f>'Terminal offers'!$D$50</f>
        <v>0</v>
      </c>
      <c r="E87" s="373">
        <f>'Terminal offers'!$E$50</f>
        <v>1.2100000000000001E-2</v>
      </c>
      <c r="F87" s="374"/>
      <c r="G87" s="115">
        <f>IF('Terminal offers'!$G$50&gt;0,'Terminal offers'!$G$50,'Terminal offers'!$G$68)</f>
        <v>2.3276000000000005E-2</v>
      </c>
      <c r="H87" s="115">
        <f>IF('Terminal offers'!$H$50&gt;0,'Terminal offers'!$H$50,'Terminal offers'!$H$68)</f>
        <v>2.9711000000000001E-2</v>
      </c>
      <c r="I87" s="119">
        <f>'Terminal offers'!$J$50</f>
        <v>0</v>
      </c>
      <c r="J87" s="120">
        <f t="shared" si="16"/>
        <v>42.900000000000006</v>
      </c>
      <c r="K87" s="120">
        <f>E87*(C95+C96)</f>
        <v>47.514557250274656</v>
      </c>
      <c r="L87" s="122">
        <f>(G87*C97)+(H87*C98)</f>
        <v>18.486118979462304</v>
      </c>
      <c r="M87" s="117">
        <f>SUM(J87:L87)</f>
        <v>108.90067622973697</v>
      </c>
      <c r="N87" s="124">
        <f t="shared" si="14"/>
        <v>4703.1520647968337</v>
      </c>
      <c r="O87" s="141">
        <f t="shared" si="15"/>
        <v>2.3154827811088685E-2</v>
      </c>
    </row>
    <row r="88" spans="2:15">
      <c r="B88" s="21" t="str">
        <f>'Terminal offers'!$A$23</f>
        <v>First Data</v>
      </c>
      <c r="C88" s="22">
        <f>'Terminal offers'!$C$23</f>
        <v>45</v>
      </c>
      <c r="D88" s="22">
        <f>'Terminal offers'!$D$23</f>
        <v>2500</v>
      </c>
      <c r="E88" s="353">
        <f>'Terminal offers'!$E$23</f>
        <v>1.7500000000000002E-2</v>
      </c>
      <c r="F88" s="354"/>
      <c r="G88" s="24">
        <f>IF('Terminal offers'!$G$23&gt;0,'Terminal offers'!$G$23,'Terminal offers'!$G$68)</f>
        <v>2.3276000000000005E-2</v>
      </c>
      <c r="H88" s="24">
        <f>IF('Terminal offers'!$H$23&gt;0,'Terminal offers'!$H$23,'Terminal offers'!$H$68)</f>
        <v>2.9711000000000001E-2</v>
      </c>
      <c r="I88" s="25">
        <f>'Terminal offers'!$J$23</f>
        <v>0</v>
      </c>
      <c r="J88" s="26">
        <f t="shared" si="16"/>
        <v>45</v>
      </c>
      <c r="K88" s="27">
        <f>IF((C95+C96)&lt;=D88, 0, E88*((C95+C96)-D88))</f>
        <v>24.969400981802188</v>
      </c>
      <c r="L88" s="27">
        <f>(G88*C97)+(H88*C98)</f>
        <v>18.486118979462304</v>
      </c>
      <c r="M88" s="28">
        <f t="shared" ref="M88:M89" si="17">SUM(J88:L88)</f>
        <v>88.455519961264486</v>
      </c>
      <c r="N88" s="29">
        <f t="shared" si="14"/>
        <v>4703.1520647968337</v>
      </c>
      <c r="O88" s="30">
        <f t="shared" si="15"/>
        <v>1.8807709966121466E-2</v>
      </c>
    </row>
    <row r="89" spans="2:15">
      <c r="B89" s="125" t="str">
        <f>'Terminal offers'!$A$34</f>
        <v>Mint</v>
      </c>
      <c r="C89" s="126">
        <f>'Terminal offers'!$C$34</f>
        <v>39</v>
      </c>
      <c r="D89" s="126">
        <f>'Terminal offers'!$D$34</f>
        <v>0</v>
      </c>
      <c r="E89" s="227">
        <f>'Terminal offers'!$E$34</f>
        <v>0.25</v>
      </c>
      <c r="F89" s="127">
        <f>'Terminal offers'!$F$34</f>
        <v>1.2500000000000001E-2</v>
      </c>
      <c r="G89" s="128">
        <f>IF('Terminal offers'!$G$34&gt;0,'Terminal offers'!$G$34,'Terminal offers'!$G$68)</f>
        <v>2.3276000000000005E-2</v>
      </c>
      <c r="H89" s="128">
        <f>IF('Terminal offers'!$H$34&gt;0,'Terminal offers'!$H$34,'Terminal offers'!$H$68)</f>
        <v>2.9711000000000001E-2</v>
      </c>
      <c r="I89" s="129">
        <f>'Terminal offers'!$J$34</f>
        <v>0</v>
      </c>
      <c r="J89" s="130">
        <f t="shared" si="16"/>
        <v>39</v>
      </c>
      <c r="K89" s="131">
        <f>(E89*C100)+(F89*C96)</f>
        <v>48.355017790899446</v>
      </c>
      <c r="L89" s="131">
        <f>(G89*C97)+(H89*C98)</f>
        <v>18.486118979462304</v>
      </c>
      <c r="M89" s="132">
        <f t="shared" si="17"/>
        <v>105.84113677036174</v>
      </c>
      <c r="N89" s="133">
        <f>$C$92</f>
        <v>4703.1520647968337</v>
      </c>
      <c r="O89" s="142">
        <f>(N89+M89)/N89-1</f>
        <v>2.2504298247676191E-2</v>
      </c>
    </row>
    <row r="90" spans="2:15">
      <c r="B90" s="15"/>
      <c r="C90" s="16"/>
      <c r="D90" s="16"/>
      <c r="E90" s="16"/>
      <c r="F90" s="16"/>
      <c r="G90" s="16"/>
      <c r="H90" s="16"/>
      <c r="I90" s="15"/>
      <c r="J90" s="15"/>
      <c r="K90" s="15"/>
      <c r="L90" s="15"/>
      <c r="M90" s="15"/>
      <c r="N90" s="134" t="s">
        <v>13</v>
      </c>
      <c r="O90" s="144">
        <f>AVERAGE(O76:O89)</f>
        <v>2.0241403906121089E-2</v>
      </c>
    </row>
    <row r="91" spans="2:15">
      <c r="B91" s="40" t="s">
        <v>108</v>
      </c>
      <c r="C91" s="41"/>
      <c r="D91" s="16"/>
      <c r="E91" s="16"/>
      <c r="F91" s="16"/>
      <c r="G91" s="16"/>
      <c r="H91" s="16"/>
      <c r="I91" s="15"/>
      <c r="J91" s="15"/>
      <c r="K91" s="15"/>
      <c r="L91" s="15"/>
      <c r="M91" s="15"/>
      <c r="N91" s="135" t="s">
        <v>17</v>
      </c>
      <c r="O91" s="145">
        <f>MIN(O76:O89)</f>
        <v>1.6986153451451491E-2</v>
      </c>
    </row>
    <row r="92" spans="2:15">
      <c r="B92" s="42" t="s">
        <v>33</v>
      </c>
      <c r="C92" s="43">
        <f>'8. Monthly revenue and trips'!C6*1.1</f>
        <v>4703.1520647968337</v>
      </c>
      <c r="D92" s="16"/>
      <c r="E92" s="16"/>
      <c r="F92" s="16"/>
      <c r="G92" s="16"/>
      <c r="H92" s="16"/>
      <c r="I92" s="15"/>
      <c r="J92" s="15"/>
      <c r="K92" s="15"/>
      <c r="L92" s="15"/>
      <c r="M92" s="15"/>
      <c r="N92" s="136" t="s">
        <v>18</v>
      </c>
      <c r="O92" s="146">
        <f>MAX(O76:O89)</f>
        <v>2.3546603765121521E-2</v>
      </c>
    </row>
    <row r="93" spans="2:15">
      <c r="B93" s="42" t="s">
        <v>21</v>
      </c>
      <c r="C93" s="45">
        <f>'8. Monthly revenue and trips'!C4</f>
        <v>28.489485170139162</v>
      </c>
      <c r="D93" s="16"/>
      <c r="E93" s="16"/>
      <c r="F93" s="16"/>
      <c r="G93" s="16"/>
      <c r="H93" s="16"/>
      <c r="I93" s="15"/>
      <c r="J93" s="15"/>
      <c r="K93" s="15"/>
      <c r="L93" s="15"/>
      <c r="M93" s="15"/>
      <c r="N93" s="15"/>
      <c r="O93" s="15"/>
    </row>
    <row r="94" spans="2:15">
      <c r="B94" s="42"/>
      <c r="C94" s="45"/>
      <c r="D94" s="16"/>
      <c r="E94" s="16"/>
      <c r="F94" s="16"/>
      <c r="G94" s="16"/>
      <c r="H94" s="16"/>
      <c r="I94" s="15"/>
      <c r="J94" s="15"/>
      <c r="K94" s="15"/>
      <c r="L94" s="15"/>
      <c r="M94" s="15"/>
      <c r="N94" s="15"/>
      <c r="O94" s="15"/>
    </row>
    <row r="95" spans="2:15">
      <c r="B95" s="42" t="s">
        <v>34</v>
      </c>
      <c r="C95" s="46">
        <f>'8. Monthly revenue and trips'!C19*'12. Sensitivity (EFTPOS)'!C92</f>
        <v>196.05407617445823</v>
      </c>
      <c r="D95" s="16"/>
      <c r="E95" s="47"/>
      <c r="F95" s="16"/>
      <c r="G95" s="16"/>
      <c r="H95" s="16"/>
      <c r="I95" s="15"/>
      <c r="J95" s="15"/>
      <c r="K95" s="15"/>
      <c r="L95" s="15"/>
      <c r="M95" s="15"/>
      <c r="N95" s="15"/>
      <c r="O95" s="15"/>
    </row>
    <row r="96" spans="2:15">
      <c r="B96" s="42" t="s">
        <v>197</v>
      </c>
      <c r="C96" s="46">
        <f>'8. Monthly revenue and trips'!C20*'12. Sensitivity (EFTPOS)'!C92</f>
        <v>3730.7688370713809</v>
      </c>
      <c r="D96" s="16"/>
      <c r="E96" s="16"/>
      <c r="F96" s="16"/>
      <c r="G96" s="16"/>
      <c r="H96" s="16"/>
      <c r="I96" s="15"/>
      <c r="J96" s="48"/>
      <c r="K96" s="15"/>
      <c r="L96" s="15"/>
      <c r="M96" s="15"/>
      <c r="N96" s="15"/>
      <c r="O96" s="15"/>
    </row>
    <row r="97" spans="2:15">
      <c r="B97" s="42" t="s">
        <v>39</v>
      </c>
      <c r="C97" s="46">
        <f>'8. Monthly revenue and trips'!C21*'12. Sensitivity (EFTPOS)'!C92</f>
        <v>711.63891876756543</v>
      </c>
      <c r="D97" s="16"/>
      <c r="E97" s="16"/>
      <c r="F97" s="16"/>
      <c r="G97" s="16"/>
      <c r="H97" s="49"/>
      <c r="I97" s="15"/>
      <c r="J97" s="48"/>
      <c r="K97" s="15"/>
      <c r="L97" s="15"/>
      <c r="M97" s="15"/>
      <c r="N97" s="15"/>
      <c r="O97" s="15"/>
    </row>
    <row r="98" spans="2:15">
      <c r="B98" s="42" t="s">
        <v>114</v>
      </c>
      <c r="C98" s="46">
        <f>'8. Monthly revenue and trips'!C22*'12. Sensitivity (EFTPOS)'!C92</f>
        <v>64.690232783428613</v>
      </c>
      <c r="D98" s="16"/>
      <c r="E98" s="16"/>
      <c r="F98" s="16"/>
      <c r="G98" s="16"/>
      <c r="H98" s="50"/>
      <c r="I98" s="15"/>
      <c r="J98" s="48"/>
      <c r="K98" s="15"/>
      <c r="L98" s="15"/>
      <c r="M98" s="15"/>
      <c r="N98" s="15"/>
      <c r="O98" s="15"/>
    </row>
    <row r="99" spans="2:15">
      <c r="B99" s="42"/>
      <c r="C99" s="46"/>
      <c r="D99" s="16"/>
      <c r="E99" s="16"/>
      <c r="F99" s="16"/>
      <c r="G99" s="16"/>
      <c r="H99" s="50"/>
      <c r="I99" s="15"/>
      <c r="J99" s="48"/>
      <c r="K99" s="15"/>
      <c r="L99" s="15"/>
      <c r="M99" s="15"/>
      <c r="N99" s="15"/>
      <c r="O99" s="15"/>
    </row>
    <row r="100" spans="2:15">
      <c r="B100" s="42" t="s">
        <v>38</v>
      </c>
      <c r="C100" s="51">
        <f>C95/$C$93</f>
        <v>6.8816293100287211</v>
      </c>
      <c r="D100" s="16"/>
      <c r="E100" s="16"/>
      <c r="F100" s="16"/>
      <c r="G100" s="16"/>
      <c r="H100" s="16"/>
      <c r="I100" s="15"/>
      <c r="J100" s="15"/>
      <c r="K100" s="15"/>
      <c r="L100" s="15"/>
      <c r="M100" s="15"/>
      <c r="N100" s="15"/>
      <c r="O100" s="15"/>
    </row>
    <row r="101" spans="2:15">
      <c r="B101" s="42" t="s">
        <v>198</v>
      </c>
      <c r="C101" s="51">
        <f t="shared" ref="C101:C102" si="18">C96/$C$93</f>
        <v>130.9524835142241</v>
      </c>
      <c r="D101" s="16"/>
      <c r="E101" s="52"/>
      <c r="F101" s="16"/>
      <c r="G101" s="16"/>
      <c r="H101" s="16"/>
      <c r="I101" s="15"/>
      <c r="J101" s="15"/>
      <c r="K101" s="15"/>
      <c r="L101" s="15"/>
      <c r="M101" s="15"/>
      <c r="N101" s="15"/>
      <c r="O101" s="15"/>
    </row>
    <row r="102" spans="2:15">
      <c r="B102" s="42" t="s">
        <v>41</v>
      </c>
      <c r="C102" s="51">
        <f t="shared" si="18"/>
        <v>24.979002411509331</v>
      </c>
      <c r="D102" s="16"/>
      <c r="E102" s="52"/>
      <c r="F102" s="16"/>
      <c r="G102" s="16"/>
      <c r="H102" s="16"/>
      <c r="I102" s="15"/>
      <c r="J102" s="15"/>
      <c r="K102" s="53"/>
      <c r="L102" s="15"/>
      <c r="M102" s="15"/>
      <c r="N102" s="15"/>
      <c r="O102" s="15"/>
    </row>
    <row r="103" spans="2:15">
      <c r="B103" s="44" t="s">
        <v>113</v>
      </c>
      <c r="C103" s="54">
        <f>C98/$C$93</f>
        <v>2.2706704735834515</v>
      </c>
      <c r="D103" s="16"/>
      <c r="E103" s="55"/>
      <c r="F103" s="16"/>
      <c r="G103" s="16"/>
      <c r="H103" s="16"/>
      <c r="I103" s="15"/>
      <c r="J103" s="15"/>
      <c r="K103" s="53"/>
      <c r="L103" s="15"/>
      <c r="M103" s="15"/>
      <c r="N103" s="15"/>
      <c r="O103" s="15"/>
    </row>
    <row r="104" spans="2:15">
      <c r="B104" s="13"/>
      <c r="C104" s="14"/>
      <c r="D104" s="14"/>
      <c r="E104" s="14"/>
      <c r="F104" s="14"/>
      <c r="G104" s="14"/>
      <c r="H104" s="14"/>
      <c r="I104" s="13"/>
      <c r="J104" s="13"/>
      <c r="K104" s="13"/>
      <c r="L104" s="13"/>
      <c r="M104" s="13"/>
      <c r="N104" s="13"/>
      <c r="O104" s="13"/>
    </row>
    <row r="105" spans="2:15">
      <c r="B105" s="13"/>
      <c r="C105" s="14"/>
      <c r="D105" s="14"/>
      <c r="E105" s="14"/>
      <c r="F105" s="14"/>
      <c r="G105" s="14"/>
      <c r="H105" s="14"/>
      <c r="I105" s="13"/>
      <c r="J105" s="13"/>
      <c r="K105" s="13"/>
      <c r="L105" s="13"/>
      <c r="M105" s="13"/>
      <c r="N105" s="13"/>
      <c r="O105" s="13"/>
    </row>
    <row r="106" spans="2:15" ht="28.5" customHeight="1">
      <c r="B106" s="375" t="s">
        <v>112</v>
      </c>
      <c r="C106" s="376"/>
      <c r="D106" s="376"/>
      <c r="E106" s="376"/>
      <c r="F106" s="376"/>
      <c r="G106" s="376"/>
      <c r="H106" s="376"/>
      <c r="I106" s="376"/>
      <c r="J106" s="376"/>
      <c r="K106" s="376"/>
      <c r="L106" s="376"/>
      <c r="M106" s="376"/>
      <c r="N106" s="376"/>
      <c r="O106" s="377"/>
    </row>
    <row r="107" spans="2:15">
      <c r="B107" s="13"/>
      <c r="C107" s="14"/>
      <c r="D107" s="14"/>
      <c r="E107" s="14"/>
      <c r="F107" s="14"/>
      <c r="G107" s="14"/>
      <c r="H107" s="14"/>
      <c r="I107" s="13"/>
      <c r="J107" s="13"/>
      <c r="K107" s="13"/>
      <c r="L107" s="13"/>
      <c r="M107" s="13"/>
      <c r="N107" s="13"/>
      <c r="O107" s="13"/>
    </row>
    <row r="108" spans="2:15" ht="12" customHeight="1">
      <c r="B108" s="17"/>
      <c r="C108" s="358" t="s">
        <v>10</v>
      </c>
      <c r="D108" s="359"/>
      <c r="E108" s="359"/>
      <c r="F108" s="359"/>
      <c r="G108" s="359"/>
      <c r="H108" s="359"/>
      <c r="I108" s="360"/>
      <c r="J108" s="361" t="s">
        <v>101</v>
      </c>
      <c r="K108" s="362"/>
      <c r="L108" s="362"/>
      <c r="M108" s="363"/>
      <c r="N108" s="18" t="s">
        <v>8</v>
      </c>
      <c r="O108" s="351" t="s">
        <v>104</v>
      </c>
    </row>
    <row r="109" spans="2:15" ht="33.75">
      <c r="B109" s="73" t="s">
        <v>25</v>
      </c>
      <c r="C109" s="20" t="s">
        <v>20</v>
      </c>
      <c r="D109" s="20" t="s">
        <v>19</v>
      </c>
      <c r="E109" s="20" t="s">
        <v>94</v>
      </c>
      <c r="F109" s="72" t="s">
        <v>102</v>
      </c>
      <c r="G109" s="20" t="s">
        <v>95</v>
      </c>
      <c r="H109" s="20" t="s">
        <v>96</v>
      </c>
      <c r="I109" s="71" t="s">
        <v>14</v>
      </c>
      <c r="J109" s="20" t="s">
        <v>16</v>
      </c>
      <c r="K109" s="20" t="s">
        <v>103</v>
      </c>
      <c r="L109" s="20" t="s">
        <v>99</v>
      </c>
      <c r="M109" s="72" t="s">
        <v>15</v>
      </c>
      <c r="N109" s="20" t="s">
        <v>100</v>
      </c>
      <c r="O109" s="352"/>
    </row>
    <row r="110" spans="2:15">
      <c r="B110" s="21" t="str">
        <f>'Terminal offers'!$A$3</f>
        <v>ANZ</v>
      </c>
      <c r="C110" s="22">
        <f>'Terminal offers'!$C$3</f>
        <v>40</v>
      </c>
      <c r="D110" s="22">
        <f>'Terminal offers'!$D$3</f>
        <v>0</v>
      </c>
      <c r="E110" s="225">
        <f>'Terminal offers'!$E$3</f>
        <v>0.25</v>
      </c>
      <c r="F110" s="23">
        <f>'Terminal offers'!$F$3</f>
        <v>8.0000000000000002E-3</v>
      </c>
      <c r="G110" s="24">
        <f>IF('Terminal offers'!$G$3&gt;0,'Terminal offers'!$G$3,'Terminal offers'!$G$68)</f>
        <v>2.3276000000000005E-2</v>
      </c>
      <c r="H110" s="24">
        <f>IF('Terminal offers'!$H$3&gt;0,'Terminal offers'!$H$3,'Terminal offers'!$H$68)</f>
        <v>2.9711000000000001E-2</v>
      </c>
      <c r="I110" s="25">
        <f>'Terminal offers'!$J$3</f>
        <v>0</v>
      </c>
      <c r="J110" s="26">
        <f t="shared" ref="J110:J113" si="19">C110+I110</f>
        <v>40</v>
      </c>
      <c r="K110" s="27">
        <f>MAX((E110*C134)+(F110*C130),  'Terminal offers'!I3)</f>
        <v>29</v>
      </c>
      <c r="L110" s="27">
        <f>(G110*C131)+(H110*C132)</f>
        <v>15.125006437741884</v>
      </c>
      <c r="M110" s="28">
        <f>SUM(J110:L110)</f>
        <v>84.125006437741888</v>
      </c>
      <c r="N110" s="29">
        <f>$C$126</f>
        <v>3848.0335075610456</v>
      </c>
      <c r="O110" s="30">
        <f>(N110+M110)/N110-1</f>
        <v>2.1861817541984463E-2</v>
      </c>
    </row>
    <row r="111" spans="2:15">
      <c r="B111" s="118" t="str">
        <f>'Terminal offers'!$A$19</f>
        <v>Commonwealth Bank</v>
      </c>
      <c r="C111" s="123">
        <f>'Terminal offers'!$C$19</f>
        <v>60</v>
      </c>
      <c r="D111" s="123">
        <f>'Terminal offers'!$D$19</f>
        <v>3000</v>
      </c>
      <c r="E111" s="371">
        <f>'Terminal offers'!$E$19</f>
        <v>1.4999999999999999E-2</v>
      </c>
      <c r="F111" s="372"/>
      <c r="G111" s="115">
        <f>IF('Terminal offers'!$G$19&gt;0,'Terminal offers'!$G$19,'Terminal offers'!$G$68)</f>
        <v>2.3276000000000005E-2</v>
      </c>
      <c r="H111" s="115">
        <f>IF('Terminal offers'!$H$19&gt;0,'Terminal offers'!$H$19,'Terminal offers'!$H$68)</f>
        <v>2.9711000000000001E-2</v>
      </c>
      <c r="I111" s="121">
        <f>'Terminal offers'!$J$19</f>
        <v>0</v>
      </c>
      <c r="J111" s="120">
        <f t="shared" si="19"/>
        <v>60</v>
      </c>
      <c r="K111" s="122">
        <f>IF((C129+C130)&lt;=D111, 0, E111*((C129+C130)-D111))</f>
        <v>3.1928266625625676</v>
      </c>
      <c r="L111" s="122">
        <f>(G111*C131)+(H111*C132)</f>
        <v>15.125006437741884</v>
      </c>
      <c r="M111" s="117">
        <f>SUM(J111:L111)</f>
        <v>78.317833100304455</v>
      </c>
      <c r="N111" s="124">
        <f>$C$126</f>
        <v>3848.0335075610456</v>
      </c>
      <c r="O111" s="141">
        <f>(N111+M111)/N111-1</f>
        <v>2.0352690002937157E-2</v>
      </c>
    </row>
    <row r="112" spans="2:15">
      <c r="B112" s="31" t="str">
        <f>'Terminal offers'!$A$35</f>
        <v>NAB</v>
      </c>
      <c r="C112" s="22">
        <f>'Terminal offers'!$C$35</f>
        <v>40</v>
      </c>
      <c r="D112" s="22">
        <f>'Terminal offers'!$D$35</f>
        <v>1500</v>
      </c>
      <c r="E112" s="353">
        <f>'Terminal offers'!$E$35</f>
        <v>1.4999999999999999E-2</v>
      </c>
      <c r="F112" s="354"/>
      <c r="G112" s="24">
        <f>IF('Terminal offers'!$G$35&gt;0,'Terminal offers'!$G$35,'Terminal offers'!$G$68)</f>
        <v>2.3276000000000005E-2</v>
      </c>
      <c r="H112" s="24">
        <f>IF('Terminal offers'!$H$35&gt;0,'Terminal offers'!$H$35,'Terminal offers'!$H$68)</f>
        <v>2.9711000000000001E-2</v>
      </c>
      <c r="I112" s="25">
        <f>'Terminal offers'!$J$35</f>
        <v>0</v>
      </c>
      <c r="J112" s="26">
        <f t="shared" si="19"/>
        <v>40</v>
      </c>
      <c r="K112" s="33">
        <f>IF((C129+C130)&lt;=D112, 0, E112*((C129+C130)-D112))</f>
        <v>25.692826662562567</v>
      </c>
      <c r="L112" s="27">
        <f>(G112*C131)+(H112*C132)</f>
        <v>15.125006437741884</v>
      </c>
      <c r="M112" s="28">
        <f t="shared" ref="M112:M120" si="20">SUM(J112:L112)</f>
        <v>80.817833100304455</v>
      </c>
      <c r="N112" s="29">
        <f t="shared" ref="N112:N122" si="21">$C$126</f>
        <v>3848.0335075610456</v>
      </c>
      <c r="O112" s="30">
        <f t="shared" ref="O112:O122" si="22">(N112+M112)/N112-1</f>
        <v>2.1002372495328991E-2</v>
      </c>
    </row>
    <row r="113" spans="2:15">
      <c r="B113" s="112" t="str">
        <f>'Terminal offers'!$A$51</f>
        <v>Westpac</v>
      </c>
      <c r="C113" s="123">
        <f>'Terminal offers'!$C$51</f>
        <v>55</v>
      </c>
      <c r="D113" s="123">
        <f>'Terminal offers'!$D$51</f>
        <v>3500</v>
      </c>
      <c r="E113" s="371">
        <f>'Terminal offers'!$E$51</f>
        <v>1.4999999999999999E-2</v>
      </c>
      <c r="F113" s="372"/>
      <c r="G113" s="115">
        <f>IF('Terminal offers'!$G$51&gt;0,'Terminal offers'!$G$51,'Terminal offers'!$G$68)</f>
        <v>2.3276000000000005E-2</v>
      </c>
      <c r="H113" s="115">
        <f>IF('Terminal offers'!$H$51&gt;0,'Terminal offers'!$H$51,'Terminal offers'!$H$68)</f>
        <v>2.9711000000000001E-2</v>
      </c>
      <c r="I113" s="119">
        <f>'Terminal offers'!$J$51</f>
        <v>0</v>
      </c>
      <c r="J113" s="120">
        <f t="shared" si="19"/>
        <v>55</v>
      </c>
      <c r="K113" s="122">
        <f>IF((C129+C130)&lt;=D113, 0, E113*((C129+C130)-D113))</f>
        <v>0</v>
      </c>
      <c r="L113" s="122">
        <f>(G113*C131)+(H113*C132)</f>
        <v>15.125006437741884</v>
      </c>
      <c r="M113" s="117">
        <f t="shared" si="20"/>
        <v>70.125006437741888</v>
      </c>
      <c r="N113" s="124">
        <f t="shared" si="21"/>
        <v>3848.0335075610456</v>
      </c>
      <c r="O113" s="141">
        <f t="shared" si="22"/>
        <v>1.8223595584589525E-2</v>
      </c>
    </row>
    <row r="114" spans="2:15">
      <c r="B114" s="21" t="str">
        <f>'Terminal offers'!$A$4</f>
        <v>Bank of Melbourne</v>
      </c>
      <c r="C114" s="22">
        <f>'Terminal offers'!$C$4</f>
        <v>55</v>
      </c>
      <c r="D114" s="22">
        <f>'Terminal offers'!$D$4</f>
        <v>3500</v>
      </c>
      <c r="E114" s="353">
        <f>'Terminal offers'!$E$4</f>
        <v>1.4999999999999999E-2</v>
      </c>
      <c r="F114" s="354"/>
      <c r="G114" s="24">
        <f>IF('Terminal offers'!$G$4&gt;0,'Terminal offers'!$G$4,'Terminal offers'!$G$68)</f>
        <v>2.3276000000000005E-2</v>
      </c>
      <c r="H114" s="24">
        <f>IF('Terminal offers'!$H$4&gt;0,'Terminal offers'!$H$4,'Terminal offers'!$H$68)</f>
        <v>2.9711000000000001E-2</v>
      </c>
      <c r="I114" s="25">
        <f>'Terminal offers'!$J$4</f>
        <v>10</v>
      </c>
      <c r="J114" s="26">
        <f>C114+I114</f>
        <v>65</v>
      </c>
      <c r="K114" s="27">
        <f>IF((C129+C130)&lt;=D114, 0, E114*((C129+C130)-D114))</f>
        <v>0</v>
      </c>
      <c r="L114" s="27">
        <f>(G114*C131)+(H114*C132)</f>
        <v>15.125006437741884</v>
      </c>
      <c r="M114" s="28">
        <f t="shared" si="20"/>
        <v>80.125006437741888</v>
      </c>
      <c r="N114" s="29">
        <f t="shared" si="21"/>
        <v>3848.0335075610456</v>
      </c>
      <c r="O114" s="30">
        <f t="shared" si="22"/>
        <v>2.0822325554157306E-2</v>
      </c>
    </row>
    <row r="115" spans="2:15">
      <c r="B115" s="112" t="str">
        <f>'Terminal offers'!$A$9</f>
        <v>Bank SA</v>
      </c>
      <c r="C115" s="123">
        <f>'Terminal offers'!$C$9</f>
        <v>55</v>
      </c>
      <c r="D115" s="123">
        <f>'Terminal offers'!$D$9</f>
        <v>3500</v>
      </c>
      <c r="E115" s="371">
        <f>'Terminal offers'!$E$9</f>
        <v>1.4999999999999999E-2</v>
      </c>
      <c r="F115" s="372"/>
      <c r="G115" s="115">
        <f>IF('Terminal offers'!$G$9&gt;0,'Terminal offers'!$G$9,'Terminal offers'!$G$68)</f>
        <v>2.3276000000000005E-2</v>
      </c>
      <c r="H115" s="115">
        <f>IF('Terminal offers'!$H$9&gt;0,'Terminal offers'!$H$9,'Terminal offers'!$H$68)</f>
        <v>2.9711000000000001E-2</v>
      </c>
      <c r="I115" s="119">
        <f>'Terminal offers'!$J$9</f>
        <v>10</v>
      </c>
      <c r="J115" s="120">
        <f t="shared" ref="J115:J123" si="23">C115+I115</f>
        <v>65</v>
      </c>
      <c r="K115" s="122">
        <f>IF((C129+C130)&lt;=D115, 0, E115*((C129+C130)-D115))</f>
        <v>0</v>
      </c>
      <c r="L115" s="122">
        <f>(G115*C131)+(H115*C132)</f>
        <v>15.125006437741884</v>
      </c>
      <c r="M115" s="117">
        <f t="shared" si="20"/>
        <v>80.125006437741888</v>
      </c>
      <c r="N115" s="124">
        <f t="shared" si="21"/>
        <v>3848.0335075610456</v>
      </c>
      <c r="O115" s="141">
        <f t="shared" si="22"/>
        <v>2.0822325554157306E-2</v>
      </c>
    </row>
    <row r="116" spans="2:15">
      <c r="B116" s="21" t="str">
        <f>'Terminal offers'!$A$18</f>
        <v>Bendigo Bank</v>
      </c>
      <c r="C116" s="22">
        <f>'Terminal offers'!$C$18</f>
        <v>33</v>
      </c>
      <c r="D116" s="22">
        <f>'Terminal offers'!$D$18</f>
        <v>0</v>
      </c>
      <c r="E116" s="226">
        <f>'Terminal offers'!$E$18</f>
        <v>0.27500000000000002</v>
      </c>
      <c r="F116" s="23">
        <f>'Terminal offers'!$F$18</f>
        <v>1.3750000000000002E-2</v>
      </c>
      <c r="G116" s="24">
        <f>IF('Terminal offers'!$G$18&gt;0,'Terminal offers'!$G$18,'Terminal offers'!$G$68)</f>
        <v>2.3276000000000005E-2</v>
      </c>
      <c r="H116" s="24">
        <f>IF('Terminal offers'!$H$18&gt;0,'Terminal offers'!$H$18,'Terminal offers'!$H$68)</f>
        <v>2.9711000000000001E-2</v>
      </c>
      <c r="I116" s="32">
        <f>'Terminal offers'!$J$18</f>
        <v>0</v>
      </c>
      <c r="J116" s="26">
        <f t="shared" si="23"/>
        <v>33</v>
      </c>
      <c r="K116" s="26">
        <f>(C134*E116)+(C130*F116)</f>
        <v>43.519516011809493</v>
      </c>
      <c r="L116" s="27">
        <f>(G116*C131)+(H116*C132)</f>
        <v>15.125006437741884</v>
      </c>
      <c r="M116" s="28">
        <f t="shared" si="20"/>
        <v>91.644522449551374</v>
      </c>
      <c r="N116" s="29">
        <f t="shared" si="21"/>
        <v>3848.0335075610456</v>
      </c>
      <c r="O116" s="30">
        <f t="shared" si="22"/>
        <v>2.3815936703637908E-2</v>
      </c>
    </row>
    <row r="117" spans="2:15">
      <c r="B117" s="112" t="str">
        <f>'Terminal offers'!$A$14</f>
        <v>Bankwest</v>
      </c>
      <c r="C117" s="123">
        <f>'Terminal offers'!$C$14</f>
        <v>60</v>
      </c>
      <c r="D117" s="123">
        <f>'Terminal offers'!$D$14</f>
        <v>3000</v>
      </c>
      <c r="E117" s="371">
        <f>'Terminal offers'!$E$14</f>
        <v>1.4999999999999999E-2</v>
      </c>
      <c r="F117" s="372"/>
      <c r="G117" s="115">
        <f>IF('Terminal offers'!$G$14&gt;0,'Terminal offers'!$G$14,'Terminal offers'!$G$68)</f>
        <v>2.3276000000000005E-2</v>
      </c>
      <c r="H117" s="115">
        <f>IF('Terminal offers'!$H$14&gt;0,'Terminal offers'!$H$14,'Terminal offers'!$H$68)</f>
        <v>2.9711000000000001E-2</v>
      </c>
      <c r="I117" s="119">
        <f>'Terminal offers'!$J$14</f>
        <v>0</v>
      </c>
      <c r="J117" s="120">
        <f t="shared" si="23"/>
        <v>60</v>
      </c>
      <c r="K117" s="122">
        <f>IF((C129+C130)&lt;=D117, 0, E117*((C129+C130)-D117))</f>
        <v>3.1928266625625676</v>
      </c>
      <c r="L117" s="122">
        <f>(G117*C131)+(H117*C132)</f>
        <v>15.125006437741884</v>
      </c>
      <c r="M117" s="117">
        <f t="shared" si="20"/>
        <v>78.317833100304455</v>
      </c>
      <c r="N117" s="124">
        <f t="shared" si="21"/>
        <v>3848.0335075610456</v>
      </c>
      <c r="O117" s="141">
        <f t="shared" si="22"/>
        <v>2.0352690002937157E-2</v>
      </c>
    </row>
    <row r="118" spans="2:15">
      <c r="B118" s="31" t="str">
        <f>'Terminal offers'!$A$28</f>
        <v>Hume Bank</v>
      </c>
      <c r="C118" s="22">
        <f>'Terminal offers'!$C$28</f>
        <v>40</v>
      </c>
      <c r="D118" s="22">
        <f>'Terminal offers'!$D$28</f>
        <v>1500</v>
      </c>
      <c r="E118" s="353">
        <f>'Terminal offers'!$E$28</f>
        <v>1.4999999999999999E-2</v>
      </c>
      <c r="F118" s="354"/>
      <c r="G118" s="24">
        <f>IF('Terminal offers'!$G$28&gt;0,'Terminal offers'!$G$28,'Terminal offers'!$G$68)</f>
        <v>2.3276000000000005E-2</v>
      </c>
      <c r="H118" s="24">
        <f>IF('Terminal offers'!$H$28&gt;0,'Terminal offers'!$H$28,'Terminal offers'!$H$68)</f>
        <v>2.9711000000000001E-2</v>
      </c>
      <c r="I118" s="25">
        <f>'Terminal offers'!$J$28</f>
        <v>0</v>
      </c>
      <c r="J118" s="26">
        <f t="shared" si="23"/>
        <v>40</v>
      </c>
      <c r="K118" s="26">
        <f>IF((C129+C130)&lt;=D118, 0, E118*((C129+C130)-D118))</f>
        <v>25.692826662562567</v>
      </c>
      <c r="L118" s="27">
        <f>(G118*C131)+(H118*C132)</f>
        <v>15.125006437741884</v>
      </c>
      <c r="M118" s="28">
        <f t="shared" si="20"/>
        <v>80.817833100304455</v>
      </c>
      <c r="N118" s="29">
        <f t="shared" si="21"/>
        <v>3848.0335075610456</v>
      </c>
      <c r="O118" s="30">
        <f t="shared" si="22"/>
        <v>2.1002372495328991E-2</v>
      </c>
    </row>
    <row r="119" spans="2:15">
      <c r="B119" s="112" t="str">
        <f>'Terminal offers'!$A$45</f>
        <v>St George</v>
      </c>
      <c r="C119" s="123">
        <f>'Terminal offers'!$C$45</f>
        <v>55</v>
      </c>
      <c r="D119" s="123">
        <f>'Terminal offers'!$D$45</f>
        <v>3500</v>
      </c>
      <c r="E119" s="371">
        <f>'Terminal offers'!$E$45</f>
        <v>1.4999999999999999E-2</v>
      </c>
      <c r="F119" s="372"/>
      <c r="G119" s="115">
        <f>IF('Terminal offers'!$G$45&gt;0,'Terminal offers'!$G$45,'Terminal offers'!$G$68)</f>
        <v>2.3276000000000005E-2</v>
      </c>
      <c r="H119" s="115">
        <f>IF('Terminal offers'!$H$45&gt;0,'Terminal offers'!$H$45,'Terminal offers'!$H$68)</f>
        <v>2.9711000000000001E-2</v>
      </c>
      <c r="I119" s="119">
        <f>'Terminal offers'!$J$45</f>
        <v>10</v>
      </c>
      <c r="J119" s="120">
        <f t="shared" si="23"/>
        <v>65</v>
      </c>
      <c r="K119" s="122">
        <f>IF((C129+C130)&lt;=D119, 0, E119*((C129+C130)-D119))</f>
        <v>0</v>
      </c>
      <c r="L119" s="122">
        <f>(G119*C131)+(H119*C132)</f>
        <v>15.125006437741884</v>
      </c>
      <c r="M119" s="117">
        <f t="shared" si="20"/>
        <v>80.125006437741888</v>
      </c>
      <c r="N119" s="124">
        <f t="shared" si="21"/>
        <v>3848.0335075610456</v>
      </c>
      <c r="O119" s="141">
        <f t="shared" si="22"/>
        <v>2.0822325554157306E-2</v>
      </c>
    </row>
    <row r="120" spans="2:15">
      <c r="B120" s="21" t="str">
        <f>'Terminal offers'!$A$33</f>
        <v>Live eftpos</v>
      </c>
      <c r="C120" s="22">
        <f>'Terminal offers'!$C$33</f>
        <v>28.996000000000002</v>
      </c>
      <c r="D120" s="22">
        <f>'Terminal offers'!$D$33</f>
        <v>0</v>
      </c>
      <c r="E120" s="226">
        <f>'Terminal offers'!$E$33</f>
        <v>0.35200000000000004</v>
      </c>
      <c r="F120" s="23">
        <f>'Terminal offers'!$F$33</f>
        <v>1.7600000000000001E-2</v>
      </c>
      <c r="G120" s="24">
        <f>IF('Terminal offers'!$G$33&gt;0,'Terminal offers'!$G$33,'Terminal offers'!$G$68)</f>
        <v>1.7600000000000001E-2</v>
      </c>
      <c r="H120" s="24">
        <f>IF('Terminal offers'!$H$33&gt;0,'Terminal offers'!$H$33,'Terminal offers'!$H$68)</f>
        <v>1.7600000000000001E-2</v>
      </c>
      <c r="I120" s="25">
        <f>'Terminal offers'!$J$33</f>
        <v>0</v>
      </c>
      <c r="J120" s="26">
        <f t="shared" si="23"/>
        <v>28.996000000000002</v>
      </c>
      <c r="K120" s="26">
        <f>(C134*E120)+(C130*F120)</f>
        <v>55.704980495116153</v>
      </c>
      <c r="L120" s="27">
        <f>(G120*C131)+(H120*C132)</f>
        <v>11.179139782334316</v>
      </c>
      <c r="M120" s="28">
        <f t="shared" si="20"/>
        <v>95.880120277450473</v>
      </c>
      <c r="N120" s="29">
        <f t="shared" si="21"/>
        <v>3848.0335075610456</v>
      </c>
      <c r="O120" s="30">
        <f t="shared" si="22"/>
        <v>2.4916654205077604E-2</v>
      </c>
    </row>
    <row r="121" spans="2:15">
      <c r="B121" s="112" t="str">
        <f>'Terminal offers'!$A$50</f>
        <v>Tyro</v>
      </c>
      <c r="C121" s="123">
        <f>'Terminal offers'!$C$50</f>
        <v>42.900000000000006</v>
      </c>
      <c r="D121" s="123">
        <f>'Terminal offers'!$D$50</f>
        <v>0</v>
      </c>
      <c r="E121" s="373">
        <f>'Terminal offers'!$E$50</f>
        <v>1.2100000000000001E-2</v>
      </c>
      <c r="F121" s="374"/>
      <c r="G121" s="115">
        <f>IF('Terminal offers'!$G$50&gt;0,'Terminal offers'!$G$50,'Terminal offers'!$G$68)</f>
        <v>2.3276000000000005E-2</v>
      </c>
      <c r="H121" s="115">
        <f>IF('Terminal offers'!$H$50&gt;0,'Terminal offers'!$H$50,'Terminal offers'!$H$68)</f>
        <v>2.9711000000000001E-2</v>
      </c>
      <c r="I121" s="119">
        <f>'Terminal offers'!$J$50</f>
        <v>0</v>
      </c>
      <c r="J121" s="120">
        <f t="shared" si="23"/>
        <v>42.900000000000006</v>
      </c>
      <c r="K121" s="120">
        <f>E121*(C129+C130)</f>
        <v>38.875546841133811</v>
      </c>
      <c r="L121" s="122">
        <f>(G121*C131)+(H121*C132)</f>
        <v>15.125006437741884</v>
      </c>
      <c r="M121" s="117">
        <f>SUM(J121:L121)</f>
        <v>96.900553278875705</v>
      </c>
      <c r="N121" s="124">
        <f t="shared" si="21"/>
        <v>3848.0335075610456</v>
      </c>
      <c r="O121" s="141">
        <f t="shared" si="22"/>
        <v>2.5181837187351563E-2</v>
      </c>
    </row>
    <row r="122" spans="2:15">
      <c r="B122" s="21" t="str">
        <f>'Terminal offers'!$A$23</f>
        <v>First Data</v>
      </c>
      <c r="C122" s="22">
        <f>'Terminal offers'!$C$23</f>
        <v>45</v>
      </c>
      <c r="D122" s="22">
        <f>'Terminal offers'!$D$23</f>
        <v>2500</v>
      </c>
      <c r="E122" s="353">
        <f>'Terminal offers'!$E$23</f>
        <v>1.7500000000000002E-2</v>
      </c>
      <c r="F122" s="354"/>
      <c r="G122" s="24">
        <f>IF('Terminal offers'!$G$23&gt;0,'Terminal offers'!$G$23,'Terminal offers'!$G$68)</f>
        <v>2.3276000000000005E-2</v>
      </c>
      <c r="H122" s="24">
        <f>IF('Terminal offers'!$H$23&gt;0,'Terminal offers'!$H$23,'Terminal offers'!$H$68)</f>
        <v>2.9711000000000001E-2</v>
      </c>
      <c r="I122" s="25">
        <f>'Terminal offers'!$J$23</f>
        <v>0</v>
      </c>
      <c r="J122" s="26">
        <f t="shared" si="23"/>
        <v>45</v>
      </c>
      <c r="K122" s="27">
        <f>IF((C129+C130)&lt;=D122, 0, E122*((C129+C130)-D122))</f>
        <v>12.474964439656331</v>
      </c>
      <c r="L122" s="27">
        <f>(G122*C131)+(H122*C132)</f>
        <v>15.125006437741884</v>
      </c>
      <c r="M122" s="28">
        <f t="shared" ref="M122:M123" si="24">SUM(J122:L122)</f>
        <v>72.599970877398221</v>
      </c>
      <c r="N122" s="29">
        <f t="shared" si="21"/>
        <v>3848.0335075610456</v>
      </c>
      <c r="O122" s="30">
        <f t="shared" si="22"/>
        <v>1.8866772010884381E-2</v>
      </c>
    </row>
    <row r="123" spans="2:15">
      <c r="B123" s="125" t="str">
        <f>'Terminal offers'!$A$34</f>
        <v>Mint</v>
      </c>
      <c r="C123" s="126">
        <f>'Terminal offers'!$C$34</f>
        <v>39</v>
      </c>
      <c r="D123" s="126">
        <f>'Terminal offers'!$D$34</f>
        <v>0</v>
      </c>
      <c r="E123" s="227">
        <f>'Terminal offers'!$E$34</f>
        <v>0.25</v>
      </c>
      <c r="F123" s="127">
        <f>'Terminal offers'!$F$34</f>
        <v>1.2500000000000001E-2</v>
      </c>
      <c r="G123" s="128">
        <f>IF('Terminal offers'!$G$34&gt;0,'Terminal offers'!$G$34,'Terminal offers'!$G$68)</f>
        <v>2.3276000000000005E-2</v>
      </c>
      <c r="H123" s="128">
        <f>IF('Terminal offers'!$H$34&gt;0,'Terminal offers'!$H$34,'Terminal offers'!$H$68)</f>
        <v>2.9711000000000001E-2</v>
      </c>
      <c r="I123" s="129">
        <f>'Terminal offers'!$J$34</f>
        <v>0</v>
      </c>
      <c r="J123" s="130">
        <f t="shared" si="23"/>
        <v>39</v>
      </c>
      <c r="K123" s="131">
        <f>(E123*C134)+(F123*C130)</f>
        <v>39.563196374372268</v>
      </c>
      <c r="L123" s="131">
        <f>(G123*C131)+(H123*C132)</f>
        <v>15.125006437741884</v>
      </c>
      <c r="M123" s="132">
        <f t="shared" si="24"/>
        <v>93.688202812114156</v>
      </c>
      <c r="N123" s="133">
        <f>$C$126</f>
        <v>3848.0335075610456</v>
      </c>
      <c r="O123" s="142">
        <f>(N123+M123)/N123-1</f>
        <v>2.4347034044278626E-2</v>
      </c>
    </row>
    <row r="124" spans="2:15">
      <c r="B124" s="15"/>
      <c r="C124" s="16"/>
      <c r="D124" s="16"/>
      <c r="E124" s="16"/>
      <c r="F124" s="16"/>
      <c r="G124" s="16"/>
      <c r="H124" s="16"/>
      <c r="I124" s="15"/>
      <c r="J124" s="15"/>
      <c r="K124" s="15"/>
      <c r="L124" s="15"/>
      <c r="M124" s="15"/>
      <c r="N124" s="134" t="s">
        <v>13</v>
      </c>
      <c r="O124" s="144">
        <f>AVERAGE(O110:O123)</f>
        <v>2.1599339209772021E-2</v>
      </c>
    </row>
    <row r="125" spans="2:15">
      <c r="B125" s="40" t="s">
        <v>108</v>
      </c>
      <c r="C125" s="41"/>
      <c r="D125" s="16"/>
      <c r="E125" s="16"/>
      <c r="F125" s="16"/>
      <c r="G125" s="16"/>
      <c r="H125" s="16"/>
      <c r="I125" s="15"/>
      <c r="J125" s="15"/>
      <c r="K125" s="15"/>
      <c r="L125" s="15"/>
      <c r="M125" s="15"/>
      <c r="N125" s="135" t="s">
        <v>17</v>
      </c>
      <c r="O125" s="145">
        <f>MIN(O110:O123)</f>
        <v>1.8223595584589525E-2</v>
      </c>
    </row>
    <row r="126" spans="2:15">
      <c r="B126" s="42" t="s">
        <v>33</v>
      </c>
      <c r="C126" s="43">
        <f>'8. Monthly revenue and trips'!C6*0.9</f>
        <v>3848.0335075610456</v>
      </c>
      <c r="D126" s="16"/>
      <c r="E126" s="16"/>
      <c r="F126" s="16"/>
      <c r="G126" s="16"/>
      <c r="H126" s="16"/>
      <c r="I126" s="15"/>
      <c r="J126" s="15"/>
      <c r="K126" s="15"/>
      <c r="L126" s="15"/>
      <c r="M126" s="15"/>
      <c r="N126" s="136" t="s">
        <v>18</v>
      </c>
      <c r="O126" s="146">
        <f>MAX(O110:O123)</f>
        <v>2.5181837187351563E-2</v>
      </c>
    </row>
    <row r="127" spans="2:15">
      <c r="B127" s="42" t="s">
        <v>21</v>
      </c>
      <c r="C127" s="45">
        <f>'8. Monthly revenue and trips'!C4</f>
        <v>28.489485170139162</v>
      </c>
      <c r="D127" s="16"/>
      <c r="E127" s="16"/>
      <c r="F127" s="16"/>
      <c r="G127" s="16"/>
      <c r="H127" s="16"/>
      <c r="I127" s="15"/>
      <c r="J127" s="15"/>
      <c r="K127" s="15"/>
      <c r="L127" s="15"/>
      <c r="M127" s="15"/>
      <c r="N127" s="15"/>
      <c r="O127" s="15"/>
    </row>
    <row r="128" spans="2:15">
      <c r="B128" s="42"/>
      <c r="C128" s="45"/>
      <c r="D128" s="16"/>
      <c r="E128" s="16"/>
      <c r="F128" s="16"/>
      <c r="G128" s="16"/>
      <c r="H128" s="16"/>
      <c r="I128" s="15"/>
      <c r="J128" s="15"/>
      <c r="K128" s="15"/>
      <c r="L128" s="15"/>
      <c r="M128" s="15"/>
      <c r="N128" s="15"/>
      <c r="O128" s="15"/>
    </row>
    <row r="129" spans="2:15">
      <c r="B129" s="42" t="s">
        <v>34</v>
      </c>
      <c r="C129" s="46">
        <f>'8. Monthly revenue and trips'!C19*'12. Sensitivity (EFTPOS)'!C126</f>
        <v>160.40788050637491</v>
      </c>
      <c r="D129" s="16"/>
      <c r="E129" s="47"/>
      <c r="F129" s="16"/>
      <c r="G129" s="16"/>
      <c r="H129" s="16"/>
      <c r="I129" s="15"/>
      <c r="J129" s="15"/>
      <c r="K129" s="15"/>
      <c r="L129" s="15"/>
      <c r="M129" s="15"/>
      <c r="N129" s="15"/>
      <c r="O129" s="15"/>
    </row>
    <row r="130" spans="2:15">
      <c r="B130" s="42" t="s">
        <v>197</v>
      </c>
      <c r="C130" s="46">
        <f>'8. Monthly revenue and trips'!C20*'12. Sensitivity (EFTPOS)'!C126</f>
        <v>3052.4472303311295</v>
      </c>
      <c r="D130" s="16"/>
      <c r="E130" s="16"/>
      <c r="F130" s="16"/>
      <c r="G130" s="16"/>
      <c r="H130" s="16"/>
      <c r="I130" s="15"/>
      <c r="J130" s="48"/>
      <c r="K130" s="15"/>
      <c r="L130" s="15"/>
      <c r="M130" s="15"/>
      <c r="N130" s="15"/>
      <c r="O130" s="15"/>
    </row>
    <row r="131" spans="2:15">
      <c r="B131" s="42" t="s">
        <v>39</v>
      </c>
      <c r="C131" s="46">
        <f>'8. Monthly revenue and trips'!C21*'12. Sensitivity (EFTPOS)'!C126</f>
        <v>582.25002444618985</v>
      </c>
      <c r="D131" s="16"/>
      <c r="E131" s="16"/>
      <c r="F131" s="16"/>
      <c r="G131" s="16"/>
      <c r="H131" s="49"/>
      <c r="I131" s="15"/>
      <c r="J131" s="48"/>
      <c r="K131" s="15"/>
      <c r="L131" s="15"/>
      <c r="M131" s="15"/>
      <c r="N131" s="15"/>
      <c r="O131" s="15"/>
    </row>
    <row r="132" spans="2:15">
      <c r="B132" s="42" t="s">
        <v>114</v>
      </c>
      <c r="C132" s="46">
        <f>'8. Monthly revenue and trips'!C22*'12. Sensitivity (EFTPOS)'!C126</f>
        <v>52.928372277350682</v>
      </c>
      <c r="D132" s="16"/>
      <c r="E132" s="16"/>
      <c r="F132" s="16"/>
      <c r="G132" s="16"/>
      <c r="H132" s="50"/>
      <c r="I132" s="15"/>
      <c r="J132" s="48"/>
      <c r="K132" s="15"/>
      <c r="L132" s="15"/>
      <c r="M132" s="15"/>
      <c r="N132" s="15"/>
      <c r="O132" s="15"/>
    </row>
    <row r="133" spans="2:15">
      <c r="B133" s="42"/>
      <c r="C133" s="46"/>
      <c r="D133" s="16"/>
      <c r="E133" s="16"/>
      <c r="F133" s="16"/>
      <c r="G133" s="16"/>
      <c r="H133" s="50"/>
      <c r="I133" s="15"/>
      <c r="J133" s="48"/>
      <c r="K133" s="15"/>
      <c r="L133" s="15"/>
      <c r="M133" s="15"/>
      <c r="N133" s="15"/>
      <c r="O133" s="15"/>
    </row>
    <row r="134" spans="2:15">
      <c r="B134" s="42" t="s">
        <v>38</v>
      </c>
      <c r="C134" s="51">
        <f>C129/$C$127</f>
        <v>5.6304239809325898</v>
      </c>
      <c r="D134" s="16"/>
      <c r="E134" s="16"/>
      <c r="F134" s="16"/>
      <c r="G134" s="16"/>
      <c r="H134" s="16"/>
      <c r="I134" s="15"/>
      <c r="J134" s="15"/>
      <c r="K134" s="15"/>
      <c r="L134" s="15"/>
      <c r="M134" s="15"/>
      <c r="N134" s="15"/>
      <c r="O134" s="15"/>
    </row>
    <row r="135" spans="2:15">
      <c r="B135" s="42" t="s">
        <v>198</v>
      </c>
      <c r="C135" s="51">
        <f t="shared" ref="C135:C136" si="25">C130/$C$127</f>
        <v>107.14294105709244</v>
      </c>
      <c r="D135" s="16"/>
      <c r="E135" s="52"/>
      <c r="F135" s="16"/>
      <c r="G135" s="16"/>
      <c r="H135" s="16"/>
      <c r="I135" s="15"/>
      <c r="J135" s="15"/>
      <c r="K135" s="15"/>
      <c r="L135" s="15"/>
      <c r="M135" s="15"/>
      <c r="N135" s="15"/>
      <c r="O135" s="15"/>
    </row>
    <row r="136" spans="2:15">
      <c r="B136" s="42" t="s">
        <v>41</v>
      </c>
      <c r="C136" s="51">
        <f t="shared" si="25"/>
        <v>20.437365609416723</v>
      </c>
      <c r="D136" s="16"/>
      <c r="E136" s="52"/>
      <c r="F136" s="16"/>
      <c r="G136" s="16"/>
      <c r="H136" s="16"/>
      <c r="I136" s="15"/>
      <c r="J136" s="15"/>
      <c r="K136" s="53"/>
      <c r="L136" s="15"/>
      <c r="M136" s="15"/>
      <c r="N136" s="15"/>
      <c r="O136" s="15"/>
    </row>
    <row r="137" spans="2:15">
      <c r="B137" s="44" t="s">
        <v>113</v>
      </c>
      <c r="C137" s="54">
        <f>C132/$C$127</f>
        <v>1.8578212965682785</v>
      </c>
      <c r="D137" s="16"/>
      <c r="E137" s="55"/>
      <c r="F137" s="16"/>
      <c r="G137" s="16"/>
      <c r="H137" s="16"/>
      <c r="I137" s="15"/>
      <c r="J137" s="15"/>
      <c r="K137" s="53"/>
      <c r="L137" s="15"/>
      <c r="M137" s="15"/>
      <c r="N137" s="15"/>
      <c r="O137" s="15"/>
    </row>
    <row r="138" spans="2:15">
      <c r="B138" s="13"/>
      <c r="C138" s="14"/>
      <c r="D138" s="14"/>
      <c r="E138" s="14"/>
      <c r="F138" s="14"/>
      <c r="G138" s="14"/>
      <c r="H138" s="14"/>
      <c r="I138" s="13"/>
      <c r="J138" s="13"/>
      <c r="K138" s="13"/>
      <c r="L138" s="13"/>
      <c r="M138" s="13"/>
      <c r="N138" s="13"/>
      <c r="O138" s="13"/>
    </row>
    <row r="139" spans="2:15" hidden="1"/>
    <row r="140" spans="2:15" hidden="1"/>
    <row r="141" spans="2:15" hidden="1"/>
    <row r="142" spans="2:15" hidden="1"/>
    <row r="143" spans="2:15" hidden="1"/>
  </sheetData>
  <mergeCells count="57">
    <mergeCell ref="E11:F11"/>
    <mergeCell ref="C6:I6"/>
    <mergeCell ref="J6:M6"/>
    <mergeCell ref="O6:O7"/>
    <mergeCell ref="E9:F9"/>
    <mergeCell ref="E10:F10"/>
    <mergeCell ref="E44:F44"/>
    <mergeCell ref="E12:F12"/>
    <mergeCell ref="E13:F13"/>
    <mergeCell ref="E15:F15"/>
    <mergeCell ref="E16:F16"/>
    <mergeCell ref="E17:F17"/>
    <mergeCell ref="E19:F19"/>
    <mergeCell ref="E20:F20"/>
    <mergeCell ref="C40:I40"/>
    <mergeCell ref="E46:F46"/>
    <mergeCell ref="E47:F47"/>
    <mergeCell ref="E49:F49"/>
    <mergeCell ref="E50:F50"/>
    <mergeCell ref="E51:F51"/>
    <mergeCell ref="E112:F112"/>
    <mergeCell ref="E113:F113"/>
    <mergeCell ref="E114:F114"/>
    <mergeCell ref="E84:F84"/>
    <mergeCell ref="E87:F87"/>
    <mergeCell ref="E122:F122"/>
    <mergeCell ref="O74:O75"/>
    <mergeCell ref="E81:F81"/>
    <mergeCell ref="E85:F85"/>
    <mergeCell ref="E88:F88"/>
    <mergeCell ref="C108:I108"/>
    <mergeCell ref="J108:M108"/>
    <mergeCell ref="O108:O109"/>
    <mergeCell ref="E117:F117"/>
    <mergeCell ref="E118:F118"/>
    <mergeCell ref="E121:F121"/>
    <mergeCell ref="C74:I74"/>
    <mergeCell ref="J74:M74"/>
    <mergeCell ref="E115:F115"/>
    <mergeCell ref="E119:F119"/>
    <mergeCell ref="E111:F111"/>
    <mergeCell ref="B4:O4"/>
    <mergeCell ref="B38:O38"/>
    <mergeCell ref="B72:O72"/>
    <mergeCell ref="B106:O106"/>
    <mergeCell ref="B2:O2"/>
    <mergeCell ref="E77:F77"/>
    <mergeCell ref="E78:F78"/>
    <mergeCell ref="E79:F79"/>
    <mergeCell ref="E80:F80"/>
    <mergeCell ref="E83:F83"/>
    <mergeCell ref="J40:M40"/>
    <mergeCell ref="O40:O41"/>
    <mergeCell ref="E43:F43"/>
    <mergeCell ref="E53:F53"/>
    <mergeCell ref="E54:F54"/>
    <mergeCell ref="E45:F45"/>
  </mergeCells>
  <pageMargins left="0.7" right="0.7" top="0.75" bottom="0.75" header="0.3" footer="0.3"/>
  <pageSetup paperSize="8" scale="50"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Z123"/>
  <sheetViews>
    <sheetView zoomScale="85" zoomScaleNormal="85" workbookViewId="0"/>
  </sheetViews>
  <sheetFormatPr defaultColWidth="0" defaultRowHeight="12" zeroHeight="1"/>
  <cols>
    <col min="1" max="1" width="2.85546875" style="3" customWidth="1"/>
    <col min="2" max="2" width="30.28515625" style="2" customWidth="1"/>
    <col min="3" max="3" width="17" style="2" customWidth="1"/>
    <col min="4" max="9" width="17" style="1" customWidth="1"/>
    <col min="10" max="17" width="17" style="2" customWidth="1"/>
    <col min="18" max="18" width="2.85546875" style="13" customWidth="1"/>
    <col min="19" max="19" width="22.42578125" style="2" hidden="1" customWidth="1"/>
    <col min="20" max="20" width="11.5703125" style="2" hidden="1" customWidth="1"/>
    <col min="21" max="21" width="16" style="2" hidden="1" customWidth="1"/>
    <col min="22" max="23" width="9.140625" style="2" hidden="1" customWidth="1"/>
    <col min="24" max="24" width="21.7109375" style="2" hidden="1" customWidth="1"/>
    <col min="25" max="26" width="19.28515625" style="2" hidden="1" customWidth="1"/>
    <col min="27" max="16384" width="9.140625" style="2" hidden="1"/>
  </cols>
  <sheetData>
    <row r="1" spans="1:20">
      <c r="A1" s="13"/>
      <c r="B1" s="13"/>
      <c r="C1" s="13"/>
      <c r="D1" s="14"/>
      <c r="E1" s="14"/>
      <c r="F1" s="14"/>
      <c r="G1" s="14"/>
      <c r="H1" s="14"/>
      <c r="I1" s="14"/>
      <c r="J1" s="13"/>
      <c r="K1" s="13"/>
      <c r="L1" s="13"/>
      <c r="M1" s="13"/>
      <c r="N1" s="13"/>
      <c r="O1" s="13"/>
      <c r="P1" s="13"/>
      <c r="Q1" s="13"/>
    </row>
    <row r="2" spans="1:20" ht="24" customHeight="1">
      <c r="A2" s="13"/>
      <c r="B2" s="355" t="s">
        <v>116</v>
      </c>
      <c r="C2" s="356"/>
      <c r="D2" s="356"/>
      <c r="E2" s="356"/>
      <c r="F2" s="356"/>
      <c r="G2" s="356"/>
      <c r="H2" s="356"/>
      <c r="I2" s="356"/>
      <c r="J2" s="356"/>
      <c r="K2" s="356"/>
      <c r="L2" s="356"/>
      <c r="M2" s="356"/>
      <c r="N2" s="356"/>
      <c r="O2" s="356"/>
      <c r="P2" s="356"/>
      <c r="Q2" s="357"/>
    </row>
    <row r="3" spans="1:20">
      <c r="A3" s="13"/>
      <c r="B3" s="13"/>
      <c r="C3" s="13"/>
      <c r="D3" s="14"/>
      <c r="E3" s="14"/>
      <c r="F3" s="14"/>
      <c r="G3" s="14"/>
      <c r="H3" s="14"/>
      <c r="I3" s="14"/>
      <c r="J3" s="13"/>
      <c r="K3" s="13"/>
      <c r="L3" s="13"/>
      <c r="M3" s="13"/>
      <c r="N3" s="13"/>
      <c r="O3" s="13"/>
      <c r="P3" s="13"/>
      <c r="Q3" s="13"/>
    </row>
    <row r="4" spans="1:20" ht="28.5" customHeight="1">
      <c r="A4" s="13"/>
      <c r="B4" s="375" t="s">
        <v>109</v>
      </c>
      <c r="C4" s="376"/>
      <c r="D4" s="376"/>
      <c r="E4" s="376"/>
      <c r="F4" s="376"/>
      <c r="G4" s="376"/>
      <c r="H4" s="376"/>
      <c r="I4" s="376"/>
      <c r="J4" s="376"/>
      <c r="K4" s="376"/>
      <c r="L4" s="376"/>
      <c r="M4" s="376"/>
      <c r="N4" s="376"/>
      <c r="O4" s="376"/>
      <c r="P4" s="376"/>
      <c r="Q4" s="377"/>
    </row>
    <row r="5" spans="1:20">
      <c r="A5" s="13"/>
      <c r="B5" s="13"/>
      <c r="C5" s="13"/>
      <c r="D5" s="14"/>
      <c r="E5" s="14"/>
      <c r="F5" s="14"/>
      <c r="G5" s="14"/>
      <c r="H5" s="14"/>
      <c r="I5" s="14"/>
      <c r="J5" s="13"/>
      <c r="K5" s="13"/>
      <c r="L5" s="13"/>
      <c r="M5" s="13"/>
      <c r="N5" s="13"/>
      <c r="O5" s="13"/>
      <c r="P5" s="13"/>
      <c r="Q5" s="13"/>
    </row>
    <row r="6" spans="1:20" ht="12" customHeight="1">
      <c r="A6" s="13"/>
      <c r="B6" s="60"/>
      <c r="C6" s="358" t="s">
        <v>10</v>
      </c>
      <c r="D6" s="359"/>
      <c r="E6" s="359"/>
      <c r="F6" s="359"/>
      <c r="G6" s="359"/>
      <c r="H6" s="359"/>
      <c r="I6" s="359"/>
      <c r="J6" s="359"/>
      <c r="K6" s="361" t="s">
        <v>101</v>
      </c>
      <c r="L6" s="362"/>
      <c r="M6" s="362"/>
      <c r="N6" s="362"/>
      <c r="O6" s="363"/>
      <c r="P6" s="18" t="s">
        <v>8</v>
      </c>
      <c r="Q6" s="351" t="s">
        <v>104</v>
      </c>
    </row>
    <row r="7" spans="1:20" ht="33.75">
      <c r="A7" s="13"/>
      <c r="B7" s="19" t="s">
        <v>25</v>
      </c>
      <c r="C7" s="20" t="s">
        <v>27</v>
      </c>
      <c r="D7" s="20" t="s">
        <v>20</v>
      </c>
      <c r="E7" s="20" t="s">
        <v>19</v>
      </c>
      <c r="F7" s="20" t="s">
        <v>94</v>
      </c>
      <c r="G7" s="72" t="s">
        <v>102</v>
      </c>
      <c r="H7" s="20" t="s">
        <v>95</v>
      </c>
      <c r="I7" s="20" t="s">
        <v>96</v>
      </c>
      <c r="J7" s="71" t="s">
        <v>14</v>
      </c>
      <c r="K7" s="20" t="s">
        <v>97</v>
      </c>
      <c r="L7" s="20" t="s">
        <v>16</v>
      </c>
      <c r="M7" s="61" t="s">
        <v>98</v>
      </c>
      <c r="N7" s="20" t="s">
        <v>99</v>
      </c>
      <c r="O7" s="75" t="s">
        <v>15</v>
      </c>
      <c r="P7" s="74" t="s">
        <v>100</v>
      </c>
      <c r="Q7" s="352"/>
      <c r="S7" s="3"/>
      <c r="T7" s="3"/>
    </row>
    <row r="8" spans="1:20">
      <c r="A8" s="13"/>
      <c r="B8" s="21" t="str">
        <f>'Terminal offers'!$A$57</f>
        <v>ANZ Fastpay</v>
      </c>
      <c r="C8" s="65">
        <f>'Terminal offers'!$B$57</f>
        <v>0</v>
      </c>
      <c r="D8" s="62">
        <f>'Terminal offers'!$C$57</f>
        <v>5</v>
      </c>
      <c r="E8" s="62">
        <f>'Terminal offers'!$D$57</f>
        <v>0</v>
      </c>
      <c r="F8" s="228">
        <f>'Terminal offers'!$E$57</f>
        <v>0.3</v>
      </c>
      <c r="G8" s="23">
        <f>'Terminal offers'!$F$57</f>
        <v>2.3E-2</v>
      </c>
      <c r="H8" s="109">
        <f>IF('Terminal offers'!$G$57&gt;0,'Terminal offers'!G59,'Terminal offers'!$G$68)</f>
        <v>2.3276000000000005E-2</v>
      </c>
      <c r="I8" s="109">
        <f>IF('Terminal offers'!$H$57&gt;0,'Terminal offers'!$H$57,'Terminal offers'!$H$68)</f>
        <v>2.9711000000000001E-2</v>
      </c>
      <c r="J8" s="63">
        <f>'Terminal offers'!$J$57</f>
        <v>0</v>
      </c>
      <c r="K8" s="223">
        <f t="shared" ref="K8:K17" si="0">C8/36</f>
        <v>0</v>
      </c>
      <c r="L8" s="62">
        <f t="shared" ref="L8:L17" si="1">D8+J8</f>
        <v>5</v>
      </c>
      <c r="M8" s="64">
        <f>(F8*C28)+MAX((G8*C24),'Terminal offers'!I57)</f>
        <v>83.877982407211718</v>
      </c>
      <c r="N8" s="65">
        <f>(H8*C25)+(I8*C26)</f>
        <v>17.6458408440322</v>
      </c>
      <c r="O8" s="28">
        <f>SUM(K8:N8)</f>
        <v>106.52382325124393</v>
      </c>
      <c r="P8" s="62">
        <f t="shared" ref="P8:P17" si="2">$C$20</f>
        <v>4489.3724254878871</v>
      </c>
      <c r="Q8" s="149">
        <f>(P8+O8)/P8-1</f>
        <v>2.3727998739081491E-2</v>
      </c>
      <c r="S8" s="3"/>
      <c r="T8" s="3"/>
    </row>
    <row r="9" spans="1:20">
      <c r="A9" s="13"/>
      <c r="B9" s="118" t="str">
        <f>'Terminal offers'!$A$59</f>
        <v>Commonwealth Bank Emmy</v>
      </c>
      <c r="C9" s="222">
        <f>'Terminal offers'!$B$59</f>
        <v>0</v>
      </c>
      <c r="D9" s="113">
        <f>'Terminal offers'!$C$59</f>
        <v>30</v>
      </c>
      <c r="E9" s="113">
        <f>'Terminal offers'!$D$59</f>
        <v>1500</v>
      </c>
      <c r="F9" s="371">
        <f>'Terminal offers'!$E$59</f>
        <v>1.4999999999999999E-2</v>
      </c>
      <c r="G9" s="372"/>
      <c r="H9" s="115">
        <f>IF('Terminal offers'!$G$59&gt;0,'Terminal offers'!$G$59,'Terminal offers'!$G$68)</f>
        <v>2.3276000000000005E-2</v>
      </c>
      <c r="I9" s="115">
        <f>IF('Terminal offers'!$H$59&gt;0,'Terminal offers'!$H$59,'Terminal offers'!$H$68)</f>
        <v>2.9711000000000001E-2</v>
      </c>
      <c r="J9" s="121">
        <f>'Terminal offers'!$J$59</f>
        <v>0</v>
      </c>
      <c r="K9" s="122">
        <f t="shared" si="0"/>
        <v>0</v>
      </c>
      <c r="L9" s="120">
        <f t="shared" si="1"/>
        <v>30</v>
      </c>
      <c r="M9" s="121">
        <f>IF((C23+C24)&lt;=E9,0,F9*((C23+C24)-E9))</f>
        <v>33.724964439656333</v>
      </c>
      <c r="N9" s="116">
        <f>(H9*C25)+(I9*C26)</f>
        <v>17.6458408440322</v>
      </c>
      <c r="O9" s="117">
        <f>SUM(K9:N9)</f>
        <v>81.370805283688526</v>
      </c>
      <c r="P9" s="113">
        <f>$C$20</f>
        <v>4489.3724254878871</v>
      </c>
      <c r="Q9" s="150">
        <f>(P9+O9)/P9-1</f>
        <v>1.8125207171878932E-2</v>
      </c>
    </row>
    <row r="10" spans="1:20">
      <c r="A10" s="13"/>
      <c r="B10" s="31" t="str">
        <f>'Terminal offers'!$A$61</f>
        <v>NAB Now</v>
      </c>
      <c r="C10" s="62">
        <f>'Terminal offers'!$B$61</f>
        <v>135</v>
      </c>
      <c r="D10" s="62">
        <f>'Terminal offers'!$C$61</f>
        <v>10</v>
      </c>
      <c r="E10" s="62">
        <f>'Terminal offers'!$D$61</f>
        <v>0</v>
      </c>
      <c r="F10" s="229">
        <f>'Terminal offers'!$E$61</f>
        <v>0.3</v>
      </c>
      <c r="G10" s="23">
        <f>'Terminal offers'!$F$61</f>
        <v>1.7000000000000001E-2</v>
      </c>
      <c r="H10" s="24">
        <f>IF('Terminal offers'!$G$61&gt;0,'Terminal offers'!$G$61,'Terminal offers'!$G$68)</f>
        <v>2.3276000000000005E-2</v>
      </c>
      <c r="I10" s="24">
        <f>IF('Terminal offers'!$H$61&gt;0,'Terminal offers'!$H$61,'Terminal offers'!$H$68)</f>
        <v>2.9711000000000001E-2</v>
      </c>
      <c r="J10" s="25">
        <f>'Terminal offers'!$J$61</f>
        <v>0</v>
      </c>
      <c r="K10" s="65">
        <f t="shared" si="0"/>
        <v>3.75</v>
      </c>
      <c r="L10" s="26">
        <f t="shared" si="1"/>
        <v>10</v>
      </c>
      <c r="M10" s="66">
        <f>MAX((F10*C28)+(G10*C24),'Terminal offers'!I61)</f>
        <v>62.510851794893824</v>
      </c>
      <c r="N10" s="65">
        <f>(H10*C25)+(I10*C26)</f>
        <v>17.6458408440322</v>
      </c>
      <c r="O10" s="28">
        <f t="shared" ref="O10:O17" si="3">SUM(K10:N10)</f>
        <v>93.906692638926017</v>
      </c>
      <c r="P10" s="62">
        <f t="shared" si="2"/>
        <v>4489.3724254878871</v>
      </c>
      <c r="Q10" s="151">
        <f t="shared" ref="Q10:Q15" si="4">(P10+O10)/P10-1</f>
        <v>2.0917554557466023E-2</v>
      </c>
    </row>
    <row r="11" spans="1:20">
      <c r="A11" s="13"/>
      <c r="B11" s="118" t="str">
        <f>'Terminal offers'!$A$66</f>
        <v>Westpac Genie</v>
      </c>
      <c r="C11" s="122">
        <f>'Terminal offers'!$B$66</f>
        <v>100</v>
      </c>
      <c r="D11" s="113">
        <f>'Terminal offers'!$C$66</f>
        <v>0</v>
      </c>
      <c r="E11" s="113">
        <f>'Terminal offers'!$D$66</f>
        <v>0</v>
      </c>
      <c r="F11" s="371">
        <f>'Terminal offers'!$E$66</f>
        <v>1.95E-2</v>
      </c>
      <c r="G11" s="372"/>
      <c r="H11" s="115">
        <f>IF('Terminal offers'!$G$66&gt;0,'Terminal offers'!$G$66,'Terminal offers'!$G$68)</f>
        <v>2.3276000000000005E-2</v>
      </c>
      <c r="I11" s="115">
        <f>IF('Terminal offers'!$H$66&gt;0,'Terminal offers'!$H$66,'Terminal offers'!$H$68)</f>
        <v>2.9711000000000001E-2</v>
      </c>
      <c r="J11" s="119">
        <f>'Terminal offers'!$J$66</f>
        <v>0</v>
      </c>
      <c r="K11" s="122">
        <f t="shared" si="0"/>
        <v>2.7777777777777777</v>
      </c>
      <c r="L11" s="120">
        <f t="shared" si="1"/>
        <v>0</v>
      </c>
      <c r="M11" s="121">
        <f>F11*(C23+C24)</f>
        <v>73.092453771553238</v>
      </c>
      <c r="N11" s="116">
        <f>(H11*C25)+(I11*C26)</f>
        <v>17.6458408440322</v>
      </c>
      <c r="O11" s="117">
        <f t="shared" si="3"/>
        <v>93.516072393363203</v>
      </c>
      <c r="P11" s="113">
        <f t="shared" si="2"/>
        <v>4489.3724254878871</v>
      </c>
      <c r="Q11" s="150">
        <f t="shared" si="4"/>
        <v>2.0830544568420484E-2</v>
      </c>
    </row>
    <row r="12" spans="1:20">
      <c r="A12" s="13"/>
      <c r="B12" s="31" t="str">
        <f>'Terminal offers'!$A$58</f>
        <v>Bendigo Bank GoPOS Lite</v>
      </c>
      <c r="C12" s="224">
        <f>'Terminal offers'!$B$58</f>
        <v>0</v>
      </c>
      <c r="D12" s="62">
        <f>'Terminal offers'!$C$58</f>
        <v>13.200000000000001</v>
      </c>
      <c r="E12" s="62">
        <f>'Terminal offers'!$D$58</f>
        <v>0</v>
      </c>
      <c r="F12" s="226">
        <f>'Terminal offers'!$E$58</f>
        <v>0.27500000000000002</v>
      </c>
      <c r="G12" s="23">
        <f>'Terminal offers'!$F$58</f>
        <v>2.0900000000000002E-2</v>
      </c>
      <c r="H12" s="24">
        <f>IF('Terminal offers'!$G$58&gt;0,'Terminal offers'!$G$58,'Terminal offers'!$G$68)</f>
        <v>2.3276000000000005E-2</v>
      </c>
      <c r="I12" s="24">
        <f>IF('Terminal offers'!$H$58&gt;0,'Terminal offers'!$H$58,'Terminal offers'!$H$68)</f>
        <v>2.9711000000000001E-2</v>
      </c>
      <c r="J12" s="32">
        <f>'Terminal offers'!$J$58</f>
        <v>0</v>
      </c>
      <c r="K12" s="65">
        <f t="shared" si="0"/>
        <v>0</v>
      </c>
      <c r="L12" s="26">
        <f t="shared" si="1"/>
        <v>13.200000000000001</v>
      </c>
      <c r="M12" s="25">
        <f>(C28*F12)+(G12*C24)</f>
        <v>76.235265993456608</v>
      </c>
      <c r="N12" s="65">
        <f>(H12*C25)+(I12*C26)</f>
        <v>17.6458408440322</v>
      </c>
      <c r="O12" s="28">
        <f t="shared" si="3"/>
        <v>107.08110683748882</v>
      </c>
      <c r="P12" s="62">
        <f t="shared" si="2"/>
        <v>4489.3724254878871</v>
      </c>
      <c r="Q12" s="151">
        <f t="shared" si="4"/>
        <v>2.3852132701120521E-2</v>
      </c>
    </row>
    <row r="13" spans="1:20">
      <c r="A13" s="13"/>
      <c r="B13" s="118" t="str">
        <f>'Terminal offers'!$A$65</f>
        <v>St George Mobile PayWay</v>
      </c>
      <c r="C13" s="122">
        <f>'Terminal offers'!$B$65</f>
        <v>100</v>
      </c>
      <c r="D13" s="113">
        <f>'Terminal offers'!$C$65</f>
        <v>0</v>
      </c>
      <c r="E13" s="113">
        <f>'Terminal offers'!$D$65</f>
        <v>0</v>
      </c>
      <c r="F13" s="230">
        <f>'Terminal offers'!$E$65</f>
        <v>0.3</v>
      </c>
      <c r="G13" s="114">
        <f>'Terminal offers'!$F$65</f>
        <v>2.4E-2</v>
      </c>
      <c r="H13" s="115">
        <f>IF('Terminal offers'!$G$65&gt;0,'Terminal offers'!$G$65,'Terminal offers'!$G$68)</f>
        <v>2.3276000000000005E-2</v>
      </c>
      <c r="I13" s="115">
        <f>IF('Terminal offers'!$H$65&gt;0,'Terminal offers'!$H$65,'Terminal offers'!$H$68)</f>
        <v>2.9711000000000001E-2</v>
      </c>
      <c r="J13" s="119">
        <f>'Terminal offers'!$J$65</f>
        <v>0</v>
      </c>
      <c r="K13" s="122">
        <f t="shared" si="0"/>
        <v>2.7777777777777777</v>
      </c>
      <c r="L13" s="120">
        <f t="shared" si="1"/>
        <v>0</v>
      </c>
      <c r="M13" s="121">
        <f>(F13*C28)+(G13*C24)</f>
        <v>87.439170842598045</v>
      </c>
      <c r="N13" s="116">
        <f>(H13*C25)+(I13*C26)</f>
        <v>17.6458408440322</v>
      </c>
      <c r="O13" s="117">
        <f t="shared" si="3"/>
        <v>107.86278946440802</v>
      </c>
      <c r="P13" s="113">
        <f t="shared" si="2"/>
        <v>4489.3724254878871</v>
      </c>
      <c r="Q13" s="150">
        <f t="shared" si="4"/>
        <v>2.4026251164200429E-2</v>
      </c>
    </row>
    <row r="14" spans="1:20">
      <c r="A14" s="13"/>
      <c r="B14" s="31" t="str">
        <f>'Terminal offers'!$A$60</f>
        <v>Mint mPOS</v>
      </c>
      <c r="C14" s="27">
        <f>'Terminal offers'!$B$60</f>
        <v>0</v>
      </c>
      <c r="D14" s="27">
        <f>IF(C20&gt;2000,0,10)</f>
        <v>0</v>
      </c>
      <c r="E14" s="62">
        <f>'Terminal offers'!$D$60</f>
        <v>0</v>
      </c>
      <c r="F14" s="226">
        <f>'Terminal offers'!$E$60</f>
        <v>0.25</v>
      </c>
      <c r="G14" s="23">
        <f>'Terminal offers'!$F$60</f>
        <v>1.6899999999999998E-2</v>
      </c>
      <c r="H14" s="24">
        <f>IF('Terminal offers'!$G$60&gt;0,'Terminal offers'!$G$60,'Terminal offers'!$G$68)</f>
        <v>2.3276000000000005E-2</v>
      </c>
      <c r="I14" s="24">
        <f>IF('Terminal offers'!$H$60&gt;0,'Terminal offers'!$H$60,'Terminal offers'!$H$68)</f>
        <v>2.9711000000000001E-2</v>
      </c>
      <c r="J14" s="25">
        <f>'Terminal offers'!$J$60</f>
        <v>0</v>
      </c>
      <c r="K14" s="65">
        <f t="shared" si="0"/>
        <v>0</v>
      </c>
      <c r="L14" s="26">
        <f t="shared" si="1"/>
        <v>0</v>
      </c>
      <c r="M14" s="32">
        <f>(F14*C28)+(G14*C24)</f>
        <v>61.826291552467445</v>
      </c>
      <c r="N14" s="65">
        <f>(H14*C25)+(I14*C26)</f>
        <v>17.6458408440322</v>
      </c>
      <c r="O14" s="28">
        <f t="shared" si="3"/>
        <v>79.472132396499646</v>
      </c>
      <c r="P14" s="62">
        <f t="shared" si="2"/>
        <v>4489.3724254878871</v>
      </c>
      <c r="Q14" s="151">
        <f t="shared" si="4"/>
        <v>1.7702281046078072E-2</v>
      </c>
    </row>
    <row r="15" spans="1:20">
      <c r="A15" s="13"/>
      <c r="B15" s="118" t="str">
        <f>'Terminal offers'!$A$62</f>
        <v>PayPal Here</v>
      </c>
      <c r="C15" s="122">
        <f>'Terminal offers'!$B$62</f>
        <v>99</v>
      </c>
      <c r="D15" s="122">
        <f>'Terminal offers'!$C$62</f>
        <v>0</v>
      </c>
      <c r="E15" s="113">
        <f>'Terminal offers'!$D$62</f>
        <v>0</v>
      </c>
      <c r="F15" s="371">
        <f>'Terminal offers'!$E$62</f>
        <v>1.95E-2</v>
      </c>
      <c r="G15" s="372"/>
      <c r="H15" s="115">
        <f>IF('Terminal offers'!$G$62&gt;0,'Terminal offers'!$G$62,'Terminal offers'!$G$68)</f>
        <v>1.95E-2</v>
      </c>
      <c r="I15" s="115">
        <f>IF('Terminal offers'!$H$62&gt;0,'Terminal offers'!$H$62,'Terminal offers'!$H$68)</f>
        <v>2.9711000000000001E-2</v>
      </c>
      <c r="J15" s="119">
        <f>'Terminal offers'!$J$62</f>
        <v>0</v>
      </c>
      <c r="K15" s="122">
        <f t="shared" si="0"/>
        <v>2.75</v>
      </c>
      <c r="L15" s="120">
        <f t="shared" si="1"/>
        <v>0</v>
      </c>
      <c r="M15" s="121">
        <f>F15*(C23+C24)</f>
        <v>73.092453771553238</v>
      </c>
      <c r="N15" s="116">
        <f>(H15*C25)+(I15*C26)</f>
        <v>15.080835403005246</v>
      </c>
      <c r="O15" s="117">
        <f t="shared" si="3"/>
        <v>90.923289174558477</v>
      </c>
      <c r="P15" s="113">
        <f t="shared" si="2"/>
        <v>4489.3724254878871</v>
      </c>
      <c r="Q15" s="150">
        <f t="shared" si="4"/>
        <v>2.0253006557966247E-2</v>
      </c>
    </row>
    <row r="16" spans="1:20">
      <c r="A16" s="13"/>
      <c r="B16" s="31" t="str">
        <f>'Terminal offers'!$A$64</f>
        <v>Square</v>
      </c>
      <c r="C16" s="27">
        <f>'Terminal offers'!$B$64</f>
        <v>59</v>
      </c>
      <c r="D16" s="62">
        <f>'Terminal offers'!$C$64</f>
        <v>0</v>
      </c>
      <c r="E16" s="62">
        <f>'Terminal offers'!$D$64</f>
        <v>0</v>
      </c>
      <c r="F16" s="353">
        <f>'Terminal offers'!$E$64</f>
        <v>1.9E-2</v>
      </c>
      <c r="G16" s="354"/>
      <c r="H16" s="24">
        <f>IF('Terminal offers'!$G$64&gt;0,'Terminal offers'!$G$64,'Terminal offers'!$G$68)</f>
        <v>1.9E-2</v>
      </c>
      <c r="I16" s="24">
        <f>IF('Terminal offers'!$H$64&gt;0,'Terminal offers'!$H$64,'Terminal offers'!$H$68)</f>
        <v>2.9711000000000001E-2</v>
      </c>
      <c r="J16" s="25">
        <f>'Terminal offers'!$J$64</f>
        <v>0</v>
      </c>
      <c r="K16" s="65">
        <f t="shared" si="0"/>
        <v>1.6388888888888888</v>
      </c>
      <c r="L16" s="26">
        <f t="shared" si="1"/>
        <v>0</v>
      </c>
      <c r="M16" s="25">
        <f>F16*(C23+C24)</f>
        <v>71.218288290231357</v>
      </c>
      <c r="N16" s="65">
        <f>(H16*C25)+(I16*C26)</f>
        <v>14.741189555411637</v>
      </c>
      <c r="O16" s="28">
        <f t="shared" si="3"/>
        <v>87.598366734531879</v>
      </c>
      <c r="P16" s="62">
        <f t="shared" si="2"/>
        <v>4489.3724254878871</v>
      </c>
      <c r="Q16" s="151">
        <f>(P16+O16)/P16-1</f>
        <v>1.9512385792990194E-2</v>
      </c>
    </row>
    <row r="17" spans="1:17">
      <c r="A17" s="13"/>
      <c r="B17" s="137" t="str">
        <f>'Terminal offers'!$A$63</f>
        <v>Quest PocketPay</v>
      </c>
      <c r="C17" s="131">
        <f>'Terminal offers'!$B$63</f>
        <v>0</v>
      </c>
      <c r="D17" s="131">
        <f>'Terminal offers'!$C$63</f>
        <v>25.3</v>
      </c>
      <c r="E17" s="140">
        <f>'Terminal offers'!$D$63</f>
        <v>0</v>
      </c>
      <c r="F17" s="231">
        <f>'Terminal offers'!$E$63</f>
        <v>0.30800000000000005</v>
      </c>
      <c r="G17" s="232">
        <f>'Terminal offers'!$F$63</f>
        <v>2.0020000000000003E-2</v>
      </c>
      <c r="H17" s="128">
        <f>IF('Terminal offers'!$G$63&gt;0,'Terminal offers'!$G$63,'Terminal offers'!$G$68)</f>
        <v>2.3276000000000005E-2</v>
      </c>
      <c r="I17" s="128">
        <f>IF('Terminal offers'!$H$63&gt;0,'Terminal offers'!$H$63,'Terminal offers'!$H$68)</f>
        <v>2.9711000000000001E-2</v>
      </c>
      <c r="J17" s="129">
        <f>'Terminal offers'!$J$63</f>
        <v>0</v>
      </c>
      <c r="K17" s="131">
        <f t="shared" si="0"/>
        <v>0</v>
      </c>
      <c r="L17" s="130">
        <f t="shared" si="1"/>
        <v>25.3</v>
      </c>
      <c r="M17" s="138">
        <f>((F17*C28)+(G17*C24))</f>
        <v>73.318191493582546</v>
      </c>
      <c r="N17" s="139">
        <f>(H17*C25)+(I17*C26)</f>
        <v>17.6458408440322</v>
      </c>
      <c r="O17" s="132">
        <f t="shared" si="3"/>
        <v>116.26403233761474</v>
      </c>
      <c r="P17" s="140">
        <f t="shared" si="2"/>
        <v>4489.3724254878871</v>
      </c>
      <c r="Q17" s="152">
        <f>(P17+O17)/P17-1</f>
        <v>2.5897613590162294E-2</v>
      </c>
    </row>
    <row r="18" spans="1:17">
      <c r="A18" s="13"/>
      <c r="B18" s="67"/>
      <c r="C18" s="15"/>
      <c r="D18" s="16"/>
      <c r="E18" s="16"/>
      <c r="F18" s="16"/>
      <c r="G18" s="16"/>
      <c r="H18" s="16"/>
      <c r="I18" s="16"/>
      <c r="J18" s="15"/>
      <c r="K18" s="15"/>
      <c r="L18" s="15"/>
      <c r="M18" s="15"/>
      <c r="N18" s="15"/>
      <c r="O18" s="15"/>
      <c r="P18" s="134" t="s">
        <v>13</v>
      </c>
      <c r="Q18" s="144">
        <f>AVERAGE(Q8:Q17)</f>
        <v>2.1484497588936467E-2</v>
      </c>
    </row>
    <row r="19" spans="1:17">
      <c r="A19" s="13"/>
      <c r="B19" s="40" t="s">
        <v>108</v>
      </c>
      <c r="C19" s="41"/>
      <c r="D19" s="16"/>
      <c r="E19" s="16"/>
      <c r="F19" s="16"/>
      <c r="G19" s="16"/>
      <c r="H19" s="16"/>
      <c r="I19" s="16"/>
      <c r="J19" s="15"/>
      <c r="K19" s="15"/>
      <c r="L19" s="15"/>
      <c r="M19" s="15"/>
      <c r="N19" s="15"/>
      <c r="O19" s="15"/>
      <c r="P19" s="135" t="s">
        <v>17</v>
      </c>
      <c r="Q19" s="145">
        <f>MIN(Q8:Q17)</f>
        <v>1.7702281046078072E-2</v>
      </c>
    </row>
    <row r="20" spans="1:17">
      <c r="A20" s="13"/>
      <c r="B20" s="42" t="s">
        <v>33</v>
      </c>
      <c r="C20" s="43">
        <f>'8. Monthly revenue and trips'!C6*1.05</f>
        <v>4489.3724254878871</v>
      </c>
      <c r="D20" s="16"/>
      <c r="E20" s="16"/>
      <c r="F20" s="16"/>
      <c r="G20" s="16"/>
      <c r="H20" s="16"/>
      <c r="I20" s="16"/>
      <c r="J20" s="15"/>
      <c r="K20" s="15"/>
      <c r="L20" s="15"/>
      <c r="M20" s="15"/>
      <c r="N20" s="15"/>
      <c r="O20" s="15"/>
      <c r="P20" s="136" t="s">
        <v>18</v>
      </c>
      <c r="Q20" s="146">
        <f>MAX(Q8:Q17)</f>
        <v>2.5897613590162294E-2</v>
      </c>
    </row>
    <row r="21" spans="1:17">
      <c r="A21" s="13"/>
      <c r="B21" s="42" t="s">
        <v>21</v>
      </c>
      <c r="C21" s="45">
        <f>'8. Monthly revenue and trips'!C4</f>
        <v>28.489485170139162</v>
      </c>
      <c r="D21" s="16"/>
      <c r="E21" s="50"/>
      <c r="F21" s="68"/>
      <c r="G21" s="16"/>
      <c r="H21" s="16"/>
      <c r="I21" s="16"/>
      <c r="J21" s="15"/>
      <c r="K21" s="15"/>
      <c r="L21" s="15"/>
      <c r="M21" s="15"/>
      <c r="N21" s="15"/>
      <c r="O21" s="15"/>
      <c r="P21" s="15"/>
      <c r="Q21" s="15"/>
    </row>
    <row r="22" spans="1:17">
      <c r="A22" s="13"/>
      <c r="B22" s="42"/>
      <c r="C22" s="45"/>
      <c r="D22" s="16"/>
      <c r="E22" s="50"/>
      <c r="F22" s="68"/>
      <c r="G22" s="16"/>
      <c r="H22" s="16"/>
      <c r="I22" s="16"/>
      <c r="J22" s="15"/>
      <c r="K22" s="15"/>
      <c r="L22" s="15"/>
      <c r="M22" s="15"/>
      <c r="N22" s="15"/>
      <c r="O22" s="15"/>
      <c r="P22" s="15"/>
      <c r="Q22" s="15"/>
    </row>
    <row r="23" spans="1:17">
      <c r="A23" s="13"/>
      <c r="B23" s="42" t="s">
        <v>34</v>
      </c>
      <c r="C23" s="46">
        <f>'8. Monthly revenue and trips'!C19*'13. Sensitivity (mPOS)'!C20</f>
        <v>187.14252725743742</v>
      </c>
      <c r="D23" s="15"/>
      <c r="E23" s="15"/>
      <c r="F23" s="16"/>
      <c r="G23" s="15"/>
      <c r="H23" s="15"/>
      <c r="I23" s="15"/>
      <c r="J23" s="15"/>
      <c r="K23" s="15"/>
      <c r="L23" s="15"/>
      <c r="M23" s="15"/>
      <c r="N23" s="15"/>
      <c r="O23" s="15"/>
      <c r="P23" s="15"/>
      <c r="Q23" s="15"/>
    </row>
    <row r="24" spans="1:17">
      <c r="A24" s="13"/>
      <c r="B24" s="42" t="s">
        <v>197</v>
      </c>
      <c r="C24" s="46">
        <f>'8. Monthly revenue and trips'!C20*'13. Sensitivity (mPOS)'!C20</f>
        <v>3561.1884353863184</v>
      </c>
      <c r="D24" s="15"/>
      <c r="E24" s="15"/>
      <c r="F24" s="16"/>
      <c r="G24" s="16"/>
      <c r="H24" s="16"/>
      <c r="I24" s="16"/>
      <c r="J24" s="15"/>
      <c r="K24" s="15"/>
      <c r="L24" s="15"/>
      <c r="M24" s="15"/>
      <c r="N24" s="15"/>
      <c r="O24" s="15"/>
      <c r="P24" s="15"/>
      <c r="Q24" s="15"/>
    </row>
    <row r="25" spans="1:17">
      <c r="A25" s="13"/>
      <c r="B25" s="42" t="s">
        <v>39</v>
      </c>
      <c r="C25" s="46">
        <f>'8. Monthly revenue and trips'!C21*'13. Sensitivity (mPOS)'!C20</f>
        <v>679.29169518722153</v>
      </c>
      <c r="D25" s="15"/>
      <c r="E25" s="15"/>
      <c r="F25" s="16"/>
      <c r="G25" s="16"/>
      <c r="H25" s="16"/>
      <c r="I25" s="16"/>
      <c r="J25" s="15"/>
      <c r="K25" s="15"/>
      <c r="L25" s="15"/>
      <c r="M25" s="15"/>
      <c r="N25" s="15"/>
      <c r="O25" s="15"/>
      <c r="P25" s="15"/>
      <c r="Q25" s="15"/>
    </row>
    <row r="26" spans="1:17">
      <c r="A26" s="13"/>
      <c r="B26" s="42" t="s">
        <v>114</v>
      </c>
      <c r="C26" s="46">
        <f>'8. Monthly revenue and trips'!C22*'13. Sensitivity (mPOS)'!C20</f>
        <v>61.749767656909135</v>
      </c>
      <c r="D26" s="15"/>
      <c r="E26" s="15"/>
      <c r="F26" s="16"/>
      <c r="G26" s="16"/>
      <c r="H26" s="16"/>
      <c r="I26" s="16"/>
      <c r="J26" s="15"/>
      <c r="K26" s="15"/>
      <c r="L26" s="15"/>
      <c r="M26" s="15"/>
      <c r="N26" s="15"/>
      <c r="O26" s="15"/>
      <c r="P26" s="15"/>
      <c r="Q26" s="15"/>
    </row>
    <row r="27" spans="1:17">
      <c r="A27" s="13"/>
      <c r="B27" s="42"/>
      <c r="C27" s="46"/>
      <c r="D27" s="15"/>
      <c r="E27" s="15"/>
      <c r="F27" s="16"/>
      <c r="G27" s="16"/>
      <c r="H27" s="16"/>
      <c r="I27" s="16"/>
      <c r="J27" s="15"/>
      <c r="K27" s="15"/>
      <c r="L27" s="15"/>
      <c r="M27" s="15"/>
      <c r="N27" s="15"/>
      <c r="O27" s="15"/>
      <c r="P27" s="15"/>
      <c r="Q27" s="15"/>
    </row>
    <row r="28" spans="1:17">
      <c r="A28" s="13"/>
      <c r="B28" s="42" t="s">
        <v>38</v>
      </c>
      <c r="C28" s="51">
        <f>C23/$C$21</f>
        <v>6.5688279777546885</v>
      </c>
      <c r="D28" s="16"/>
      <c r="E28" s="16"/>
      <c r="F28" s="16"/>
      <c r="G28" s="16"/>
      <c r="H28" s="16"/>
      <c r="I28" s="16"/>
      <c r="J28" s="15"/>
      <c r="K28" s="15"/>
      <c r="L28" s="15"/>
      <c r="M28" s="15"/>
      <c r="N28" s="15"/>
      <c r="O28" s="15"/>
      <c r="P28" s="15"/>
      <c r="Q28" s="15"/>
    </row>
    <row r="29" spans="1:17">
      <c r="A29" s="13"/>
      <c r="B29" s="42" t="s">
        <v>198</v>
      </c>
      <c r="C29" s="51">
        <f t="shared" ref="C29:C30" si="5">C24/$C$21</f>
        <v>125.00009789994121</v>
      </c>
      <c r="D29" s="15"/>
      <c r="E29" s="15"/>
      <c r="F29" s="15"/>
      <c r="G29" s="15"/>
      <c r="H29" s="15"/>
      <c r="I29" s="15"/>
      <c r="J29" s="15"/>
      <c r="K29" s="15"/>
      <c r="L29" s="15"/>
      <c r="M29" s="15"/>
      <c r="N29" s="15"/>
      <c r="O29" s="15"/>
      <c r="P29" s="15"/>
      <c r="Q29" s="15"/>
    </row>
    <row r="30" spans="1:17">
      <c r="A30" s="13"/>
      <c r="B30" s="42" t="s">
        <v>41</v>
      </c>
      <c r="C30" s="51">
        <f t="shared" si="5"/>
        <v>23.843593210986178</v>
      </c>
      <c r="D30" s="15"/>
      <c r="E30" s="15"/>
      <c r="F30" s="16"/>
      <c r="G30" s="15"/>
      <c r="H30" s="15"/>
      <c r="I30" s="15"/>
      <c r="J30" s="15"/>
      <c r="K30" s="15"/>
      <c r="L30" s="15"/>
      <c r="M30" s="15"/>
      <c r="N30" s="15"/>
      <c r="O30" s="15"/>
      <c r="P30" s="15"/>
      <c r="Q30" s="15"/>
    </row>
    <row r="31" spans="1:17" ht="12.75" customHeight="1">
      <c r="A31" s="13"/>
      <c r="B31" s="44" t="s">
        <v>113</v>
      </c>
      <c r="C31" s="54">
        <f>C26/$C$21</f>
        <v>2.1674581793296586</v>
      </c>
      <c r="D31" s="15"/>
      <c r="E31" s="15"/>
      <c r="F31" s="16"/>
      <c r="G31" s="15"/>
      <c r="H31" s="15"/>
      <c r="I31" s="15"/>
      <c r="J31" s="15"/>
      <c r="K31" s="15"/>
      <c r="L31" s="15"/>
      <c r="M31" s="15"/>
      <c r="N31" s="15"/>
      <c r="O31" s="15"/>
      <c r="P31" s="15"/>
      <c r="Q31" s="15"/>
    </row>
    <row r="32" spans="1:17">
      <c r="A32" s="13"/>
      <c r="B32" s="13"/>
      <c r="C32" s="13"/>
      <c r="D32" s="14"/>
      <c r="E32" s="14"/>
      <c r="F32" s="14"/>
      <c r="G32" s="14"/>
      <c r="H32" s="14"/>
      <c r="I32" s="14"/>
      <c r="J32" s="13"/>
      <c r="K32" s="13"/>
      <c r="L32" s="13"/>
      <c r="M32" s="13"/>
      <c r="N32" s="13"/>
      <c r="O32" s="13"/>
      <c r="P32" s="13"/>
      <c r="Q32" s="13"/>
    </row>
    <row r="33" spans="1:17">
      <c r="A33" s="13"/>
      <c r="B33" s="13"/>
      <c r="C33" s="13"/>
      <c r="D33" s="14"/>
      <c r="E33" s="14"/>
      <c r="F33" s="14"/>
      <c r="G33" s="14"/>
      <c r="H33" s="14"/>
      <c r="I33" s="14"/>
      <c r="J33" s="13"/>
      <c r="K33" s="13"/>
      <c r="L33" s="13"/>
      <c r="M33" s="13"/>
      <c r="N33" s="13"/>
      <c r="O33" s="13"/>
      <c r="P33" s="13"/>
      <c r="Q33" s="13"/>
    </row>
    <row r="34" spans="1:17" ht="28.5" customHeight="1">
      <c r="A34" s="13"/>
      <c r="B34" s="375" t="s">
        <v>110</v>
      </c>
      <c r="C34" s="376"/>
      <c r="D34" s="376"/>
      <c r="E34" s="376"/>
      <c r="F34" s="376"/>
      <c r="G34" s="376"/>
      <c r="H34" s="376"/>
      <c r="I34" s="376"/>
      <c r="J34" s="376"/>
      <c r="K34" s="376"/>
      <c r="L34" s="376"/>
      <c r="M34" s="376"/>
      <c r="N34" s="376"/>
      <c r="O34" s="376"/>
      <c r="P34" s="376"/>
      <c r="Q34" s="377"/>
    </row>
    <row r="35" spans="1:17">
      <c r="A35" s="13"/>
      <c r="B35" s="13"/>
      <c r="C35" s="13"/>
      <c r="D35" s="14"/>
      <c r="E35" s="14"/>
      <c r="F35" s="14"/>
      <c r="G35" s="14"/>
      <c r="H35" s="14"/>
      <c r="I35" s="14"/>
      <c r="J35" s="13"/>
      <c r="K35" s="13"/>
      <c r="L35" s="13"/>
      <c r="M35" s="13"/>
      <c r="N35" s="13"/>
      <c r="O35" s="13"/>
      <c r="P35" s="13"/>
      <c r="Q35" s="13"/>
    </row>
    <row r="36" spans="1:17" ht="12" customHeight="1">
      <c r="A36" s="13"/>
      <c r="B36" s="60"/>
      <c r="C36" s="358" t="s">
        <v>10</v>
      </c>
      <c r="D36" s="359"/>
      <c r="E36" s="359"/>
      <c r="F36" s="359"/>
      <c r="G36" s="359"/>
      <c r="H36" s="359"/>
      <c r="I36" s="359"/>
      <c r="J36" s="359"/>
      <c r="K36" s="361" t="s">
        <v>101</v>
      </c>
      <c r="L36" s="362"/>
      <c r="M36" s="362"/>
      <c r="N36" s="362"/>
      <c r="O36" s="363"/>
      <c r="P36" s="18" t="s">
        <v>8</v>
      </c>
      <c r="Q36" s="351" t="s">
        <v>104</v>
      </c>
    </row>
    <row r="37" spans="1:17" ht="33.75">
      <c r="A37" s="13"/>
      <c r="B37" s="73" t="s">
        <v>25</v>
      </c>
      <c r="C37" s="20" t="s">
        <v>27</v>
      </c>
      <c r="D37" s="20" t="s">
        <v>20</v>
      </c>
      <c r="E37" s="20" t="s">
        <v>19</v>
      </c>
      <c r="F37" s="20" t="s">
        <v>94</v>
      </c>
      <c r="G37" s="72" t="s">
        <v>102</v>
      </c>
      <c r="H37" s="20" t="s">
        <v>95</v>
      </c>
      <c r="I37" s="20" t="s">
        <v>96</v>
      </c>
      <c r="J37" s="71" t="s">
        <v>14</v>
      </c>
      <c r="K37" s="20" t="s">
        <v>97</v>
      </c>
      <c r="L37" s="20" t="s">
        <v>16</v>
      </c>
      <c r="M37" s="61" t="s">
        <v>98</v>
      </c>
      <c r="N37" s="20" t="s">
        <v>99</v>
      </c>
      <c r="O37" s="75" t="s">
        <v>15</v>
      </c>
      <c r="P37" s="74" t="s">
        <v>100</v>
      </c>
      <c r="Q37" s="352"/>
    </row>
    <row r="38" spans="1:17">
      <c r="A38" s="13"/>
      <c r="B38" s="21" t="str">
        <f>'Terminal offers'!$A$57</f>
        <v>ANZ Fastpay</v>
      </c>
      <c r="C38" s="65">
        <f>'Terminal offers'!$B$57</f>
        <v>0</v>
      </c>
      <c r="D38" s="62">
        <f>'Terminal offers'!$C$57</f>
        <v>5</v>
      </c>
      <c r="E38" s="62">
        <f>'Terminal offers'!$D$57</f>
        <v>0</v>
      </c>
      <c r="F38" s="228">
        <f>'Terminal offers'!$E$57</f>
        <v>0.3</v>
      </c>
      <c r="G38" s="23">
        <f>'Terminal offers'!$F$57</f>
        <v>2.3E-2</v>
      </c>
      <c r="H38" s="109">
        <f>IF('Terminal offers'!$G$57&gt;0,'Terminal offers'!G88,'Terminal offers'!$G$68)</f>
        <v>2.3276000000000005E-2</v>
      </c>
      <c r="I38" s="109">
        <f>IF('Terminal offers'!$H$57&gt;0,'Terminal offers'!$H$57,'Terminal offers'!$H$68)</f>
        <v>2.9711000000000001E-2</v>
      </c>
      <c r="J38" s="63">
        <f>'Terminal offers'!$J$57</f>
        <v>0</v>
      </c>
      <c r="K38" s="223">
        <f t="shared" ref="K38:K47" si="6">C38/36</f>
        <v>0</v>
      </c>
      <c r="L38" s="62">
        <f t="shared" ref="L38:L47" si="7">D38+J38</f>
        <v>5</v>
      </c>
      <c r="M38" s="64">
        <f>(F38*C58)+MAX((G38*C54),'Terminal offers'!I57)</f>
        <v>75.889603130334407</v>
      </c>
      <c r="N38" s="65">
        <f>(H38*C55)+(I38*C56)</f>
        <v>15.96528457317199</v>
      </c>
      <c r="O38" s="28">
        <f>SUM(K38:N38)</f>
        <v>96.854887703506392</v>
      </c>
      <c r="P38" s="62">
        <f t="shared" ref="P38:P47" si="8">$C$50</f>
        <v>4061.8131468699926</v>
      </c>
      <c r="Q38" s="149">
        <f>(P38+O38)/P38-1</f>
        <v>2.3845234677558169E-2</v>
      </c>
    </row>
    <row r="39" spans="1:17">
      <c r="A39" s="13"/>
      <c r="B39" s="118" t="str">
        <f>'Terminal offers'!$A$59</f>
        <v>Commonwealth Bank Emmy</v>
      </c>
      <c r="C39" s="222">
        <f>'Terminal offers'!$B$59</f>
        <v>0</v>
      </c>
      <c r="D39" s="113">
        <f>'Terminal offers'!$C$59</f>
        <v>30</v>
      </c>
      <c r="E39" s="113">
        <f>'Terminal offers'!$D$59</f>
        <v>1500</v>
      </c>
      <c r="F39" s="371">
        <f>'Terminal offers'!$E$59</f>
        <v>1.4999999999999999E-2</v>
      </c>
      <c r="G39" s="372"/>
      <c r="H39" s="115">
        <f>IF('Terminal offers'!$G$59&gt;0,'Terminal offers'!$G$59,'Terminal offers'!$G$68)</f>
        <v>2.3276000000000005E-2</v>
      </c>
      <c r="I39" s="115">
        <f>IF('Terminal offers'!$H$59&gt;0,'Terminal offers'!$H$59,'Terminal offers'!$H$68)</f>
        <v>2.9711000000000001E-2</v>
      </c>
      <c r="J39" s="121">
        <f>'Terminal offers'!$J$59</f>
        <v>0</v>
      </c>
      <c r="K39" s="122">
        <f t="shared" si="6"/>
        <v>0</v>
      </c>
      <c r="L39" s="120">
        <f t="shared" si="7"/>
        <v>30</v>
      </c>
      <c r="M39" s="121">
        <f>IF((C53+C54)&lt;=E39,0,F39*((C53+C54)-E39))</f>
        <v>28.370205921593822</v>
      </c>
      <c r="N39" s="116">
        <f>(H39*C55)+(I39*C56)</f>
        <v>15.96528457317199</v>
      </c>
      <c r="O39" s="117">
        <f>SUM(K39:N39)</f>
        <v>74.335490494765807</v>
      </c>
      <c r="P39" s="113">
        <f t="shared" si="8"/>
        <v>4061.8131468699926</v>
      </c>
      <c r="Q39" s="150">
        <f>(P39+O39)/P39-1</f>
        <v>1.8301061079594172E-2</v>
      </c>
    </row>
    <row r="40" spans="1:17">
      <c r="A40" s="13"/>
      <c r="B40" s="31" t="str">
        <f>'Terminal offers'!$A$61</f>
        <v>NAB Now</v>
      </c>
      <c r="C40" s="62">
        <f>'Terminal offers'!$B$61</f>
        <v>135</v>
      </c>
      <c r="D40" s="62">
        <f>'Terminal offers'!$C$61</f>
        <v>10</v>
      </c>
      <c r="E40" s="62">
        <f>'Terminal offers'!$D$61</f>
        <v>0</v>
      </c>
      <c r="F40" s="229">
        <f>'Terminal offers'!$E$61</f>
        <v>0.3</v>
      </c>
      <c r="G40" s="23">
        <f>'Terminal offers'!$F$61</f>
        <v>1.7000000000000001E-2</v>
      </c>
      <c r="H40" s="24">
        <f>IF('Terminal offers'!$G$61&gt;0,'Terminal offers'!$G$61,'Terminal offers'!$G$68)</f>
        <v>2.3276000000000005E-2</v>
      </c>
      <c r="I40" s="24">
        <f>IF('Terminal offers'!$H$61&gt;0,'Terminal offers'!$H$61,'Terminal offers'!$H$68)</f>
        <v>2.9711000000000001E-2</v>
      </c>
      <c r="J40" s="25">
        <f>'Terminal offers'!$J$61</f>
        <v>0</v>
      </c>
      <c r="K40" s="65">
        <f t="shared" si="6"/>
        <v>3.75</v>
      </c>
      <c r="L40" s="26">
        <f t="shared" si="7"/>
        <v>10</v>
      </c>
      <c r="M40" s="66">
        <f>MAX((F40*C58)+(G40*C54),'Terminal offers'!I61)</f>
        <v>56.557437338237257</v>
      </c>
      <c r="N40" s="65">
        <f>(H40*C55)+(I40*C56)</f>
        <v>15.96528457317199</v>
      </c>
      <c r="O40" s="28">
        <f t="shared" ref="O40:O47" si="9">SUM(K40:N40)</f>
        <v>86.272721911409249</v>
      </c>
      <c r="P40" s="62">
        <f t="shared" si="8"/>
        <v>4061.8131468699926</v>
      </c>
      <c r="Q40" s="151">
        <f t="shared" ref="Q40:Q45" si="10">(P40+O40)/P40-1</f>
        <v>2.1239953388277E-2</v>
      </c>
    </row>
    <row r="41" spans="1:17">
      <c r="A41" s="13"/>
      <c r="B41" s="118" t="str">
        <f>'Terminal offers'!$A$66</f>
        <v>Westpac Genie</v>
      </c>
      <c r="C41" s="122">
        <f>'Terminal offers'!$B$66</f>
        <v>100</v>
      </c>
      <c r="D41" s="113">
        <f>'Terminal offers'!$C$66</f>
        <v>0</v>
      </c>
      <c r="E41" s="113">
        <f>'Terminal offers'!$D$66</f>
        <v>0</v>
      </c>
      <c r="F41" s="371">
        <f>'Terminal offers'!$E$66</f>
        <v>1.95E-2</v>
      </c>
      <c r="G41" s="372"/>
      <c r="H41" s="115">
        <f>IF('Terminal offers'!$G$66&gt;0,'Terminal offers'!$G$66,'Terminal offers'!$G$68)</f>
        <v>2.3276000000000005E-2</v>
      </c>
      <c r="I41" s="115">
        <f>IF('Terminal offers'!$H$66&gt;0,'Terminal offers'!$H$66,'Terminal offers'!$H$68)</f>
        <v>2.9711000000000001E-2</v>
      </c>
      <c r="J41" s="119">
        <f>'Terminal offers'!$J$66</f>
        <v>0</v>
      </c>
      <c r="K41" s="122">
        <f t="shared" si="6"/>
        <v>2.7777777777777777</v>
      </c>
      <c r="L41" s="120">
        <f t="shared" si="7"/>
        <v>0</v>
      </c>
      <c r="M41" s="121">
        <f>F41*(C53+C54)</f>
        <v>66.131267698071966</v>
      </c>
      <c r="N41" s="116">
        <f>(H41*C55)+(I41*C56)</f>
        <v>15.96528457317199</v>
      </c>
      <c r="O41" s="117">
        <f t="shared" si="9"/>
        <v>84.874330049021722</v>
      </c>
      <c r="P41" s="113">
        <f t="shared" si="8"/>
        <v>4061.8131468699926</v>
      </c>
      <c r="Q41" s="150">
        <f t="shared" si="10"/>
        <v>2.0895675645351997E-2</v>
      </c>
    </row>
    <row r="42" spans="1:17">
      <c r="A42" s="13"/>
      <c r="B42" s="31" t="str">
        <f>'Terminal offers'!$A$58</f>
        <v>Bendigo Bank GoPOS Lite</v>
      </c>
      <c r="C42" s="224">
        <f>'Terminal offers'!$B$58</f>
        <v>0</v>
      </c>
      <c r="D42" s="62">
        <f>'Terminal offers'!$C$58</f>
        <v>13.200000000000001</v>
      </c>
      <c r="E42" s="62">
        <f>'Terminal offers'!$D$58</f>
        <v>0</v>
      </c>
      <c r="F42" s="226">
        <f>'Terminal offers'!$E$58</f>
        <v>0.27500000000000002</v>
      </c>
      <c r="G42" s="23">
        <f>'Terminal offers'!$F$58</f>
        <v>2.0900000000000002E-2</v>
      </c>
      <c r="H42" s="24">
        <f>IF('Terminal offers'!$G$58&gt;0,'Terminal offers'!$G$58,'Terminal offers'!$G$68)</f>
        <v>2.3276000000000005E-2</v>
      </c>
      <c r="I42" s="24">
        <f>IF('Terminal offers'!$H$58&gt;0,'Terminal offers'!$H$58,'Terminal offers'!$H$68)</f>
        <v>2.9711000000000001E-2</v>
      </c>
      <c r="J42" s="32">
        <f>'Terminal offers'!$J$58</f>
        <v>0</v>
      </c>
      <c r="K42" s="65">
        <f t="shared" si="6"/>
        <v>0</v>
      </c>
      <c r="L42" s="26">
        <f t="shared" si="7"/>
        <v>13.200000000000001</v>
      </c>
      <c r="M42" s="25">
        <f>(C58*F42)+(G42*C54)</f>
        <v>68.974764470270259</v>
      </c>
      <c r="N42" s="65">
        <f>(H42*C55)+(I42*C56)</f>
        <v>15.96528457317199</v>
      </c>
      <c r="O42" s="28">
        <f t="shared" si="9"/>
        <v>98.140049043442247</v>
      </c>
      <c r="P42" s="62">
        <f t="shared" si="8"/>
        <v>4061.8131468699926</v>
      </c>
      <c r="Q42" s="151">
        <f t="shared" si="10"/>
        <v>2.4161635578699103E-2</v>
      </c>
    </row>
    <row r="43" spans="1:17">
      <c r="A43" s="13"/>
      <c r="B43" s="118" t="str">
        <f>'Terminal offers'!$A$65</f>
        <v>St George Mobile PayWay</v>
      </c>
      <c r="C43" s="122">
        <f>'Terminal offers'!$B$65</f>
        <v>100</v>
      </c>
      <c r="D43" s="113">
        <f>'Terminal offers'!$C$65</f>
        <v>0</v>
      </c>
      <c r="E43" s="113">
        <f>'Terminal offers'!$D$65</f>
        <v>0</v>
      </c>
      <c r="F43" s="230">
        <f>'Terminal offers'!$E$65</f>
        <v>0.3</v>
      </c>
      <c r="G43" s="114">
        <f>'Terminal offers'!$F$65</f>
        <v>2.4E-2</v>
      </c>
      <c r="H43" s="115">
        <f>IF('Terminal offers'!$G$65&gt;0,'Terminal offers'!$G$65,'Terminal offers'!$G$68)</f>
        <v>2.3276000000000005E-2</v>
      </c>
      <c r="I43" s="115">
        <f>IF('Terminal offers'!$H$65&gt;0,'Terminal offers'!$H$65,'Terminal offers'!$H$68)</f>
        <v>2.9711000000000001E-2</v>
      </c>
      <c r="J43" s="119">
        <f>'Terminal offers'!$J$65</f>
        <v>0</v>
      </c>
      <c r="K43" s="122">
        <f t="shared" si="6"/>
        <v>2.7777777777777777</v>
      </c>
      <c r="L43" s="120">
        <f t="shared" si="7"/>
        <v>0</v>
      </c>
      <c r="M43" s="121">
        <f>(F43*C58)+(G43*C54)</f>
        <v>79.1116307623506</v>
      </c>
      <c r="N43" s="116">
        <f>(H43*C55)+(I43*C56)</f>
        <v>15.96528457317199</v>
      </c>
      <c r="O43" s="117">
        <f t="shared" si="9"/>
        <v>97.854693113300357</v>
      </c>
      <c r="P43" s="113">
        <f t="shared" si="8"/>
        <v>4061.8131468699926</v>
      </c>
      <c r="Q43" s="150">
        <f t="shared" si="10"/>
        <v>2.4091382241131942E-2</v>
      </c>
    </row>
    <row r="44" spans="1:17">
      <c r="A44" s="13"/>
      <c r="B44" s="31" t="str">
        <f>'Terminal offers'!$A$60</f>
        <v>Mint mPOS</v>
      </c>
      <c r="C44" s="27">
        <f>'Terminal offers'!$B$60</f>
        <v>0</v>
      </c>
      <c r="D44" s="27">
        <f>IF(C50&gt;2000,0,10)</f>
        <v>0</v>
      </c>
      <c r="E44" s="62">
        <f>'Terminal offers'!$D$60</f>
        <v>0</v>
      </c>
      <c r="F44" s="226">
        <f>'Terminal offers'!$E$60</f>
        <v>0.25</v>
      </c>
      <c r="G44" s="23">
        <f>'Terminal offers'!$F$60</f>
        <v>1.6899999999999998E-2</v>
      </c>
      <c r="H44" s="24">
        <f>IF('Terminal offers'!$G$60&gt;0,'Terminal offers'!$G$60,'Terminal offers'!$G$68)</f>
        <v>2.3276000000000005E-2</v>
      </c>
      <c r="I44" s="24">
        <f>IF('Terminal offers'!$H$60&gt;0,'Terminal offers'!$H$60,'Terminal offers'!$H$68)</f>
        <v>2.9711000000000001E-2</v>
      </c>
      <c r="J44" s="25">
        <f>'Terminal offers'!$J$60</f>
        <v>0</v>
      </c>
      <c r="K44" s="65">
        <f t="shared" si="6"/>
        <v>0</v>
      </c>
      <c r="L44" s="26">
        <f t="shared" si="7"/>
        <v>0</v>
      </c>
      <c r="M44" s="32">
        <f>(F44*C58)+(G44*C54)</f>
        <v>55.938073309375305</v>
      </c>
      <c r="N44" s="65">
        <f>(H44*C55)+(I44*C56)</f>
        <v>15.96528457317199</v>
      </c>
      <c r="O44" s="28">
        <f t="shared" si="9"/>
        <v>71.903357882547297</v>
      </c>
      <c r="P44" s="62">
        <f t="shared" si="8"/>
        <v>4061.8131468699926</v>
      </c>
      <c r="Q44" s="151">
        <f t="shared" si="10"/>
        <v>1.7702281046078072E-2</v>
      </c>
    </row>
    <row r="45" spans="1:17">
      <c r="A45" s="13"/>
      <c r="B45" s="118" t="str">
        <f>'Terminal offers'!$A$62</f>
        <v>PayPal Here</v>
      </c>
      <c r="C45" s="122">
        <f>'Terminal offers'!$B$62</f>
        <v>99</v>
      </c>
      <c r="D45" s="122">
        <f>'Terminal offers'!$C$62</f>
        <v>0</v>
      </c>
      <c r="E45" s="113">
        <f>'Terminal offers'!$D$62</f>
        <v>0</v>
      </c>
      <c r="F45" s="371">
        <f>'Terminal offers'!$E$62</f>
        <v>1.95E-2</v>
      </c>
      <c r="G45" s="372"/>
      <c r="H45" s="115">
        <f>IF('Terminal offers'!$G$62&gt;0,'Terminal offers'!$G$62,'Terminal offers'!$G$68)</f>
        <v>1.95E-2</v>
      </c>
      <c r="I45" s="115">
        <f>IF('Terminal offers'!$H$62&gt;0,'Terminal offers'!$H$62,'Terminal offers'!$H$68)</f>
        <v>2.9711000000000001E-2</v>
      </c>
      <c r="J45" s="119">
        <f>'Terminal offers'!$J$62</f>
        <v>0</v>
      </c>
      <c r="K45" s="122">
        <f t="shared" si="6"/>
        <v>2.75</v>
      </c>
      <c r="L45" s="120">
        <f t="shared" si="7"/>
        <v>0</v>
      </c>
      <c r="M45" s="121">
        <f>F45*(C53+C54)</f>
        <v>66.131267698071966</v>
      </c>
      <c r="N45" s="116">
        <f>(H45*C55)+(I45*C56)</f>
        <v>13.644565364623794</v>
      </c>
      <c r="O45" s="117">
        <f t="shared" si="9"/>
        <v>82.525833062695767</v>
      </c>
      <c r="P45" s="113">
        <f t="shared" si="8"/>
        <v>4061.8131468699926</v>
      </c>
      <c r="Q45" s="150">
        <f t="shared" si="10"/>
        <v>2.0317486324128442E-2</v>
      </c>
    </row>
    <row r="46" spans="1:17">
      <c r="A46" s="13"/>
      <c r="B46" s="31" t="str">
        <f>'Terminal offers'!$A$64</f>
        <v>Square</v>
      </c>
      <c r="C46" s="27">
        <f>'Terminal offers'!$B$64</f>
        <v>59</v>
      </c>
      <c r="D46" s="62">
        <f>'Terminal offers'!$C$64</f>
        <v>0</v>
      </c>
      <c r="E46" s="62">
        <f>'Terminal offers'!$D$64</f>
        <v>0</v>
      </c>
      <c r="F46" s="353">
        <f>'Terminal offers'!$E$64</f>
        <v>1.9E-2</v>
      </c>
      <c r="G46" s="354"/>
      <c r="H46" s="24">
        <f>IF('Terminal offers'!$G$64&gt;0,'Terminal offers'!$G$64,'Terminal offers'!$G$68)</f>
        <v>1.9E-2</v>
      </c>
      <c r="I46" s="24">
        <f>IF('Terminal offers'!$H$64&gt;0,'Terminal offers'!$H$64,'Terminal offers'!$H$68)</f>
        <v>2.9711000000000001E-2</v>
      </c>
      <c r="J46" s="25">
        <f>'Terminal offers'!$J$64</f>
        <v>0</v>
      </c>
      <c r="K46" s="65">
        <f t="shared" si="6"/>
        <v>1.6388888888888888</v>
      </c>
      <c r="L46" s="26">
        <f t="shared" si="7"/>
        <v>0</v>
      </c>
      <c r="M46" s="25">
        <f>F46*(C53+C54)</f>
        <v>64.435594167352178</v>
      </c>
      <c r="N46" s="65">
        <f>(H46*C55)+(I46*C56)</f>
        <v>13.337266740610527</v>
      </c>
      <c r="O46" s="28">
        <f t="shared" si="9"/>
        <v>79.411749796851595</v>
      </c>
      <c r="P46" s="62">
        <f t="shared" si="8"/>
        <v>4061.8131468699926</v>
      </c>
      <c r="Q46" s="151">
        <f>(P46+O46)/P46-1</f>
        <v>1.9550813128379696E-2</v>
      </c>
    </row>
    <row r="47" spans="1:17">
      <c r="A47" s="13"/>
      <c r="B47" s="137" t="str">
        <f>'Terminal offers'!$A$63</f>
        <v>Quest PocketPay</v>
      </c>
      <c r="C47" s="131">
        <f>'Terminal offers'!$B$63</f>
        <v>0</v>
      </c>
      <c r="D47" s="131">
        <f>'Terminal offers'!$C$63</f>
        <v>25.3</v>
      </c>
      <c r="E47" s="140">
        <f>'Terminal offers'!$D$63</f>
        <v>0</v>
      </c>
      <c r="F47" s="231">
        <f>'Terminal offers'!$E$63</f>
        <v>0.30800000000000005</v>
      </c>
      <c r="G47" s="232">
        <f>'Terminal offers'!$F$63</f>
        <v>2.0020000000000003E-2</v>
      </c>
      <c r="H47" s="128">
        <f>IF('Terminal offers'!$G$63&gt;0,'Terminal offers'!$G$63,'Terminal offers'!$G$68)</f>
        <v>2.3276000000000005E-2</v>
      </c>
      <c r="I47" s="128">
        <f>IF('Terminal offers'!$H$63&gt;0,'Terminal offers'!$H$63,'Terminal offers'!$H$68)</f>
        <v>2.9711000000000001E-2</v>
      </c>
      <c r="J47" s="129">
        <f>'Terminal offers'!$J$63</f>
        <v>0</v>
      </c>
      <c r="K47" s="131">
        <f t="shared" si="6"/>
        <v>0</v>
      </c>
      <c r="L47" s="130">
        <f t="shared" si="7"/>
        <v>25.3</v>
      </c>
      <c r="M47" s="138">
        <f>((F47*C58)+(G47*C54))</f>
        <v>66.335506589431816</v>
      </c>
      <c r="N47" s="139">
        <f>(H47*C55)+(I47*C56)</f>
        <v>15.96528457317199</v>
      </c>
      <c r="O47" s="132">
        <f t="shared" si="9"/>
        <v>107.6007911626038</v>
      </c>
      <c r="P47" s="140">
        <f t="shared" si="8"/>
        <v>4061.8131468699926</v>
      </c>
      <c r="Q47" s="152">
        <f>(P47+O47)/P47-1</f>
        <v>2.6490827438854447E-2</v>
      </c>
    </row>
    <row r="48" spans="1:17">
      <c r="A48" s="13"/>
      <c r="B48" s="67"/>
      <c r="C48" s="15"/>
      <c r="D48" s="16"/>
      <c r="E48" s="16"/>
      <c r="F48" s="16"/>
      <c r="G48" s="16"/>
      <c r="H48" s="16"/>
      <c r="I48" s="16"/>
      <c r="J48" s="15"/>
      <c r="K48" s="15"/>
      <c r="L48" s="15"/>
      <c r="M48" s="15"/>
      <c r="N48" s="15"/>
      <c r="O48" s="15"/>
      <c r="P48" s="134" t="s">
        <v>13</v>
      </c>
      <c r="Q48" s="144">
        <f>AVERAGE(Q38:Q47)</f>
        <v>2.1659635054805303E-2</v>
      </c>
    </row>
    <row r="49" spans="1:17">
      <c r="A49" s="13"/>
      <c r="B49" s="40" t="s">
        <v>108</v>
      </c>
      <c r="C49" s="41"/>
      <c r="D49" s="16"/>
      <c r="E49" s="16"/>
      <c r="F49" s="16"/>
      <c r="G49" s="16"/>
      <c r="H49" s="16"/>
      <c r="I49" s="16"/>
      <c r="J49" s="15"/>
      <c r="K49" s="15"/>
      <c r="L49" s="15"/>
      <c r="M49" s="15"/>
      <c r="N49" s="15"/>
      <c r="O49" s="15"/>
      <c r="P49" s="135" t="s">
        <v>17</v>
      </c>
      <c r="Q49" s="145">
        <f>MIN(Q38:Q47)</f>
        <v>1.7702281046078072E-2</v>
      </c>
    </row>
    <row r="50" spans="1:17">
      <c r="A50" s="13"/>
      <c r="B50" s="42" t="s">
        <v>33</v>
      </c>
      <c r="C50" s="43">
        <f>'8. Monthly revenue and trips'!C6*0.95</f>
        <v>4061.8131468699926</v>
      </c>
      <c r="D50" s="16"/>
      <c r="E50" s="16"/>
      <c r="F50" s="16"/>
      <c r="G50" s="16"/>
      <c r="H50" s="16"/>
      <c r="I50" s="16"/>
      <c r="J50" s="15"/>
      <c r="K50" s="15"/>
      <c r="L50" s="15"/>
      <c r="M50" s="15"/>
      <c r="N50" s="15"/>
      <c r="O50" s="15"/>
      <c r="P50" s="136" t="s">
        <v>18</v>
      </c>
      <c r="Q50" s="146">
        <f>MAX(Q38:Q47)</f>
        <v>2.6490827438854447E-2</v>
      </c>
    </row>
    <row r="51" spans="1:17">
      <c r="A51" s="13"/>
      <c r="B51" s="42" t="s">
        <v>21</v>
      </c>
      <c r="C51" s="45">
        <f>'8. Monthly revenue and trips'!C4</f>
        <v>28.489485170139162</v>
      </c>
      <c r="D51" s="16"/>
      <c r="E51" s="50"/>
      <c r="F51" s="68"/>
      <c r="G51" s="16"/>
      <c r="H51" s="16"/>
      <c r="I51" s="16"/>
      <c r="J51" s="15"/>
      <c r="K51" s="15"/>
      <c r="L51" s="15"/>
      <c r="M51" s="15"/>
      <c r="N51" s="15"/>
      <c r="O51" s="15"/>
      <c r="P51" s="15"/>
      <c r="Q51" s="15"/>
    </row>
    <row r="52" spans="1:17">
      <c r="A52" s="13"/>
      <c r="B52" s="42"/>
      <c r="C52" s="45"/>
      <c r="D52" s="16"/>
      <c r="E52" s="50"/>
      <c r="F52" s="68"/>
      <c r="G52" s="16"/>
      <c r="H52" s="16"/>
      <c r="I52" s="16"/>
      <c r="J52" s="15"/>
      <c r="K52" s="15"/>
      <c r="L52" s="15"/>
      <c r="M52" s="15"/>
      <c r="N52" s="15"/>
      <c r="O52" s="15"/>
      <c r="P52" s="15"/>
      <c r="Q52" s="15"/>
    </row>
    <row r="53" spans="1:17">
      <c r="A53" s="13"/>
      <c r="B53" s="42" t="s">
        <v>34</v>
      </c>
      <c r="C53" s="46">
        <f>'8. Monthly revenue and trips'!C19*'13. Sensitivity (mPOS)'!C50</f>
        <v>169.31942942339575</v>
      </c>
      <c r="D53" s="15"/>
      <c r="E53" s="15"/>
      <c r="F53" s="16"/>
      <c r="G53" s="15"/>
      <c r="H53" s="15"/>
      <c r="I53" s="15"/>
      <c r="J53" s="15"/>
      <c r="K53" s="15"/>
      <c r="L53" s="15"/>
      <c r="M53" s="15"/>
      <c r="N53" s="15"/>
      <c r="O53" s="15"/>
      <c r="P53" s="15"/>
      <c r="Q53" s="15"/>
    </row>
    <row r="54" spans="1:17">
      <c r="A54" s="13"/>
      <c r="B54" s="42" t="s">
        <v>197</v>
      </c>
      <c r="C54" s="46">
        <f>'8. Monthly revenue and trips'!C20*'13. Sensitivity (mPOS)'!C50</f>
        <v>3222.0276320161925</v>
      </c>
      <c r="D54" s="15"/>
      <c r="E54" s="15"/>
      <c r="F54" s="16"/>
      <c r="G54" s="16"/>
      <c r="H54" s="16"/>
      <c r="I54" s="16"/>
      <c r="J54" s="15"/>
      <c r="K54" s="15"/>
      <c r="L54" s="15"/>
      <c r="M54" s="15"/>
      <c r="N54" s="15"/>
      <c r="O54" s="15"/>
      <c r="P54" s="15"/>
      <c r="Q54" s="15"/>
    </row>
    <row r="55" spans="1:17">
      <c r="A55" s="13"/>
      <c r="B55" s="42" t="s">
        <v>39</v>
      </c>
      <c r="C55" s="46">
        <f>'8. Monthly revenue and trips'!C21*'13. Sensitivity (mPOS)'!C50</f>
        <v>614.59724802653375</v>
      </c>
      <c r="D55" s="15"/>
      <c r="E55" s="15"/>
      <c r="F55" s="16"/>
      <c r="G55" s="16"/>
      <c r="H55" s="16"/>
      <c r="I55" s="16"/>
      <c r="J55" s="15"/>
      <c r="K55" s="15"/>
      <c r="L55" s="15"/>
      <c r="M55" s="15"/>
      <c r="N55" s="15"/>
      <c r="O55" s="15"/>
      <c r="P55" s="15"/>
      <c r="Q55" s="15"/>
    </row>
    <row r="56" spans="1:17">
      <c r="A56" s="13"/>
      <c r="B56" s="42" t="s">
        <v>114</v>
      </c>
      <c r="C56" s="46">
        <f>'8. Monthly revenue and trips'!C22*'13. Sensitivity (mPOS)'!C50</f>
        <v>55.86883740387016</v>
      </c>
      <c r="D56" s="15"/>
      <c r="E56" s="15"/>
      <c r="F56" s="16"/>
      <c r="G56" s="16"/>
      <c r="H56" s="16"/>
      <c r="I56" s="16"/>
      <c r="J56" s="15"/>
      <c r="K56" s="15"/>
      <c r="L56" s="15"/>
      <c r="M56" s="15"/>
      <c r="N56" s="15"/>
      <c r="O56" s="15"/>
      <c r="P56" s="15"/>
      <c r="Q56" s="15"/>
    </row>
    <row r="57" spans="1:17">
      <c r="A57" s="13"/>
      <c r="B57" s="42"/>
      <c r="C57" s="46"/>
      <c r="D57" s="15"/>
      <c r="E57" s="15"/>
      <c r="F57" s="16"/>
      <c r="G57" s="16"/>
      <c r="H57" s="16"/>
      <c r="I57" s="16"/>
      <c r="J57" s="15"/>
      <c r="K57" s="15"/>
      <c r="L57" s="15"/>
      <c r="M57" s="15"/>
      <c r="N57" s="15"/>
      <c r="O57" s="15"/>
      <c r="P57" s="15"/>
      <c r="Q57" s="15"/>
    </row>
    <row r="58" spans="1:17">
      <c r="A58" s="13"/>
      <c r="B58" s="42" t="s">
        <v>38</v>
      </c>
      <c r="C58" s="51">
        <f>C53/$C$51</f>
        <v>5.9432253132066224</v>
      </c>
      <c r="D58" s="16"/>
      <c r="E58" s="16"/>
      <c r="F58" s="16"/>
      <c r="G58" s="16"/>
      <c r="H58" s="16"/>
      <c r="I58" s="16"/>
      <c r="J58" s="15"/>
      <c r="K58" s="15"/>
      <c r="L58" s="15"/>
      <c r="M58" s="15"/>
      <c r="N58" s="15"/>
      <c r="O58" s="15"/>
      <c r="P58" s="15"/>
      <c r="Q58" s="15"/>
    </row>
    <row r="59" spans="1:17">
      <c r="A59" s="13"/>
      <c r="B59" s="42" t="s">
        <v>198</v>
      </c>
      <c r="C59" s="51">
        <f t="shared" ref="C59:C60" si="11">C54/$C$51</f>
        <v>113.09532667137536</v>
      </c>
      <c r="D59" s="15"/>
      <c r="E59" s="15"/>
      <c r="F59" s="15"/>
      <c r="G59" s="15"/>
      <c r="H59" s="15"/>
      <c r="I59" s="15"/>
      <c r="J59" s="15"/>
      <c r="K59" s="15"/>
      <c r="L59" s="15"/>
      <c r="M59" s="15"/>
      <c r="N59" s="15"/>
      <c r="O59" s="15"/>
      <c r="P59" s="15"/>
      <c r="Q59" s="15"/>
    </row>
    <row r="60" spans="1:17">
      <c r="A60" s="13"/>
      <c r="B60" s="42" t="s">
        <v>41</v>
      </c>
      <c r="C60" s="51">
        <f t="shared" si="11"/>
        <v>21.572774809939876</v>
      </c>
      <c r="D60" s="15"/>
      <c r="E60" s="15"/>
      <c r="F60" s="16"/>
      <c r="G60" s="15"/>
      <c r="H60" s="15"/>
      <c r="I60" s="15"/>
      <c r="J60" s="15"/>
      <c r="K60" s="15"/>
      <c r="L60" s="15"/>
      <c r="M60" s="15"/>
      <c r="N60" s="15"/>
      <c r="O60" s="15"/>
      <c r="P60" s="15"/>
      <c r="Q60" s="15"/>
    </row>
    <row r="61" spans="1:17">
      <c r="A61" s="13"/>
      <c r="B61" s="44" t="s">
        <v>113</v>
      </c>
      <c r="C61" s="54">
        <f>C56/$C$51</f>
        <v>1.9610335908220717</v>
      </c>
      <c r="D61" s="15"/>
      <c r="E61" s="15"/>
      <c r="F61" s="16"/>
      <c r="G61" s="15"/>
      <c r="H61" s="15"/>
      <c r="I61" s="15"/>
      <c r="J61" s="15"/>
      <c r="K61" s="15"/>
      <c r="L61" s="15"/>
      <c r="M61" s="15"/>
      <c r="N61" s="15"/>
      <c r="O61" s="15"/>
      <c r="P61" s="15"/>
      <c r="Q61" s="15"/>
    </row>
    <row r="62" spans="1:17">
      <c r="A62" s="13"/>
      <c r="B62" s="13"/>
      <c r="C62" s="13"/>
      <c r="D62" s="14"/>
      <c r="E62" s="14"/>
      <c r="F62" s="14"/>
      <c r="G62" s="14"/>
      <c r="H62" s="14"/>
      <c r="I62" s="14"/>
      <c r="J62" s="13"/>
      <c r="K62" s="13"/>
      <c r="L62" s="13"/>
      <c r="M62" s="13"/>
      <c r="N62" s="13"/>
      <c r="O62" s="13"/>
      <c r="P62" s="13"/>
      <c r="Q62" s="13"/>
    </row>
    <row r="63" spans="1:17">
      <c r="A63" s="13"/>
      <c r="B63" s="13"/>
      <c r="C63" s="13"/>
      <c r="D63" s="14"/>
      <c r="E63" s="14"/>
      <c r="F63" s="14"/>
      <c r="G63" s="14"/>
      <c r="H63" s="14"/>
      <c r="I63" s="14"/>
      <c r="J63" s="13"/>
      <c r="K63" s="13"/>
      <c r="L63" s="13"/>
      <c r="M63" s="13"/>
      <c r="N63" s="13"/>
      <c r="O63" s="13"/>
      <c r="P63" s="13"/>
      <c r="Q63" s="13"/>
    </row>
    <row r="64" spans="1:17" ht="28.5" customHeight="1">
      <c r="A64" s="13"/>
      <c r="B64" s="375" t="s">
        <v>111</v>
      </c>
      <c r="C64" s="376"/>
      <c r="D64" s="376"/>
      <c r="E64" s="376"/>
      <c r="F64" s="376"/>
      <c r="G64" s="376"/>
      <c r="H64" s="376"/>
      <c r="I64" s="376"/>
      <c r="J64" s="376"/>
      <c r="K64" s="376"/>
      <c r="L64" s="376"/>
      <c r="M64" s="376"/>
      <c r="N64" s="376"/>
      <c r="O64" s="376"/>
      <c r="P64" s="376"/>
      <c r="Q64" s="377"/>
    </row>
    <row r="65" spans="1:17">
      <c r="A65" s="13"/>
      <c r="B65" s="13"/>
      <c r="C65" s="13"/>
      <c r="D65" s="14"/>
      <c r="E65" s="14"/>
      <c r="F65" s="14"/>
      <c r="G65" s="14"/>
      <c r="H65" s="14"/>
      <c r="I65" s="14"/>
      <c r="J65" s="13"/>
      <c r="K65" s="13"/>
      <c r="L65" s="13"/>
      <c r="M65" s="13"/>
      <c r="N65" s="13"/>
      <c r="O65" s="13"/>
      <c r="P65" s="13"/>
      <c r="Q65" s="13"/>
    </row>
    <row r="66" spans="1:17" ht="12" customHeight="1">
      <c r="A66" s="13"/>
      <c r="B66" s="17"/>
      <c r="C66" s="358" t="s">
        <v>10</v>
      </c>
      <c r="D66" s="359"/>
      <c r="E66" s="359"/>
      <c r="F66" s="359"/>
      <c r="G66" s="359"/>
      <c r="H66" s="359"/>
      <c r="I66" s="359"/>
      <c r="J66" s="359"/>
      <c r="K66" s="361" t="s">
        <v>101</v>
      </c>
      <c r="L66" s="362"/>
      <c r="M66" s="362"/>
      <c r="N66" s="362"/>
      <c r="O66" s="363"/>
      <c r="P66" s="18" t="s">
        <v>8</v>
      </c>
      <c r="Q66" s="351" t="s">
        <v>104</v>
      </c>
    </row>
    <row r="67" spans="1:17" ht="33.75">
      <c r="A67" s="13"/>
      <c r="B67" s="73" t="s">
        <v>25</v>
      </c>
      <c r="C67" s="20" t="s">
        <v>27</v>
      </c>
      <c r="D67" s="20" t="s">
        <v>20</v>
      </c>
      <c r="E67" s="20" t="s">
        <v>19</v>
      </c>
      <c r="F67" s="20" t="s">
        <v>94</v>
      </c>
      <c r="G67" s="72" t="s">
        <v>102</v>
      </c>
      <c r="H67" s="20" t="s">
        <v>95</v>
      </c>
      <c r="I67" s="20" t="s">
        <v>96</v>
      </c>
      <c r="J67" s="71" t="s">
        <v>14</v>
      </c>
      <c r="K67" s="20" t="s">
        <v>97</v>
      </c>
      <c r="L67" s="20" t="s">
        <v>16</v>
      </c>
      <c r="M67" s="61" t="s">
        <v>98</v>
      </c>
      <c r="N67" s="20" t="s">
        <v>99</v>
      </c>
      <c r="O67" s="75" t="s">
        <v>15</v>
      </c>
      <c r="P67" s="74" t="s">
        <v>100</v>
      </c>
      <c r="Q67" s="352"/>
    </row>
    <row r="68" spans="1:17">
      <c r="A68" s="13"/>
      <c r="B68" s="21" t="str">
        <f>'Terminal offers'!$A$57</f>
        <v>ANZ Fastpay</v>
      </c>
      <c r="C68" s="65">
        <f>'Terminal offers'!$B$57</f>
        <v>0</v>
      </c>
      <c r="D68" s="62">
        <f>'Terminal offers'!$C$57</f>
        <v>5</v>
      </c>
      <c r="E68" s="62">
        <f>'Terminal offers'!$D$57</f>
        <v>0</v>
      </c>
      <c r="F68" s="228">
        <f>'Terminal offers'!$E$57</f>
        <v>0.3</v>
      </c>
      <c r="G68" s="23">
        <f>'Terminal offers'!$F$57</f>
        <v>2.3E-2</v>
      </c>
      <c r="H68" s="109">
        <f>IF('Terminal offers'!$G$57&gt;0,'Terminal offers'!G118,'Terminal offers'!$G$68)</f>
        <v>2.3276000000000005E-2</v>
      </c>
      <c r="I68" s="109">
        <f>IF('Terminal offers'!$H$57&gt;0,'Terminal offers'!$H$57,'Terminal offers'!$H$68)</f>
        <v>2.9711000000000001E-2</v>
      </c>
      <c r="J68" s="63">
        <f>'Terminal offers'!$J$57</f>
        <v>0</v>
      </c>
      <c r="K68" s="223">
        <f t="shared" ref="K68:K77" si="12">C68/36</f>
        <v>0</v>
      </c>
      <c r="L68" s="62">
        <f t="shared" ref="L68:L77" si="13">D68+J68</f>
        <v>5</v>
      </c>
      <c r="M68" s="64">
        <f>(F68*C88)+MAX((G68*C84),'Terminal offers'!I57)</f>
        <v>87.872172045650373</v>
      </c>
      <c r="N68" s="65">
        <f>(H68*C85)+(I68*C86)</f>
        <v>18.486118979462304</v>
      </c>
      <c r="O68" s="28">
        <f>SUM(K68:N68)</f>
        <v>111.35829102511268</v>
      </c>
      <c r="P68" s="62">
        <f t="shared" ref="P68:P77" si="14">$C$80</f>
        <v>4703.1520647968337</v>
      </c>
      <c r="Q68" s="149">
        <f>(P68+O68)/P68-1</f>
        <v>2.3677374129284612E-2</v>
      </c>
    </row>
    <row r="69" spans="1:17">
      <c r="A69" s="13"/>
      <c r="B69" s="118" t="str">
        <f>'Terminal offers'!$A$59</f>
        <v>Commonwealth Bank Emmy</v>
      </c>
      <c r="C69" s="222">
        <f>'Terminal offers'!$B$59</f>
        <v>0</v>
      </c>
      <c r="D69" s="113">
        <f>'Terminal offers'!$C$59</f>
        <v>30</v>
      </c>
      <c r="E69" s="113">
        <f>'Terminal offers'!$D$59</f>
        <v>1500</v>
      </c>
      <c r="F69" s="371">
        <f>'Terminal offers'!$E$59</f>
        <v>1.4999999999999999E-2</v>
      </c>
      <c r="G69" s="372"/>
      <c r="H69" s="115">
        <f>IF('Terminal offers'!$G$59&gt;0,'Terminal offers'!$G$59,'Terminal offers'!$G$68)</f>
        <v>2.3276000000000005E-2</v>
      </c>
      <c r="I69" s="115">
        <f>IF('Terminal offers'!$H$59&gt;0,'Terminal offers'!$H$59,'Terminal offers'!$H$68)</f>
        <v>2.9711000000000001E-2</v>
      </c>
      <c r="J69" s="121">
        <f>'Terminal offers'!$J$59</f>
        <v>0</v>
      </c>
      <c r="K69" s="122">
        <f t="shared" si="12"/>
        <v>0</v>
      </c>
      <c r="L69" s="120">
        <f t="shared" si="13"/>
        <v>30</v>
      </c>
      <c r="M69" s="121">
        <f>IF((C83+C84)&lt;=E69,0,F69*((C83+C84)-E69))</f>
        <v>36.402343698687588</v>
      </c>
      <c r="N69" s="116">
        <f>(H69*C85)+(I69*C86)</f>
        <v>18.486118979462304</v>
      </c>
      <c r="O69" s="117">
        <f>SUM(K69:N69)</f>
        <v>84.888462678149892</v>
      </c>
      <c r="P69" s="113">
        <f t="shared" si="14"/>
        <v>4703.1520647968337</v>
      </c>
      <c r="Q69" s="150">
        <f>(P69+O69)/P69-1</f>
        <v>1.8049270257183725E-2</v>
      </c>
    </row>
    <row r="70" spans="1:17">
      <c r="A70" s="13"/>
      <c r="B70" s="31" t="str">
        <f>'Terminal offers'!$A$61</f>
        <v>NAB Now</v>
      </c>
      <c r="C70" s="62">
        <f>'Terminal offers'!$B$61</f>
        <v>135</v>
      </c>
      <c r="D70" s="62">
        <f>'Terminal offers'!$C$61</f>
        <v>10</v>
      </c>
      <c r="E70" s="62">
        <f>'Terminal offers'!$D$61</f>
        <v>0</v>
      </c>
      <c r="F70" s="229">
        <f>'Terminal offers'!$E$61</f>
        <v>0.3</v>
      </c>
      <c r="G70" s="23">
        <f>'Terminal offers'!$F$61</f>
        <v>1.7000000000000001E-2</v>
      </c>
      <c r="H70" s="24">
        <f>IF('Terminal offers'!$G$61&gt;0,'Terminal offers'!$G$61,'Terminal offers'!$G$68)</f>
        <v>2.3276000000000005E-2</v>
      </c>
      <c r="I70" s="24">
        <f>IF('Terminal offers'!$H$61&gt;0,'Terminal offers'!$H$61,'Terminal offers'!$H$68)</f>
        <v>2.9711000000000001E-2</v>
      </c>
      <c r="J70" s="25">
        <f>'Terminal offers'!$J$61</f>
        <v>0</v>
      </c>
      <c r="K70" s="65">
        <f t="shared" si="12"/>
        <v>3.75</v>
      </c>
      <c r="L70" s="26">
        <f t="shared" si="13"/>
        <v>10</v>
      </c>
      <c r="M70" s="66">
        <f>MAX((F70*C88)+(G70*C84),'Terminal offers'!I61)</f>
        <v>65.48755902322209</v>
      </c>
      <c r="N70" s="65">
        <f>(H70*C85)+(I70*C86)</f>
        <v>18.486118979462304</v>
      </c>
      <c r="O70" s="28">
        <f t="shared" ref="O70:O77" si="15">SUM(K70:N70)</f>
        <v>97.723678002684395</v>
      </c>
      <c r="P70" s="62">
        <f t="shared" si="14"/>
        <v>4703.1520647968337</v>
      </c>
      <c r="Q70" s="151">
        <f t="shared" ref="Q70:Q75" si="16">(P70+O70)/P70-1</f>
        <v>2.0778336880524773E-2</v>
      </c>
    </row>
    <row r="71" spans="1:17">
      <c r="A71" s="13"/>
      <c r="B71" s="118" t="str">
        <f>'Terminal offers'!$A$66</f>
        <v>Westpac Genie</v>
      </c>
      <c r="C71" s="122">
        <f>'Terminal offers'!$B$66</f>
        <v>100</v>
      </c>
      <c r="D71" s="113">
        <f>'Terminal offers'!$C$66</f>
        <v>0</v>
      </c>
      <c r="E71" s="113">
        <f>'Terminal offers'!$D$66</f>
        <v>0</v>
      </c>
      <c r="F71" s="371">
        <f>'Terminal offers'!$E$66</f>
        <v>1.95E-2</v>
      </c>
      <c r="G71" s="372"/>
      <c r="H71" s="115">
        <f>IF('Terminal offers'!$G$66&gt;0,'Terminal offers'!$G$66,'Terminal offers'!$G$68)</f>
        <v>2.3276000000000005E-2</v>
      </c>
      <c r="I71" s="115">
        <f>IF('Terminal offers'!$H$66&gt;0,'Terminal offers'!$H$66,'Terminal offers'!$H$68)</f>
        <v>2.9711000000000001E-2</v>
      </c>
      <c r="J71" s="119">
        <f>'Terminal offers'!$J$66</f>
        <v>0</v>
      </c>
      <c r="K71" s="122">
        <f t="shared" si="12"/>
        <v>2.7777777777777777</v>
      </c>
      <c r="L71" s="120">
        <f t="shared" si="13"/>
        <v>0</v>
      </c>
      <c r="M71" s="121">
        <f>F71*(C83+C84)</f>
        <v>76.573046808293867</v>
      </c>
      <c r="N71" s="116">
        <f>(H71*C85)+(I71*C86)</f>
        <v>18.486118979462304</v>
      </c>
      <c r="O71" s="117">
        <f t="shared" si="15"/>
        <v>97.836943565533943</v>
      </c>
      <c r="P71" s="113">
        <f t="shared" si="14"/>
        <v>4703.1520647968337</v>
      </c>
      <c r="Q71" s="150">
        <f t="shared" si="16"/>
        <v>2.0802419785200144E-2</v>
      </c>
    </row>
    <row r="72" spans="1:17">
      <c r="A72" s="13"/>
      <c r="B72" s="31" t="str">
        <f>'Terminal offers'!$A$58</f>
        <v>Bendigo Bank GoPOS Lite</v>
      </c>
      <c r="C72" s="224">
        <f>'Terminal offers'!$B$58</f>
        <v>0</v>
      </c>
      <c r="D72" s="62">
        <f>'Terminal offers'!$C$58</f>
        <v>13.200000000000001</v>
      </c>
      <c r="E72" s="62">
        <f>'Terminal offers'!$D$58</f>
        <v>0</v>
      </c>
      <c r="F72" s="226">
        <f>'Terminal offers'!$E$58</f>
        <v>0.27500000000000002</v>
      </c>
      <c r="G72" s="23">
        <f>'Terminal offers'!$F$58</f>
        <v>2.0900000000000002E-2</v>
      </c>
      <c r="H72" s="24">
        <f>IF('Terminal offers'!$G$58&gt;0,'Terminal offers'!$G$58,'Terminal offers'!$G$68)</f>
        <v>2.3276000000000005E-2</v>
      </c>
      <c r="I72" s="24">
        <f>IF('Terminal offers'!$H$58&gt;0,'Terminal offers'!$H$58,'Terminal offers'!$H$68)</f>
        <v>2.9711000000000001E-2</v>
      </c>
      <c r="J72" s="32">
        <f>'Terminal offers'!$J$58</f>
        <v>0</v>
      </c>
      <c r="K72" s="65">
        <f t="shared" si="12"/>
        <v>0</v>
      </c>
      <c r="L72" s="26">
        <f t="shared" si="13"/>
        <v>13.200000000000001</v>
      </c>
      <c r="M72" s="25">
        <f>(C88*F72)+(G72*C84)</f>
        <v>79.865516755049768</v>
      </c>
      <c r="N72" s="65">
        <f>(H72*C85)+(I72*C86)</f>
        <v>18.486118979462304</v>
      </c>
      <c r="O72" s="28">
        <f t="shared" si="15"/>
        <v>111.55163573451208</v>
      </c>
      <c r="P72" s="62">
        <f t="shared" si="14"/>
        <v>4703.1520647968337</v>
      </c>
      <c r="Q72" s="151">
        <f t="shared" si="16"/>
        <v>2.3718483731257178E-2</v>
      </c>
    </row>
    <row r="73" spans="1:17">
      <c r="A73" s="13"/>
      <c r="B73" s="118" t="str">
        <f>'Terminal offers'!$A$65</f>
        <v>St George Mobile PayWay</v>
      </c>
      <c r="C73" s="122">
        <f>'Terminal offers'!$B$65</f>
        <v>100</v>
      </c>
      <c r="D73" s="113">
        <f>'Terminal offers'!$C$65</f>
        <v>0</v>
      </c>
      <c r="E73" s="113">
        <f>'Terminal offers'!$D$65</f>
        <v>0</v>
      </c>
      <c r="F73" s="230">
        <f>'Terminal offers'!$E$65</f>
        <v>0.3</v>
      </c>
      <c r="G73" s="114">
        <f>'Terminal offers'!$F$65</f>
        <v>2.4E-2</v>
      </c>
      <c r="H73" s="115">
        <f>IF('Terminal offers'!$G$65&gt;0,'Terminal offers'!$G$65,'Terminal offers'!$G$68)</f>
        <v>2.3276000000000005E-2</v>
      </c>
      <c r="I73" s="115">
        <f>IF('Terminal offers'!$H$65&gt;0,'Terminal offers'!$H$65,'Terminal offers'!$H$68)</f>
        <v>2.9711000000000001E-2</v>
      </c>
      <c r="J73" s="119">
        <f>'Terminal offers'!$J$65</f>
        <v>0</v>
      </c>
      <c r="K73" s="122">
        <f t="shared" si="12"/>
        <v>2.7777777777777777</v>
      </c>
      <c r="L73" s="120">
        <f t="shared" si="13"/>
        <v>0</v>
      </c>
      <c r="M73" s="121">
        <f>(F73*C88)+(G73*C84)</f>
        <v>91.602940882721768</v>
      </c>
      <c r="N73" s="116">
        <f>(H73*C85)+(I73*C86)</f>
        <v>18.486118979462304</v>
      </c>
      <c r="O73" s="117">
        <f t="shared" si="15"/>
        <v>112.86683763996184</v>
      </c>
      <c r="P73" s="113">
        <f t="shared" si="14"/>
        <v>4703.1520647968337</v>
      </c>
      <c r="Q73" s="150">
        <f t="shared" si="16"/>
        <v>2.3998126380980089E-2</v>
      </c>
    </row>
    <row r="74" spans="1:17">
      <c r="A74" s="13"/>
      <c r="B74" s="31" t="str">
        <f>'Terminal offers'!$A$60</f>
        <v>Mint mPOS</v>
      </c>
      <c r="C74" s="27">
        <f>'Terminal offers'!$B$60</f>
        <v>0</v>
      </c>
      <c r="D74" s="27">
        <f>IF(C80&gt;2000,0,10)</f>
        <v>0</v>
      </c>
      <c r="E74" s="62">
        <f>'Terminal offers'!$D$60</f>
        <v>0</v>
      </c>
      <c r="F74" s="226">
        <f>'Terminal offers'!$E$60</f>
        <v>0.25</v>
      </c>
      <c r="G74" s="23">
        <f>'Terminal offers'!$F$60</f>
        <v>1.6899999999999998E-2</v>
      </c>
      <c r="H74" s="24">
        <f>IF('Terminal offers'!$G$60&gt;0,'Terminal offers'!$G$60,'Terminal offers'!$G$68)</f>
        <v>2.3276000000000005E-2</v>
      </c>
      <c r="I74" s="24">
        <f>IF('Terminal offers'!$H$60&gt;0,'Terminal offers'!$H$60,'Terminal offers'!$H$68)</f>
        <v>2.9711000000000001E-2</v>
      </c>
      <c r="J74" s="25">
        <f>'Terminal offers'!$J$60</f>
        <v>0</v>
      </c>
      <c r="K74" s="65">
        <f t="shared" si="12"/>
        <v>0</v>
      </c>
      <c r="L74" s="26">
        <f t="shared" si="13"/>
        <v>0</v>
      </c>
      <c r="M74" s="32">
        <f>(F74*C88)+(G74*C84)</f>
        <v>64.770400674013516</v>
      </c>
      <c r="N74" s="65">
        <f>(H74*C85)+(I74*C86)</f>
        <v>18.486118979462304</v>
      </c>
      <c r="O74" s="28">
        <f t="shared" si="15"/>
        <v>83.25651965347582</v>
      </c>
      <c r="P74" s="62">
        <f t="shared" si="14"/>
        <v>4703.1520647968337</v>
      </c>
      <c r="Q74" s="151">
        <f t="shared" si="16"/>
        <v>1.7702281046078072E-2</v>
      </c>
    </row>
    <row r="75" spans="1:17">
      <c r="A75" s="13"/>
      <c r="B75" s="118" t="str">
        <f>'Terminal offers'!$A$62</f>
        <v>PayPal Here</v>
      </c>
      <c r="C75" s="122">
        <f>'Terminal offers'!$B$62</f>
        <v>99</v>
      </c>
      <c r="D75" s="122">
        <f>'Terminal offers'!$C$62</f>
        <v>0</v>
      </c>
      <c r="E75" s="113">
        <f>'Terminal offers'!$D$62</f>
        <v>0</v>
      </c>
      <c r="F75" s="371">
        <f>'Terminal offers'!$E$62</f>
        <v>1.95E-2</v>
      </c>
      <c r="G75" s="372"/>
      <c r="H75" s="115">
        <f>IF('Terminal offers'!$G$62&gt;0,'Terminal offers'!$G$62,'Terminal offers'!$G$68)</f>
        <v>1.95E-2</v>
      </c>
      <c r="I75" s="115">
        <f>IF('Terminal offers'!$H$62&gt;0,'Terminal offers'!$H$62,'Terminal offers'!$H$68)</f>
        <v>2.9711000000000001E-2</v>
      </c>
      <c r="J75" s="119">
        <f>'Terminal offers'!$J$62</f>
        <v>0</v>
      </c>
      <c r="K75" s="122">
        <f t="shared" si="12"/>
        <v>2.75</v>
      </c>
      <c r="L75" s="120">
        <f t="shared" si="13"/>
        <v>0</v>
      </c>
      <c r="M75" s="121">
        <f>F75*(C83+C84)</f>
        <v>76.573046808293867</v>
      </c>
      <c r="N75" s="116">
        <f>(H75*C85)+(I75*C86)</f>
        <v>15.798970422195973</v>
      </c>
      <c r="O75" s="117">
        <f t="shared" si="15"/>
        <v>95.122017230489845</v>
      </c>
      <c r="P75" s="113">
        <f t="shared" si="14"/>
        <v>4703.1520647968337</v>
      </c>
      <c r="Q75" s="150">
        <f t="shared" si="16"/>
        <v>2.0225163022578041E-2</v>
      </c>
    </row>
    <row r="76" spans="1:17">
      <c r="A76" s="13"/>
      <c r="B76" s="31" t="str">
        <f>'Terminal offers'!$A$64</f>
        <v>Square</v>
      </c>
      <c r="C76" s="27">
        <f>'Terminal offers'!$B$64</f>
        <v>59</v>
      </c>
      <c r="D76" s="62">
        <f>'Terminal offers'!$C$64</f>
        <v>0</v>
      </c>
      <c r="E76" s="62">
        <f>'Terminal offers'!$D$64</f>
        <v>0</v>
      </c>
      <c r="F76" s="353">
        <f>'Terminal offers'!$E$64</f>
        <v>1.9E-2</v>
      </c>
      <c r="G76" s="354"/>
      <c r="H76" s="24">
        <f>IF('Terminal offers'!$G$64&gt;0,'Terminal offers'!$G$64,'Terminal offers'!$G$68)</f>
        <v>1.9E-2</v>
      </c>
      <c r="I76" s="24">
        <f>IF('Terminal offers'!$H$64&gt;0,'Terminal offers'!$H$64,'Terminal offers'!$H$68)</f>
        <v>2.9711000000000001E-2</v>
      </c>
      <c r="J76" s="25">
        <f>'Terminal offers'!$J$64</f>
        <v>0</v>
      </c>
      <c r="K76" s="65">
        <f t="shared" si="12"/>
        <v>1.6388888888888888</v>
      </c>
      <c r="L76" s="26">
        <f t="shared" si="13"/>
        <v>0</v>
      </c>
      <c r="M76" s="25">
        <f>F76*(C83+C84)</f>
        <v>74.609635351670946</v>
      </c>
      <c r="N76" s="65">
        <f>(H76*C85)+(I76*C86)</f>
        <v>15.44315096281219</v>
      </c>
      <c r="O76" s="28">
        <f t="shared" si="15"/>
        <v>91.691675203372029</v>
      </c>
      <c r="P76" s="62">
        <f t="shared" si="14"/>
        <v>4703.1520647968337</v>
      </c>
      <c r="Q76" s="151">
        <f>(P76+O76)/P76-1</f>
        <v>1.9495792170890258E-2</v>
      </c>
    </row>
    <row r="77" spans="1:17">
      <c r="A77" s="13"/>
      <c r="B77" s="137" t="str">
        <f>'Terminal offers'!$A$63</f>
        <v>Quest PocketPay</v>
      </c>
      <c r="C77" s="131">
        <f>'Terminal offers'!$B$63</f>
        <v>0</v>
      </c>
      <c r="D77" s="131">
        <f>'Terminal offers'!$C$63</f>
        <v>25.3</v>
      </c>
      <c r="E77" s="140">
        <f>'Terminal offers'!$D$63</f>
        <v>0</v>
      </c>
      <c r="F77" s="231">
        <f>'Terminal offers'!$E$63</f>
        <v>0.30800000000000005</v>
      </c>
      <c r="G77" s="232">
        <f>'Terminal offers'!$F$63</f>
        <v>2.0020000000000003E-2</v>
      </c>
      <c r="H77" s="128">
        <f>IF('Terminal offers'!$G$63&gt;0,'Terminal offers'!$G$63,'Terminal offers'!$G$68)</f>
        <v>2.3276000000000005E-2</v>
      </c>
      <c r="I77" s="128">
        <f>IF('Terminal offers'!$H$63&gt;0,'Terminal offers'!$H$63,'Terminal offers'!$H$68)</f>
        <v>2.9711000000000001E-2</v>
      </c>
      <c r="J77" s="129">
        <f>'Terminal offers'!$J$63</f>
        <v>0</v>
      </c>
      <c r="K77" s="131">
        <f t="shared" si="12"/>
        <v>0</v>
      </c>
      <c r="L77" s="130">
        <f t="shared" si="13"/>
        <v>25.3</v>
      </c>
      <c r="M77" s="138">
        <f>((F77*C88)+(G77*C84))</f>
        <v>76.809533945657904</v>
      </c>
      <c r="N77" s="139">
        <f>(H77*C85)+(I77*C86)</f>
        <v>18.486118979462304</v>
      </c>
      <c r="O77" s="132">
        <f t="shared" si="15"/>
        <v>120.59565292512021</v>
      </c>
      <c r="P77" s="140">
        <f t="shared" si="14"/>
        <v>4703.1520647968337</v>
      </c>
      <c r="Q77" s="152">
        <f>(P77+O77)/P77-1</f>
        <v>2.5641453064590536E-2</v>
      </c>
    </row>
    <row r="78" spans="1:17">
      <c r="A78" s="13"/>
      <c r="B78" s="67"/>
      <c r="C78" s="15"/>
      <c r="D78" s="16"/>
      <c r="E78" s="16"/>
      <c r="F78" s="16"/>
      <c r="G78" s="16"/>
      <c r="H78" s="16"/>
      <c r="I78" s="16"/>
      <c r="J78" s="15"/>
      <c r="K78" s="15"/>
      <c r="L78" s="15"/>
      <c r="M78" s="15"/>
      <c r="N78" s="15"/>
      <c r="O78" s="15"/>
      <c r="P78" s="134" t="s">
        <v>13</v>
      </c>
      <c r="Q78" s="144">
        <f>AVERAGE(Q68:Q77)</f>
        <v>2.1408870046856744E-2</v>
      </c>
    </row>
    <row r="79" spans="1:17">
      <c r="A79" s="13"/>
      <c r="B79" s="40" t="s">
        <v>108</v>
      </c>
      <c r="C79" s="41"/>
      <c r="D79" s="16"/>
      <c r="E79" s="16"/>
      <c r="F79" s="16"/>
      <c r="G79" s="16"/>
      <c r="H79" s="16"/>
      <c r="I79" s="16"/>
      <c r="J79" s="15"/>
      <c r="K79" s="15"/>
      <c r="L79" s="15"/>
      <c r="M79" s="15"/>
      <c r="N79" s="15"/>
      <c r="O79" s="15"/>
      <c r="P79" s="135" t="s">
        <v>17</v>
      </c>
      <c r="Q79" s="145">
        <f>MIN(Q68:Q77)</f>
        <v>1.7702281046078072E-2</v>
      </c>
    </row>
    <row r="80" spans="1:17">
      <c r="A80" s="13"/>
      <c r="B80" s="42" t="s">
        <v>33</v>
      </c>
      <c r="C80" s="43">
        <f>'8. Monthly revenue and trips'!C6*1.1</f>
        <v>4703.1520647968337</v>
      </c>
      <c r="D80" s="16"/>
      <c r="E80" s="16"/>
      <c r="F80" s="16"/>
      <c r="G80" s="16"/>
      <c r="H80" s="16"/>
      <c r="I80" s="16"/>
      <c r="J80" s="15"/>
      <c r="K80" s="15"/>
      <c r="L80" s="15"/>
      <c r="M80" s="15"/>
      <c r="N80" s="15"/>
      <c r="O80" s="15"/>
      <c r="P80" s="136" t="s">
        <v>18</v>
      </c>
      <c r="Q80" s="146">
        <f>MAX(Q68:Q77)</f>
        <v>2.5641453064590536E-2</v>
      </c>
    </row>
    <row r="81" spans="1:17">
      <c r="A81" s="13"/>
      <c r="B81" s="42" t="s">
        <v>21</v>
      </c>
      <c r="C81" s="45">
        <f>'8. Monthly revenue and trips'!C4</f>
        <v>28.489485170139162</v>
      </c>
      <c r="D81" s="16"/>
      <c r="E81" s="50"/>
      <c r="F81" s="68"/>
      <c r="G81" s="16"/>
      <c r="H81" s="16"/>
      <c r="I81" s="16"/>
      <c r="J81" s="15"/>
      <c r="K81" s="15"/>
      <c r="L81" s="15"/>
      <c r="M81" s="15"/>
      <c r="N81" s="15"/>
      <c r="O81" s="15"/>
      <c r="P81" s="15"/>
      <c r="Q81" s="15"/>
    </row>
    <row r="82" spans="1:17">
      <c r="A82" s="13"/>
      <c r="B82" s="42"/>
      <c r="C82" s="45"/>
      <c r="D82" s="16"/>
      <c r="E82" s="50"/>
      <c r="F82" s="68"/>
      <c r="G82" s="16"/>
      <c r="H82" s="16"/>
      <c r="I82" s="16"/>
      <c r="J82" s="15"/>
      <c r="K82" s="15"/>
      <c r="L82" s="15"/>
      <c r="M82" s="15"/>
      <c r="N82" s="15"/>
      <c r="O82" s="15"/>
      <c r="P82" s="15"/>
      <c r="Q82" s="15"/>
    </row>
    <row r="83" spans="1:17">
      <c r="A83" s="13"/>
      <c r="B83" s="42" t="s">
        <v>34</v>
      </c>
      <c r="C83" s="46">
        <f>'8. Monthly revenue and trips'!C19*'13. Sensitivity (mPOS)'!C80</f>
        <v>196.05407617445823</v>
      </c>
      <c r="D83" s="15"/>
      <c r="E83" s="15"/>
      <c r="F83" s="16"/>
      <c r="G83" s="15"/>
      <c r="H83" s="15"/>
      <c r="I83" s="15"/>
      <c r="J83" s="15"/>
      <c r="K83" s="15"/>
      <c r="L83" s="15"/>
      <c r="M83" s="15"/>
      <c r="N83" s="15"/>
      <c r="O83" s="15"/>
      <c r="P83" s="15"/>
      <c r="Q83" s="15"/>
    </row>
    <row r="84" spans="1:17">
      <c r="A84" s="13"/>
      <c r="B84" s="42" t="s">
        <v>197</v>
      </c>
      <c r="C84" s="46">
        <f>'8. Monthly revenue and trips'!C20*'13. Sensitivity (mPOS)'!C80</f>
        <v>3730.7688370713809</v>
      </c>
      <c r="D84" s="15"/>
      <c r="E84" s="15"/>
      <c r="F84" s="16"/>
      <c r="G84" s="16"/>
      <c r="H84" s="16"/>
      <c r="I84" s="16"/>
      <c r="J84" s="15"/>
      <c r="K84" s="15"/>
      <c r="L84" s="15"/>
      <c r="M84" s="15"/>
      <c r="N84" s="15"/>
      <c r="O84" s="15"/>
      <c r="P84" s="15"/>
      <c r="Q84" s="15"/>
    </row>
    <row r="85" spans="1:17">
      <c r="A85" s="13"/>
      <c r="B85" s="42" t="s">
        <v>39</v>
      </c>
      <c r="C85" s="46">
        <f>'8. Monthly revenue and trips'!C21*'13. Sensitivity (mPOS)'!C80</f>
        <v>711.63891876756543</v>
      </c>
      <c r="D85" s="15"/>
      <c r="E85" s="15"/>
      <c r="F85" s="16"/>
      <c r="G85" s="16"/>
      <c r="H85" s="16"/>
      <c r="I85" s="16"/>
      <c r="J85" s="15"/>
      <c r="K85" s="15"/>
      <c r="L85" s="15"/>
      <c r="M85" s="15"/>
      <c r="N85" s="15"/>
      <c r="O85" s="15"/>
      <c r="P85" s="15"/>
      <c r="Q85" s="15"/>
    </row>
    <row r="86" spans="1:17">
      <c r="A86" s="13"/>
      <c r="B86" s="42" t="s">
        <v>114</v>
      </c>
      <c r="C86" s="46">
        <f>'8. Monthly revenue and trips'!C22*'13. Sensitivity (mPOS)'!C80</f>
        <v>64.690232783428613</v>
      </c>
      <c r="D86" s="15"/>
      <c r="E86" s="15"/>
      <c r="F86" s="16"/>
      <c r="G86" s="16"/>
      <c r="H86" s="16"/>
      <c r="I86" s="16"/>
      <c r="J86" s="15"/>
      <c r="K86" s="15"/>
      <c r="L86" s="15"/>
      <c r="M86" s="15"/>
      <c r="N86" s="15"/>
      <c r="O86" s="15"/>
      <c r="P86" s="15"/>
      <c r="Q86" s="15"/>
    </row>
    <row r="87" spans="1:17">
      <c r="A87" s="13"/>
      <c r="B87" s="42"/>
      <c r="C87" s="46"/>
      <c r="D87" s="15"/>
      <c r="E87" s="15"/>
      <c r="F87" s="16"/>
      <c r="G87" s="16"/>
      <c r="H87" s="16"/>
      <c r="I87" s="16"/>
      <c r="J87" s="15"/>
      <c r="K87" s="15"/>
      <c r="L87" s="15"/>
      <c r="M87" s="15"/>
      <c r="N87" s="15"/>
      <c r="O87" s="15"/>
      <c r="P87" s="15"/>
      <c r="Q87" s="15"/>
    </row>
    <row r="88" spans="1:17">
      <c r="A88" s="13"/>
      <c r="B88" s="42" t="s">
        <v>38</v>
      </c>
      <c r="C88" s="51">
        <f>C83/$C$81</f>
        <v>6.8816293100287211</v>
      </c>
      <c r="D88" s="16"/>
      <c r="E88" s="16"/>
      <c r="F88" s="16"/>
      <c r="G88" s="16"/>
      <c r="H88" s="16"/>
      <c r="I88" s="16"/>
      <c r="J88" s="15"/>
      <c r="K88" s="15"/>
      <c r="L88" s="15"/>
      <c r="M88" s="15"/>
      <c r="N88" s="15"/>
      <c r="O88" s="15"/>
      <c r="P88" s="15"/>
      <c r="Q88" s="15"/>
    </row>
    <row r="89" spans="1:17">
      <c r="A89" s="13"/>
      <c r="B89" s="42" t="s">
        <v>198</v>
      </c>
      <c r="C89" s="51">
        <f t="shared" ref="C89:C90" si="17">C84/$C$81</f>
        <v>130.9524835142241</v>
      </c>
      <c r="D89" s="15"/>
      <c r="E89" s="15"/>
      <c r="F89" s="15"/>
      <c r="G89" s="15"/>
      <c r="H89" s="15"/>
      <c r="I89" s="15"/>
      <c r="J89" s="15"/>
      <c r="K89" s="15"/>
      <c r="L89" s="15"/>
      <c r="M89" s="15"/>
      <c r="N89" s="15"/>
      <c r="O89" s="15"/>
      <c r="P89" s="15"/>
      <c r="Q89" s="15"/>
    </row>
    <row r="90" spans="1:17">
      <c r="A90" s="13"/>
      <c r="B90" s="42" t="s">
        <v>41</v>
      </c>
      <c r="C90" s="51">
        <f t="shared" si="17"/>
        <v>24.979002411509331</v>
      </c>
      <c r="D90" s="15"/>
      <c r="E90" s="15"/>
      <c r="F90" s="16"/>
      <c r="G90" s="15"/>
      <c r="H90" s="15"/>
      <c r="I90" s="15"/>
      <c r="J90" s="15"/>
      <c r="K90" s="15"/>
      <c r="L90" s="15"/>
      <c r="M90" s="15"/>
      <c r="N90" s="15"/>
      <c r="O90" s="15"/>
      <c r="P90" s="15"/>
      <c r="Q90" s="15"/>
    </row>
    <row r="91" spans="1:17">
      <c r="A91" s="13"/>
      <c r="B91" s="44" t="s">
        <v>113</v>
      </c>
      <c r="C91" s="54">
        <f>C86/$C$81</f>
        <v>2.2706704735834515</v>
      </c>
      <c r="D91" s="15"/>
      <c r="E91" s="15"/>
      <c r="F91" s="16"/>
      <c r="G91" s="15"/>
      <c r="H91" s="15"/>
      <c r="I91" s="15"/>
      <c r="J91" s="15"/>
      <c r="K91" s="15"/>
      <c r="L91" s="15"/>
      <c r="M91" s="15"/>
      <c r="N91" s="15"/>
      <c r="O91" s="15"/>
      <c r="P91" s="15"/>
      <c r="Q91" s="15"/>
    </row>
    <row r="92" spans="1:17">
      <c r="A92" s="13"/>
      <c r="B92" s="13"/>
      <c r="C92" s="13"/>
      <c r="D92" s="14"/>
      <c r="E92" s="14"/>
      <c r="F92" s="14"/>
      <c r="G92" s="14"/>
      <c r="H92" s="14"/>
      <c r="I92" s="14"/>
      <c r="J92" s="13"/>
      <c r="K92" s="13"/>
      <c r="L92" s="13"/>
      <c r="M92" s="13"/>
      <c r="N92" s="13"/>
      <c r="O92" s="13"/>
      <c r="P92" s="13"/>
      <c r="Q92" s="13"/>
    </row>
    <row r="93" spans="1:17">
      <c r="A93" s="13"/>
      <c r="B93" s="13"/>
      <c r="C93" s="13"/>
      <c r="D93" s="14"/>
      <c r="E93" s="14"/>
      <c r="F93" s="14"/>
      <c r="G93" s="14"/>
      <c r="H93" s="14"/>
      <c r="I93" s="14"/>
      <c r="J93" s="13"/>
      <c r="K93" s="13"/>
      <c r="L93" s="13"/>
      <c r="M93" s="13"/>
      <c r="N93" s="13"/>
      <c r="O93" s="13"/>
      <c r="P93" s="13"/>
      <c r="Q93" s="13"/>
    </row>
    <row r="94" spans="1:17" ht="28.5" customHeight="1">
      <c r="A94" s="13"/>
      <c r="B94" s="375" t="s">
        <v>112</v>
      </c>
      <c r="C94" s="376"/>
      <c r="D94" s="376"/>
      <c r="E94" s="376"/>
      <c r="F94" s="376"/>
      <c r="G94" s="376"/>
      <c r="H94" s="376"/>
      <c r="I94" s="376"/>
      <c r="J94" s="376"/>
      <c r="K94" s="376"/>
      <c r="L94" s="376"/>
      <c r="M94" s="376"/>
      <c r="N94" s="376"/>
      <c r="O94" s="376"/>
      <c r="P94" s="376"/>
      <c r="Q94" s="377"/>
    </row>
    <row r="95" spans="1:17">
      <c r="A95" s="13"/>
      <c r="B95" s="13"/>
      <c r="C95" s="13"/>
      <c r="D95" s="14"/>
      <c r="E95" s="14"/>
      <c r="F95" s="14"/>
      <c r="G95" s="14"/>
      <c r="H95" s="14"/>
      <c r="I95" s="14"/>
      <c r="J95" s="13"/>
      <c r="K95" s="13"/>
      <c r="L95" s="13"/>
      <c r="M95" s="13"/>
      <c r="N95" s="13"/>
      <c r="O95" s="13"/>
      <c r="P95" s="13"/>
      <c r="Q95" s="13"/>
    </row>
    <row r="96" spans="1:17" ht="12" customHeight="1">
      <c r="A96" s="13"/>
      <c r="B96" s="17"/>
      <c r="C96" s="358" t="s">
        <v>10</v>
      </c>
      <c r="D96" s="359"/>
      <c r="E96" s="359"/>
      <c r="F96" s="359"/>
      <c r="G96" s="359"/>
      <c r="H96" s="359"/>
      <c r="I96" s="359"/>
      <c r="J96" s="359"/>
      <c r="K96" s="361" t="s">
        <v>101</v>
      </c>
      <c r="L96" s="362"/>
      <c r="M96" s="362"/>
      <c r="N96" s="362"/>
      <c r="O96" s="363"/>
      <c r="P96" s="18" t="s">
        <v>8</v>
      </c>
      <c r="Q96" s="351" t="s">
        <v>104</v>
      </c>
    </row>
    <row r="97" spans="1:17" ht="33.75">
      <c r="A97" s="13"/>
      <c r="B97" s="73" t="s">
        <v>25</v>
      </c>
      <c r="C97" s="20" t="s">
        <v>27</v>
      </c>
      <c r="D97" s="20" t="s">
        <v>20</v>
      </c>
      <c r="E97" s="20" t="s">
        <v>19</v>
      </c>
      <c r="F97" s="20" t="s">
        <v>94</v>
      </c>
      <c r="G97" s="72" t="s">
        <v>102</v>
      </c>
      <c r="H97" s="20" t="s">
        <v>95</v>
      </c>
      <c r="I97" s="20" t="s">
        <v>96</v>
      </c>
      <c r="J97" s="71" t="s">
        <v>14</v>
      </c>
      <c r="K97" s="20" t="s">
        <v>97</v>
      </c>
      <c r="L97" s="20" t="s">
        <v>16</v>
      </c>
      <c r="M97" s="61" t="s">
        <v>98</v>
      </c>
      <c r="N97" s="20" t="s">
        <v>99</v>
      </c>
      <c r="O97" s="75" t="s">
        <v>15</v>
      </c>
      <c r="P97" s="74" t="s">
        <v>100</v>
      </c>
      <c r="Q97" s="352"/>
    </row>
    <row r="98" spans="1:17">
      <c r="A98" s="13"/>
      <c r="B98" s="21" t="str">
        <f>'Terminal offers'!$A$57</f>
        <v>ANZ Fastpay</v>
      </c>
      <c r="C98" s="65">
        <f>'Terminal offers'!$B$57</f>
        <v>0</v>
      </c>
      <c r="D98" s="62">
        <f>'Terminal offers'!$C$57</f>
        <v>5</v>
      </c>
      <c r="E98" s="62">
        <f>'Terminal offers'!$D$57</f>
        <v>0</v>
      </c>
      <c r="F98" s="228">
        <f>'Terminal offers'!$E$57</f>
        <v>0.3</v>
      </c>
      <c r="G98" s="23">
        <f>'Terminal offers'!$F$57</f>
        <v>2.3E-2</v>
      </c>
      <c r="H98" s="109">
        <f>IF('Terminal offers'!$G$57&gt;0,'Terminal offers'!G148,'Terminal offers'!$G$68)</f>
        <v>2.3276000000000005E-2</v>
      </c>
      <c r="I98" s="109">
        <f>IF('Terminal offers'!$H$57&gt;0,'Terminal offers'!$H$57,'Terminal offers'!$H$68)</f>
        <v>2.9711000000000001E-2</v>
      </c>
      <c r="J98" s="63">
        <f>'Terminal offers'!$J$57</f>
        <v>0</v>
      </c>
      <c r="K98" s="223">
        <f t="shared" ref="K98:K107" si="18">C98/36</f>
        <v>0</v>
      </c>
      <c r="L98" s="62">
        <f t="shared" ref="L98:L107" si="19">D98+J98</f>
        <v>5</v>
      </c>
      <c r="M98" s="64">
        <f>(F98*C118)+MAX((G98*C114),'Terminal offers'!I57)</f>
        <v>71.895413491895752</v>
      </c>
      <c r="N98" s="65">
        <f>(H98*C115)+(I98*C116)</f>
        <v>15.125006437741884</v>
      </c>
      <c r="O98" s="28">
        <f>SUM(K98:N98)</f>
        <v>92.02041992963764</v>
      </c>
      <c r="P98" s="62">
        <f t="shared" ref="P98:P107" si="20">$C$110</f>
        <v>3848.0335075610456</v>
      </c>
      <c r="Q98" s="149">
        <f>(P98+O98)/P98-1</f>
        <v>2.3913622308336269E-2</v>
      </c>
    </row>
    <row r="99" spans="1:17">
      <c r="A99" s="13"/>
      <c r="B99" s="118" t="str">
        <f>'Terminal offers'!$A$59</f>
        <v>Commonwealth Bank Emmy</v>
      </c>
      <c r="C99" s="222">
        <f>'Terminal offers'!$B$59</f>
        <v>0</v>
      </c>
      <c r="D99" s="113">
        <f>'Terminal offers'!$C$59</f>
        <v>30</v>
      </c>
      <c r="E99" s="113">
        <f>'Terminal offers'!$D$59</f>
        <v>1500</v>
      </c>
      <c r="F99" s="371">
        <f>'Terminal offers'!$E$59</f>
        <v>1.4999999999999999E-2</v>
      </c>
      <c r="G99" s="372"/>
      <c r="H99" s="115">
        <f>IF('Terminal offers'!$G$59&gt;0,'Terminal offers'!$G$59,'Terminal offers'!$G$68)</f>
        <v>2.3276000000000005E-2</v>
      </c>
      <c r="I99" s="115">
        <f>IF('Terminal offers'!$H$59&gt;0,'Terminal offers'!$H$59,'Terminal offers'!$H$68)</f>
        <v>2.9711000000000001E-2</v>
      </c>
      <c r="J99" s="121">
        <f>'Terminal offers'!$J$59</f>
        <v>0</v>
      </c>
      <c r="K99" s="122">
        <f t="shared" si="18"/>
        <v>0</v>
      </c>
      <c r="L99" s="120">
        <f t="shared" si="19"/>
        <v>30</v>
      </c>
      <c r="M99" s="121">
        <f>IF((C113+C114)&lt;=E99,0,F99*((C113+C114)-E99))</f>
        <v>25.692826662562567</v>
      </c>
      <c r="N99" s="116">
        <f>(H99*C115)+(I99*C116)</f>
        <v>15.125006437741884</v>
      </c>
      <c r="O99" s="117">
        <f>SUM(K99:N99)</f>
        <v>70.817833100304455</v>
      </c>
      <c r="P99" s="113">
        <f t="shared" si="20"/>
        <v>3848.0335075610456</v>
      </c>
      <c r="Q99" s="150">
        <f>(P99+O99)/P99-1</f>
        <v>1.840364252576121E-2</v>
      </c>
    </row>
    <row r="100" spans="1:17">
      <c r="A100" s="13"/>
      <c r="B100" s="31" t="str">
        <f>'Terminal offers'!$A$61</f>
        <v>NAB Now</v>
      </c>
      <c r="C100" s="62">
        <f>'Terminal offers'!$B$61</f>
        <v>135</v>
      </c>
      <c r="D100" s="62">
        <f>'Terminal offers'!$C$61</f>
        <v>10</v>
      </c>
      <c r="E100" s="62">
        <f>'Terminal offers'!$D$61</f>
        <v>0</v>
      </c>
      <c r="F100" s="229">
        <f>'Terminal offers'!$E$61</f>
        <v>0.3</v>
      </c>
      <c r="G100" s="23">
        <f>'Terminal offers'!$F$61</f>
        <v>1.7000000000000001E-2</v>
      </c>
      <c r="H100" s="24">
        <f>IF('Terminal offers'!$G$61&gt;0,'Terminal offers'!$G$61,'Terminal offers'!$G$68)</f>
        <v>2.3276000000000005E-2</v>
      </c>
      <c r="I100" s="24">
        <f>IF('Terminal offers'!$H$61&gt;0,'Terminal offers'!$H$61,'Terminal offers'!$H$68)</f>
        <v>2.9711000000000001E-2</v>
      </c>
      <c r="J100" s="25">
        <f>'Terminal offers'!$J$61</f>
        <v>0</v>
      </c>
      <c r="K100" s="65">
        <f t="shared" si="18"/>
        <v>3.75</v>
      </c>
      <c r="L100" s="26">
        <f t="shared" si="19"/>
        <v>10</v>
      </c>
      <c r="M100" s="66">
        <f>MAX((F100*C118)+(G100*C114),'Terminal offers'!I61)</f>
        <v>53.580730109908984</v>
      </c>
      <c r="N100" s="65">
        <f>(H100*C115)+(I100*C116)</f>
        <v>15.125006437741884</v>
      </c>
      <c r="O100" s="28">
        <f t="shared" ref="O100:O107" si="21">SUM(K100:N100)</f>
        <v>82.455736547650872</v>
      </c>
      <c r="P100" s="62">
        <f t="shared" si="20"/>
        <v>3848.0335075610456</v>
      </c>
      <c r="Q100" s="151">
        <f t="shared" ref="Q100:Q105" si="22">(P100+O100)/P100-1</f>
        <v>2.1428019372916829E-2</v>
      </c>
    </row>
    <row r="101" spans="1:17">
      <c r="A101" s="13"/>
      <c r="B101" s="118" t="str">
        <f>'Terminal offers'!$A$66</f>
        <v>Westpac Genie</v>
      </c>
      <c r="C101" s="122">
        <f>'Terminal offers'!$B$66</f>
        <v>100</v>
      </c>
      <c r="D101" s="113">
        <f>'Terminal offers'!$C$66</f>
        <v>0</v>
      </c>
      <c r="E101" s="113">
        <f>'Terminal offers'!$D$66</f>
        <v>0</v>
      </c>
      <c r="F101" s="371">
        <f>'Terminal offers'!$E$66</f>
        <v>1.95E-2</v>
      </c>
      <c r="G101" s="372"/>
      <c r="H101" s="115">
        <f>IF('Terminal offers'!$G$66&gt;0,'Terminal offers'!$G$66,'Terminal offers'!$G$68)</f>
        <v>2.3276000000000005E-2</v>
      </c>
      <c r="I101" s="115">
        <f>IF('Terminal offers'!$H$66&gt;0,'Terminal offers'!$H$66,'Terminal offers'!$H$68)</f>
        <v>2.9711000000000001E-2</v>
      </c>
      <c r="J101" s="119">
        <f>'Terminal offers'!$J$66</f>
        <v>0</v>
      </c>
      <c r="K101" s="122">
        <f t="shared" si="18"/>
        <v>2.7777777777777777</v>
      </c>
      <c r="L101" s="120">
        <f t="shared" si="19"/>
        <v>0</v>
      </c>
      <c r="M101" s="121">
        <f>F101*(C113+C114)</f>
        <v>62.650674661331337</v>
      </c>
      <c r="N101" s="116">
        <f>(H101*C115)+(I101*C116)</f>
        <v>15.125006437741884</v>
      </c>
      <c r="O101" s="117">
        <f t="shared" si="21"/>
        <v>80.553458876850996</v>
      </c>
      <c r="P101" s="113">
        <f t="shared" si="20"/>
        <v>3848.0335075610456</v>
      </c>
      <c r="Q101" s="150">
        <f t="shared" si="22"/>
        <v>2.0933668773561953E-2</v>
      </c>
    </row>
    <row r="102" spans="1:17">
      <c r="A102" s="13"/>
      <c r="B102" s="31" t="str">
        <f>'Terminal offers'!$A$58</f>
        <v>Bendigo Bank GoPOS Lite</v>
      </c>
      <c r="C102" s="224">
        <f>'Terminal offers'!$B$58</f>
        <v>0</v>
      </c>
      <c r="D102" s="62">
        <f>'Terminal offers'!$C$58</f>
        <v>13.200000000000001</v>
      </c>
      <c r="E102" s="62">
        <f>'Terminal offers'!$D$58</f>
        <v>0</v>
      </c>
      <c r="F102" s="226">
        <f>'Terminal offers'!$E$58</f>
        <v>0.27500000000000002</v>
      </c>
      <c r="G102" s="23">
        <f>'Terminal offers'!$F$58</f>
        <v>2.0900000000000002E-2</v>
      </c>
      <c r="H102" s="24">
        <f>IF('Terminal offers'!$G$58&gt;0,'Terminal offers'!$G$58,'Terminal offers'!$G$68)</f>
        <v>2.3276000000000005E-2</v>
      </c>
      <c r="I102" s="24">
        <f>IF('Terminal offers'!$H$58&gt;0,'Terminal offers'!$H$58,'Terminal offers'!$H$68)</f>
        <v>2.9711000000000001E-2</v>
      </c>
      <c r="J102" s="32">
        <f>'Terminal offers'!$J$58</f>
        <v>0</v>
      </c>
      <c r="K102" s="65">
        <f t="shared" si="18"/>
        <v>0</v>
      </c>
      <c r="L102" s="26">
        <f t="shared" si="19"/>
        <v>13.200000000000001</v>
      </c>
      <c r="M102" s="25">
        <f>(C118*F102)+(G102*C114)</f>
        <v>65.34451370867707</v>
      </c>
      <c r="N102" s="65">
        <f>(H102*C115)+(I102*C116)</f>
        <v>15.125006437741884</v>
      </c>
      <c r="O102" s="28">
        <f t="shared" si="21"/>
        <v>93.669520146418961</v>
      </c>
      <c r="P102" s="62">
        <f t="shared" si="20"/>
        <v>3848.0335075610456</v>
      </c>
      <c r="Q102" s="151">
        <f t="shared" si="22"/>
        <v>2.4342178923953517E-2</v>
      </c>
    </row>
    <row r="103" spans="1:17">
      <c r="A103" s="13"/>
      <c r="B103" s="118" t="str">
        <f>'Terminal offers'!$A$65</f>
        <v>St George Mobile PayWay</v>
      </c>
      <c r="C103" s="122">
        <f>'Terminal offers'!$B$65</f>
        <v>100</v>
      </c>
      <c r="D103" s="113">
        <f>'Terminal offers'!$C$65</f>
        <v>0</v>
      </c>
      <c r="E103" s="113">
        <f>'Terminal offers'!$D$65</f>
        <v>0</v>
      </c>
      <c r="F103" s="230">
        <f>'Terminal offers'!$E$65</f>
        <v>0.3</v>
      </c>
      <c r="G103" s="114">
        <f>'Terminal offers'!$F$65</f>
        <v>2.4E-2</v>
      </c>
      <c r="H103" s="115">
        <f>IF('Terminal offers'!$G$65&gt;0,'Terminal offers'!$G$65,'Terminal offers'!$G$68)</f>
        <v>2.3276000000000005E-2</v>
      </c>
      <c r="I103" s="115">
        <f>IF('Terminal offers'!$H$65&gt;0,'Terminal offers'!$H$65,'Terminal offers'!$H$68)</f>
        <v>2.9711000000000001E-2</v>
      </c>
      <c r="J103" s="119">
        <f>'Terminal offers'!$J$65</f>
        <v>0</v>
      </c>
      <c r="K103" s="122">
        <f t="shared" si="18"/>
        <v>2.7777777777777777</v>
      </c>
      <c r="L103" s="120">
        <f t="shared" si="19"/>
        <v>0</v>
      </c>
      <c r="M103" s="121">
        <f>(F103*C118)+(G103*C114)</f>
        <v>74.947860722226892</v>
      </c>
      <c r="N103" s="116">
        <f>(H103*C115)+(I103*C116)</f>
        <v>15.125006437741884</v>
      </c>
      <c r="O103" s="117">
        <f t="shared" si="21"/>
        <v>92.850644937746551</v>
      </c>
      <c r="P103" s="113">
        <f t="shared" si="20"/>
        <v>3848.0335075610456</v>
      </c>
      <c r="Q103" s="150">
        <f t="shared" si="22"/>
        <v>2.4129375369342121E-2</v>
      </c>
    </row>
    <row r="104" spans="1:17">
      <c r="A104" s="13"/>
      <c r="B104" s="31" t="str">
        <f>'Terminal offers'!$A$60</f>
        <v>Mint mPOS</v>
      </c>
      <c r="C104" s="27">
        <f>'Terminal offers'!$B$60</f>
        <v>0</v>
      </c>
      <c r="D104" s="27">
        <f>IF(C110&gt;2000,0,10)</f>
        <v>0</v>
      </c>
      <c r="E104" s="62">
        <f>'Terminal offers'!$D$60</f>
        <v>0</v>
      </c>
      <c r="F104" s="226">
        <f>'Terminal offers'!$E$60</f>
        <v>0.25</v>
      </c>
      <c r="G104" s="23">
        <f>'Terminal offers'!$F$60</f>
        <v>1.6899999999999998E-2</v>
      </c>
      <c r="H104" s="24">
        <f>IF('Terminal offers'!$G$60&gt;0,'Terminal offers'!$G$60,'Terminal offers'!$G$68)</f>
        <v>2.3276000000000005E-2</v>
      </c>
      <c r="I104" s="24">
        <f>IF('Terminal offers'!$H$60&gt;0,'Terminal offers'!$H$60,'Terminal offers'!$H$68)</f>
        <v>2.9711000000000001E-2</v>
      </c>
      <c r="J104" s="25">
        <f>'Terminal offers'!$J$60</f>
        <v>0</v>
      </c>
      <c r="K104" s="65">
        <f t="shared" si="18"/>
        <v>0</v>
      </c>
      <c r="L104" s="26">
        <f t="shared" si="19"/>
        <v>0</v>
      </c>
      <c r="M104" s="32">
        <f>(F104*C118)+(G104*C114)</f>
        <v>52.993964187829228</v>
      </c>
      <c r="N104" s="65">
        <f>(H104*C115)+(I104*C116)</f>
        <v>15.125006437741884</v>
      </c>
      <c r="O104" s="28">
        <f t="shared" si="21"/>
        <v>68.118970625571109</v>
      </c>
      <c r="P104" s="62">
        <f t="shared" si="20"/>
        <v>3848.0335075610456</v>
      </c>
      <c r="Q104" s="151">
        <f t="shared" si="22"/>
        <v>1.7702281046078072E-2</v>
      </c>
    </row>
    <row r="105" spans="1:17">
      <c r="A105" s="13"/>
      <c r="B105" s="118" t="str">
        <f>'Terminal offers'!$A$62</f>
        <v>PayPal Here</v>
      </c>
      <c r="C105" s="122">
        <f>'Terminal offers'!$B$62</f>
        <v>99</v>
      </c>
      <c r="D105" s="122">
        <f>'Terminal offers'!$C$62</f>
        <v>0</v>
      </c>
      <c r="E105" s="113">
        <f>'Terminal offers'!$D$62</f>
        <v>0</v>
      </c>
      <c r="F105" s="371">
        <f>'Terminal offers'!$E$62</f>
        <v>1.95E-2</v>
      </c>
      <c r="G105" s="372"/>
      <c r="H105" s="115">
        <f>IF('Terminal offers'!$G$62&gt;0,'Terminal offers'!$G$62,'Terminal offers'!$G$68)</f>
        <v>1.95E-2</v>
      </c>
      <c r="I105" s="115">
        <f>IF('Terminal offers'!$H$62&gt;0,'Terminal offers'!$H$62,'Terminal offers'!$H$68)</f>
        <v>2.9711000000000001E-2</v>
      </c>
      <c r="J105" s="119">
        <f>'Terminal offers'!$J$62</f>
        <v>0</v>
      </c>
      <c r="K105" s="122">
        <f t="shared" si="18"/>
        <v>2.75</v>
      </c>
      <c r="L105" s="120">
        <f t="shared" si="19"/>
        <v>0</v>
      </c>
      <c r="M105" s="121">
        <f>F105*(C113+C114)</f>
        <v>62.650674661331337</v>
      </c>
      <c r="N105" s="116">
        <f>(H105*C115)+(I105*C116)</f>
        <v>12.926430345433069</v>
      </c>
      <c r="O105" s="117">
        <f t="shared" si="21"/>
        <v>78.327105006764413</v>
      </c>
      <c r="P105" s="113">
        <f t="shared" si="20"/>
        <v>3848.0335075610456</v>
      </c>
      <c r="Q105" s="150">
        <f t="shared" si="22"/>
        <v>2.0355099521056186E-2</v>
      </c>
    </row>
    <row r="106" spans="1:17">
      <c r="A106" s="13"/>
      <c r="B106" s="31" t="str">
        <f>'Terminal offers'!$A$64</f>
        <v>Square</v>
      </c>
      <c r="C106" s="27">
        <f>'Terminal offers'!$B$64</f>
        <v>59</v>
      </c>
      <c r="D106" s="62">
        <f>'Terminal offers'!$C$64</f>
        <v>0</v>
      </c>
      <c r="E106" s="62">
        <f>'Terminal offers'!$D$64</f>
        <v>0</v>
      </c>
      <c r="F106" s="353">
        <f>'Terminal offers'!$E$64</f>
        <v>1.9E-2</v>
      </c>
      <c r="G106" s="354"/>
      <c r="H106" s="24">
        <f>IF('Terminal offers'!$G$64&gt;0,'Terminal offers'!$G$64,'Terminal offers'!$G$68)</f>
        <v>1.9E-2</v>
      </c>
      <c r="I106" s="24">
        <f>IF('Terminal offers'!$H$64&gt;0,'Terminal offers'!$H$64,'Terminal offers'!$H$68)</f>
        <v>2.9711000000000001E-2</v>
      </c>
      <c r="J106" s="25">
        <f>'Terminal offers'!$J$64</f>
        <v>0</v>
      </c>
      <c r="K106" s="65">
        <f t="shared" si="18"/>
        <v>1.6388888888888888</v>
      </c>
      <c r="L106" s="26">
        <f t="shared" si="19"/>
        <v>0</v>
      </c>
      <c r="M106" s="25">
        <f>F106*(C113+C114)</f>
        <v>61.044247105912582</v>
      </c>
      <c r="N106" s="65">
        <f>(H106*C115)+(I106*C116)</f>
        <v>12.635305333209974</v>
      </c>
      <c r="O106" s="28">
        <f t="shared" si="21"/>
        <v>75.318441328011446</v>
      </c>
      <c r="P106" s="62">
        <f t="shared" si="20"/>
        <v>3848.0335075610456</v>
      </c>
      <c r="Q106" s="151">
        <f>(P106+O106)/P106-1</f>
        <v>1.9573229074023812E-2</v>
      </c>
    </row>
    <row r="107" spans="1:17">
      <c r="A107" s="13"/>
      <c r="B107" s="137" t="str">
        <f>'Terminal offers'!$A$63</f>
        <v>Quest PocketPay</v>
      </c>
      <c r="C107" s="131">
        <f>'Terminal offers'!$B$63</f>
        <v>0</v>
      </c>
      <c r="D107" s="131">
        <f>'Terminal offers'!$C$63</f>
        <v>25.3</v>
      </c>
      <c r="E107" s="140">
        <f>'Terminal offers'!$D$63</f>
        <v>0</v>
      </c>
      <c r="F107" s="231">
        <f>'Terminal offers'!$E$63</f>
        <v>0.30800000000000005</v>
      </c>
      <c r="G107" s="232">
        <f>'Terminal offers'!$F$63</f>
        <v>2.0020000000000003E-2</v>
      </c>
      <c r="H107" s="128">
        <f>IF('Terminal offers'!$G$63&gt;0,'Terminal offers'!$G$63,'Terminal offers'!$G$68)</f>
        <v>2.3276000000000005E-2</v>
      </c>
      <c r="I107" s="128">
        <f>IF('Terminal offers'!$H$63&gt;0,'Terminal offers'!$H$63,'Terminal offers'!$H$68)</f>
        <v>2.9711000000000001E-2</v>
      </c>
      <c r="J107" s="129">
        <f>'Terminal offers'!$J$63</f>
        <v>0</v>
      </c>
      <c r="K107" s="131">
        <f t="shared" si="18"/>
        <v>0</v>
      </c>
      <c r="L107" s="130">
        <f t="shared" si="19"/>
        <v>25.3</v>
      </c>
      <c r="M107" s="138">
        <f>((F107*C118)+(G107*C114))</f>
        <v>62.844164137356458</v>
      </c>
      <c r="N107" s="139">
        <f>(H107*C115)+(I107*C116)</f>
        <v>15.125006437741884</v>
      </c>
      <c r="O107" s="132">
        <f t="shared" si="21"/>
        <v>103.26917057509834</v>
      </c>
      <c r="P107" s="140">
        <f t="shared" si="20"/>
        <v>3848.0335075610456</v>
      </c>
      <c r="Q107" s="152">
        <f>(P107+O107)/P107-1</f>
        <v>2.6836868850591777E-2</v>
      </c>
    </row>
    <row r="108" spans="1:17">
      <c r="A108" s="13"/>
      <c r="B108" s="67"/>
      <c r="C108" s="15"/>
      <c r="D108" s="16"/>
      <c r="E108" s="16"/>
      <c r="F108" s="16"/>
      <c r="G108" s="16"/>
      <c r="H108" s="16"/>
      <c r="I108" s="16"/>
      <c r="J108" s="15"/>
      <c r="K108" s="15"/>
      <c r="L108" s="15"/>
      <c r="M108" s="15"/>
      <c r="N108" s="15"/>
      <c r="O108" s="15"/>
      <c r="P108" s="134" t="s">
        <v>13</v>
      </c>
      <c r="Q108" s="144">
        <f>AVERAGE(Q98:Q107)</f>
        <v>2.1761798576562175E-2</v>
      </c>
    </row>
    <row r="109" spans="1:17">
      <c r="A109" s="13"/>
      <c r="B109" s="40" t="s">
        <v>108</v>
      </c>
      <c r="C109" s="41"/>
      <c r="D109" s="16"/>
      <c r="E109" s="16"/>
      <c r="F109" s="16"/>
      <c r="G109" s="16"/>
      <c r="H109" s="16"/>
      <c r="I109" s="16"/>
      <c r="J109" s="15"/>
      <c r="K109" s="15"/>
      <c r="L109" s="15"/>
      <c r="M109" s="15"/>
      <c r="N109" s="15"/>
      <c r="O109" s="15"/>
      <c r="P109" s="135" t="s">
        <v>17</v>
      </c>
      <c r="Q109" s="145">
        <f>MIN(Q98:Q107)</f>
        <v>1.7702281046078072E-2</v>
      </c>
    </row>
    <row r="110" spans="1:17">
      <c r="A110" s="13"/>
      <c r="B110" s="42" t="s">
        <v>33</v>
      </c>
      <c r="C110" s="43">
        <f>'8. Monthly revenue and trips'!C6*0.9</f>
        <v>3848.0335075610456</v>
      </c>
      <c r="D110" s="16"/>
      <c r="E110" s="16"/>
      <c r="F110" s="16"/>
      <c r="G110" s="16"/>
      <c r="H110" s="16"/>
      <c r="I110" s="16"/>
      <c r="J110" s="15"/>
      <c r="K110" s="15"/>
      <c r="L110" s="15"/>
      <c r="M110" s="15"/>
      <c r="N110" s="15"/>
      <c r="O110" s="15"/>
      <c r="P110" s="136" t="s">
        <v>18</v>
      </c>
      <c r="Q110" s="146">
        <f>MAX(Q98:Q107)</f>
        <v>2.6836868850591777E-2</v>
      </c>
    </row>
    <row r="111" spans="1:17">
      <c r="A111" s="13"/>
      <c r="B111" s="42" t="s">
        <v>21</v>
      </c>
      <c r="C111" s="45">
        <f>'8. Monthly revenue and trips'!C4</f>
        <v>28.489485170139162</v>
      </c>
      <c r="D111" s="16"/>
      <c r="E111" s="50"/>
      <c r="F111" s="68"/>
      <c r="G111" s="16"/>
      <c r="H111" s="16"/>
      <c r="I111" s="16"/>
      <c r="J111" s="15"/>
      <c r="K111" s="15"/>
      <c r="L111" s="15"/>
      <c r="M111" s="15"/>
      <c r="N111" s="15"/>
      <c r="O111" s="15"/>
      <c r="P111" s="15"/>
      <c r="Q111" s="15"/>
    </row>
    <row r="112" spans="1:17">
      <c r="A112" s="13"/>
      <c r="B112" s="42"/>
      <c r="C112" s="45"/>
      <c r="D112" s="16"/>
      <c r="E112" s="50"/>
      <c r="F112" s="68"/>
      <c r="G112" s="16"/>
      <c r="H112" s="16"/>
      <c r="I112" s="16"/>
      <c r="J112" s="15"/>
      <c r="K112" s="15"/>
      <c r="L112" s="15"/>
      <c r="M112" s="15"/>
      <c r="N112" s="15"/>
      <c r="O112" s="15"/>
      <c r="P112" s="15"/>
      <c r="Q112" s="15"/>
    </row>
    <row r="113" spans="1:17">
      <c r="A113" s="13"/>
      <c r="B113" s="42" t="s">
        <v>34</v>
      </c>
      <c r="C113" s="46">
        <f>'8. Monthly revenue and trips'!C19*'13. Sensitivity (mPOS)'!C110</f>
        <v>160.40788050637491</v>
      </c>
      <c r="D113" s="15"/>
      <c r="E113" s="15"/>
      <c r="F113" s="16"/>
      <c r="G113" s="15"/>
      <c r="H113" s="15"/>
      <c r="I113" s="15"/>
      <c r="J113" s="15"/>
      <c r="K113" s="15"/>
      <c r="L113" s="15"/>
      <c r="M113" s="15"/>
      <c r="N113" s="15"/>
      <c r="O113" s="15"/>
      <c r="P113" s="15"/>
      <c r="Q113" s="15"/>
    </row>
    <row r="114" spans="1:17">
      <c r="A114" s="13"/>
      <c r="B114" s="42" t="s">
        <v>197</v>
      </c>
      <c r="C114" s="46">
        <f>'8. Monthly revenue and trips'!C20*'13. Sensitivity (mPOS)'!C110</f>
        <v>3052.4472303311295</v>
      </c>
      <c r="D114" s="15"/>
      <c r="E114" s="15"/>
      <c r="F114" s="16"/>
      <c r="G114" s="16"/>
      <c r="H114" s="16"/>
      <c r="I114" s="16"/>
      <c r="J114" s="15"/>
      <c r="K114" s="15"/>
      <c r="L114" s="15"/>
      <c r="M114" s="15"/>
      <c r="N114" s="15"/>
      <c r="O114" s="15"/>
      <c r="P114" s="15"/>
      <c r="Q114" s="15"/>
    </row>
    <row r="115" spans="1:17">
      <c r="A115" s="13"/>
      <c r="B115" s="42" t="s">
        <v>39</v>
      </c>
      <c r="C115" s="46">
        <f>'8. Monthly revenue and trips'!C21*'13. Sensitivity (mPOS)'!C110</f>
        <v>582.25002444618985</v>
      </c>
      <c r="D115" s="15"/>
      <c r="E115" s="15"/>
      <c r="F115" s="16"/>
      <c r="G115" s="16"/>
      <c r="H115" s="16"/>
      <c r="I115" s="16"/>
      <c r="J115" s="15"/>
      <c r="K115" s="15"/>
      <c r="L115" s="15"/>
      <c r="M115" s="15"/>
      <c r="N115" s="15"/>
      <c r="O115" s="15"/>
      <c r="P115" s="15"/>
      <c r="Q115" s="15"/>
    </row>
    <row r="116" spans="1:17">
      <c r="A116" s="13"/>
      <c r="B116" s="42" t="s">
        <v>114</v>
      </c>
      <c r="C116" s="46">
        <f>'8. Monthly revenue and trips'!C22*'13. Sensitivity (mPOS)'!C110</f>
        <v>52.928372277350682</v>
      </c>
      <c r="D116" s="15"/>
      <c r="E116" s="15"/>
      <c r="F116" s="16"/>
      <c r="G116" s="16"/>
      <c r="H116" s="16"/>
      <c r="I116" s="16"/>
      <c r="J116" s="15"/>
      <c r="K116" s="15"/>
      <c r="L116" s="15"/>
      <c r="M116" s="15"/>
      <c r="N116" s="15"/>
      <c r="O116" s="15"/>
      <c r="P116" s="15"/>
      <c r="Q116" s="15"/>
    </row>
    <row r="117" spans="1:17">
      <c r="A117" s="13"/>
      <c r="B117" s="42"/>
      <c r="C117" s="46"/>
      <c r="D117" s="15"/>
      <c r="E117" s="15"/>
      <c r="F117" s="16"/>
      <c r="G117" s="16"/>
      <c r="H117" s="16"/>
      <c r="I117" s="16"/>
      <c r="J117" s="15"/>
      <c r="K117" s="15"/>
      <c r="L117" s="15"/>
      <c r="M117" s="15"/>
      <c r="N117" s="15"/>
      <c r="O117" s="15"/>
      <c r="P117" s="15"/>
      <c r="Q117" s="15"/>
    </row>
    <row r="118" spans="1:17">
      <c r="A118" s="13"/>
      <c r="B118" s="42" t="s">
        <v>38</v>
      </c>
      <c r="C118" s="51">
        <f>C113/$C$111</f>
        <v>5.6304239809325898</v>
      </c>
      <c r="D118" s="16"/>
      <c r="E118" s="16"/>
      <c r="F118" s="16"/>
      <c r="G118" s="16"/>
      <c r="H118" s="16"/>
      <c r="I118" s="16"/>
      <c r="J118" s="15"/>
      <c r="K118" s="15"/>
      <c r="L118" s="15"/>
      <c r="M118" s="15"/>
      <c r="N118" s="15"/>
      <c r="O118" s="15"/>
      <c r="P118" s="15"/>
      <c r="Q118" s="15"/>
    </row>
    <row r="119" spans="1:17">
      <c r="A119" s="13"/>
      <c r="B119" s="42" t="s">
        <v>198</v>
      </c>
      <c r="C119" s="51">
        <f t="shared" ref="C119:C120" si="23">C114/$C$111</f>
        <v>107.14294105709244</v>
      </c>
      <c r="D119" s="15"/>
      <c r="E119" s="15"/>
      <c r="F119" s="15"/>
      <c r="G119" s="15"/>
      <c r="H119" s="15"/>
      <c r="I119" s="15"/>
      <c r="J119" s="15"/>
      <c r="K119" s="15"/>
      <c r="L119" s="15"/>
      <c r="M119" s="15"/>
      <c r="N119" s="15"/>
      <c r="O119" s="15"/>
      <c r="P119" s="15"/>
      <c r="Q119" s="15"/>
    </row>
    <row r="120" spans="1:17">
      <c r="A120" s="13"/>
      <c r="B120" s="42" t="s">
        <v>41</v>
      </c>
      <c r="C120" s="51">
        <f t="shared" si="23"/>
        <v>20.437365609416723</v>
      </c>
      <c r="D120" s="15"/>
      <c r="E120" s="15"/>
      <c r="F120" s="16"/>
      <c r="G120" s="15"/>
      <c r="H120" s="15"/>
      <c r="I120" s="15"/>
      <c r="J120" s="15"/>
      <c r="K120" s="15"/>
      <c r="L120" s="15"/>
      <c r="M120" s="15"/>
      <c r="N120" s="15"/>
      <c r="O120" s="15"/>
      <c r="P120" s="15"/>
      <c r="Q120" s="15"/>
    </row>
    <row r="121" spans="1:17">
      <c r="A121" s="13"/>
      <c r="B121" s="44" t="s">
        <v>113</v>
      </c>
      <c r="C121" s="54">
        <f>C116/$C$111</f>
        <v>1.8578212965682785</v>
      </c>
      <c r="D121" s="15"/>
      <c r="E121" s="15"/>
      <c r="F121" s="16"/>
      <c r="G121" s="15"/>
      <c r="H121" s="15"/>
      <c r="I121" s="15"/>
      <c r="J121" s="15"/>
      <c r="K121" s="15"/>
      <c r="L121" s="15"/>
      <c r="M121" s="15"/>
      <c r="N121" s="15"/>
      <c r="O121" s="15"/>
      <c r="P121" s="15"/>
      <c r="Q121" s="15"/>
    </row>
    <row r="122" spans="1:17">
      <c r="A122" s="13"/>
      <c r="B122" s="13"/>
      <c r="C122" s="13"/>
      <c r="D122" s="14"/>
      <c r="E122" s="14"/>
      <c r="F122" s="14"/>
      <c r="G122" s="14"/>
      <c r="H122" s="14"/>
      <c r="I122" s="14"/>
      <c r="J122" s="13"/>
      <c r="K122" s="13"/>
      <c r="L122" s="13"/>
      <c r="M122" s="13"/>
      <c r="N122" s="13"/>
      <c r="O122" s="13"/>
      <c r="P122" s="13"/>
      <c r="Q122" s="13"/>
    </row>
    <row r="123" spans="1:17" s="3" customFormat="1" hidden="1">
      <c r="D123" s="69"/>
      <c r="E123" s="69"/>
      <c r="F123" s="69"/>
      <c r="G123" s="69"/>
      <c r="H123" s="69"/>
      <c r="I123" s="69"/>
    </row>
  </sheetData>
  <mergeCells count="33">
    <mergeCell ref="B2:Q2"/>
    <mergeCell ref="B34:Q34"/>
    <mergeCell ref="B64:Q64"/>
    <mergeCell ref="B94:Q94"/>
    <mergeCell ref="C6:J6"/>
    <mergeCell ref="C36:J36"/>
    <mergeCell ref="C66:J66"/>
    <mergeCell ref="K6:O6"/>
    <mergeCell ref="K36:O36"/>
    <mergeCell ref="K66:O66"/>
    <mergeCell ref="F15:G15"/>
    <mergeCell ref="F16:G16"/>
    <mergeCell ref="Q36:Q37"/>
    <mergeCell ref="Q6:Q7"/>
    <mergeCell ref="B4:Q4"/>
    <mergeCell ref="F45:G45"/>
    <mergeCell ref="F101:G101"/>
    <mergeCell ref="F105:G105"/>
    <mergeCell ref="F106:G106"/>
    <mergeCell ref="Q66:Q67"/>
    <mergeCell ref="Q96:Q97"/>
    <mergeCell ref="C96:J96"/>
    <mergeCell ref="K96:O96"/>
    <mergeCell ref="F69:G69"/>
    <mergeCell ref="F71:G71"/>
    <mergeCell ref="F75:G75"/>
    <mergeCell ref="F76:G76"/>
    <mergeCell ref="F99:G99"/>
    <mergeCell ref="F9:G9"/>
    <mergeCell ref="F11:G11"/>
    <mergeCell ref="F39:G39"/>
    <mergeCell ref="F41:G41"/>
    <mergeCell ref="F46:G46"/>
  </mergeCells>
  <pageMargins left="0.7" right="0.7" top="0.75" bottom="0.75" header="0.3" footer="0.3"/>
  <pageSetup paperSize="8" scale="46"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37"/>
  <sheetViews>
    <sheetView zoomScale="80" zoomScaleNormal="80" workbookViewId="0"/>
  </sheetViews>
  <sheetFormatPr defaultColWidth="0" defaultRowHeight="15" zeroHeight="1"/>
  <cols>
    <col min="1" max="1" width="2.85546875" style="185" customWidth="1"/>
    <col min="2" max="4" width="19.85546875" style="185" customWidth="1"/>
    <col min="5" max="13" width="9.140625" style="185" customWidth="1"/>
    <col min="14" max="14" width="2.85546875" style="185" customWidth="1"/>
    <col min="15" max="16384" width="9.140625" hidden="1"/>
  </cols>
  <sheetData>
    <row r="1" spans="2:13"/>
    <row r="2" spans="2:13" ht="28.5" customHeight="1">
      <c r="B2" s="355" t="s">
        <v>87</v>
      </c>
      <c r="C2" s="356"/>
      <c r="D2" s="356"/>
      <c r="E2" s="356"/>
      <c r="F2" s="356"/>
      <c r="G2" s="356"/>
      <c r="H2" s="356"/>
      <c r="I2" s="356"/>
      <c r="J2" s="356"/>
      <c r="K2" s="356"/>
      <c r="L2" s="356"/>
      <c r="M2" s="357"/>
    </row>
    <row r="3" spans="2:13"/>
    <row r="4" spans="2:13" ht="30.75" customHeight="1">
      <c r="B4" s="5" t="s">
        <v>25</v>
      </c>
      <c r="C4" s="8" t="s">
        <v>11</v>
      </c>
      <c r="D4" s="8" t="s">
        <v>23</v>
      </c>
      <c r="F4"/>
      <c r="G4"/>
      <c r="H4"/>
      <c r="I4"/>
      <c r="J4"/>
      <c r="K4"/>
      <c r="L4"/>
    </row>
    <row r="5" spans="2:13">
      <c r="B5" s="4" t="s">
        <v>3</v>
      </c>
      <c r="C5" s="208">
        <f>'10. Benchmarking (EFTPOS)'!O9</f>
        <v>1.7039309291738025E-2</v>
      </c>
      <c r="D5" s="6">
        <v>0.05</v>
      </c>
      <c r="F5"/>
      <c r="G5"/>
      <c r="H5"/>
      <c r="I5"/>
      <c r="J5"/>
      <c r="K5"/>
      <c r="L5"/>
    </row>
    <row r="6" spans="2:13">
      <c r="B6" s="4" t="s">
        <v>24</v>
      </c>
      <c r="C6" s="208">
        <f>'10. Benchmarking (EFTPOS)'!O18</f>
        <v>1.8834287886264844E-2</v>
      </c>
      <c r="D6" s="6">
        <v>0.05</v>
      </c>
      <c r="F6"/>
      <c r="G6"/>
      <c r="H6"/>
      <c r="I6"/>
      <c r="J6"/>
      <c r="K6"/>
      <c r="L6"/>
    </row>
    <row r="7" spans="2:13">
      <c r="B7" s="4" t="s">
        <v>30</v>
      </c>
      <c r="C7" s="208">
        <f>'10. Benchmarking (EFTPOS)'!O10</f>
        <v>1.9378166264349073E-2</v>
      </c>
      <c r="D7" s="6">
        <v>0.05</v>
      </c>
      <c r="F7"/>
      <c r="G7"/>
      <c r="H7"/>
      <c r="I7"/>
      <c r="J7"/>
      <c r="K7"/>
      <c r="L7"/>
    </row>
    <row r="8" spans="2:13">
      <c r="B8" s="4" t="s">
        <v>31</v>
      </c>
      <c r="C8" s="208">
        <f>'10. Benchmarking (EFTPOS)'!O11</f>
        <v>1.9378166264349073E-2</v>
      </c>
      <c r="D8" s="6">
        <v>0.05</v>
      </c>
      <c r="F8"/>
      <c r="G8"/>
      <c r="H8"/>
      <c r="I8"/>
      <c r="J8"/>
      <c r="K8"/>
      <c r="L8"/>
    </row>
    <row r="9" spans="2:13">
      <c r="B9" s="4" t="s">
        <v>7</v>
      </c>
      <c r="C9" s="208">
        <f>'10. Benchmarking (EFTPOS)'!O15</f>
        <v>1.9378166264349073E-2</v>
      </c>
      <c r="D9" s="6">
        <v>0.05</v>
      </c>
      <c r="F9"/>
      <c r="G9"/>
      <c r="H9"/>
      <c r="I9"/>
      <c r="J9"/>
      <c r="K9"/>
      <c r="L9"/>
    </row>
    <row r="10" spans="2:13">
      <c r="B10" s="4" t="s">
        <v>26</v>
      </c>
      <c r="C10" s="208">
        <f>'10. Benchmarking (EFTPOS)'!O13</f>
        <v>1.9962880507501835E-2</v>
      </c>
      <c r="D10" s="6">
        <v>0.05</v>
      </c>
      <c r="F10"/>
      <c r="G10"/>
      <c r="H10"/>
      <c r="I10"/>
      <c r="J10"/>
      <c r="K10"/>
      <c r="L10"/>
    </row>
    <row r="11" spans="2:13">
      <c r="B11" s="7" t="s">
        <v>1</v>
      </c>
      <c r="C11" s="208">
        <f>'10. Benchmarking (EFTPOS)'!O7</f>
        <v>1.9962880507501835E-2</v>
      </c>
      <c r="D11" s="6">
        <v>0.05</v>
      </c>
      <c r="F11"/>
      <c r="G11"/>
      <c r="H11"/>
      <c r="I11"/>
      <c r="J11"/>
      <c r="K11"/>
      <c r="L11"/>
    </row>
    <row r="12" spans="2:13">
      <c r="B12" s="4" t="s">
        <v>0</v>
      </c>
      <c r="C12" s="208">
        <f>'10. Benchmarking (EFTPOS)'!O6</f>
        <v>2.0068693862982601E-2</v>
      </c>
      <c r="D12" s="6">
        <v>0.05</v>
      </c>
      <c r="F12"/>
      <c r="G12"/>
      <c r="H12"/>
      <c r="I12"/>
      <c r="J12"/>
      <c r="K12"/>
      <c r="L12"/>
    </row>
    <row r="13" spans="2:13">
      <c r="B13" s="7" t="s">
        <v>9</v>
      </c>
      <c r="C13" s="208">
        <f>'10. Benchmarking (EFTPOS)'!O14</f>
        <v>2.0547594750654596E-2</v>
      </c>
      <c r="D13" s="6">
        <v>0.05</v>
      </c>
      <c r="F13"/>
      <c r="G13"/>
      <c r="H13"/>
      <c r="I13"/>
      <c r="J13"/>
      <c r="K13"/>
      <c r="L13"/>
    </row>
    <row r="14" spans="2:13">
      <c r="B14" s="7" t="s">
        <v>2</v>
      </c>
      <c r="C14" s="208">
        <f>'10. Benchmarking (EFTPOS)'!O8</f>
        <v>2.0547594750654596E-2</v>
      </c>
      <c r="D14" s="6">
        <v>0.05</v>
      </c>
      <c r="F14"/>
      <c r="G14"/>
      <c r="H14"/>
      <c r="I14"/>
      <c r="J14"/>
      <c r="K14"/>
      <c r="L14"/>
    </row>
    <row r="15" spans="2:13">
      <c r="B15" s="4" t="s">
        <v>6</v>
      </c>
      <c r="C15" s="208">
        <f>'10. Benchmarking (EFTPOS)'!O12</f>
        <v>2.2958355813680553E-2</v>
      </c>
      <c r="D15" s="6">
        <v>0.05</v>
      </c>
      <c r="F15"/>
      <c r="G15"/>
      <c r="H15"/>
      <c r="I15"/>
      <c r="J15"/>
      <c r="K15"/>
      <c r="L15"/>
    </row>
    <row r="16" spans="2:13">
      <c r="B16" s="4" t="s">
        <v>12</v>
      </c>
      <c r="C16" s="208">
        <f>'10. Benchmarking (EFTPOS)'!O19</f>
        <v>2.3333529356147187E-2</v>
      </c>
      <c r="D16" s="6">
        <v>0.05</v>
      </c>
      <c r="F16"/>
      <c r="G16"/>
      <c r="H16"/>
      <c r="I16"/>
      <c r="J16"/>
      <c r="K16"/>
      <c r="L16"/>
    </row>
    <row r="17" spans="2:13">
      <c r="B17" s="4" t="s">
        <v>122</v>
      </c>
      <c r="C17" s="208">
        <f>'10. Benchmarking (EFTPOS)'!O16</f>
        <v>2.4163126463101703E-2</v>
      </c>
      <c r="D17" s="6">
        <v>0.05</v>
      </c>
      <c r="F17"/>
      <c r="G17"/>
      <c r="H17"/>
      <c r="I17"/>
      <c r="J17"/>
      <c r="K17"/>
      <c r="L17"/>
    </row>
    <row r="18" spans="2:13">
      <c r="B18" s="4" t="s">
        <v>4</v>
      </c>
      <c r="C18" s="208">
        <f>'10. Benchmarking (EFTPOS)'!O17</f>
        <v>2.4066982030406914E-2</v>
      </c>
      <c r="D18" s="6">
        <v>0.05</v>
      </c>
    </row>
    <row r="19" spans="2:13"/>
    <row r="20" spans="2:13"/>
    <row r="21" spans="2:13" ht="28.5" customHeight="1">
      <c r="B21" s="355" t="s">
        <v>88</v>
      </c>
      <c r="C21" s="356"/>
      <c r="D21" s="356"/>
      <c r="E21" s="356"/>
      <c r="F21" s="356"/>
      <c r="G21" s="356"/>
      <c r="H21" s="356"/>
      <c r="I21" s="356"/>
      <c r="J21" s="356"/>
      <c r="K21" s="356"/>
      <c r="L21" s="356"/>
      <c r="M21" s="357"/>
    </row>
    <row r="22" spans="2:13"/>
    <row r="23" spans="2:13" ht="30.75" customHeight="1">
      <c r="B23" s="5" t="s">
        <v>25</v>
      </c>
      <c r="C23" s="8" t="s">
        <v>11</v>
      </c>
      <c r="D23" s="8" t="s">
        <v>23</v>
      </c>
      <c r="F23"/>
      <c r="G23"/>
      <c r="H23"/>
      <c r="I23"/>
      <c r="J23"/>
      <c r="K23"/>
      <c r="L23"/>
      <c r="M23"/>
    </row>
    <row r="24" spans="2:13">
      <c r="B24" s="4" t="s">
        <v>12</v>
      </c>
      <c r="C24" s="208">
        <f>'11. Benchmarking (mPOS)'!Q12</f>
        <v>1.770228104607785E-2</v>
      </c>
      <c r="D24" s="6">
        <v>0.05</v>
      </c>
      <c r="F24"/>
      <c r="G24"/>
      <c r="H24"/>
      <c r="I24"/>
      <c r="J24"/>
      <c r="K24"/>
      <c r="L24"/>
      <c r="M24"/>
    </row>
    <row r="25" spans="2:13">
      <c r="B25" s="4" t="s">
        <v>1</v>
      </c>
      <c r="C25" s="208">
        <f>'11. Benchmarking (mPOS)'!Q7</f>
        <v>1.8208737778043549E-2</v>
      </c>
      <c r="D25" s="6">
        <v>0.05</v>
      </c>
      <c r="F25"/>
      <c r="G25"/>
      <c r="H25"/>
      <c r="I25"/>
      <c r="J25"/>
      <c r="K25"/>
      <c r="L25"/>
      <c r="M25"/>
    </row>
    <row r="26" spans="2:13">
      <c r="B26" s="7" t="s">
        <v>5</v>
      </c>
      <c r="C26" s="208">
        <f>'11. Benchmarking (mPOS)'!Q14</f>
        <v>1.9530638777300213E-2</v>
      </c>
      <c r="D26" s="6">
        <v>0.05</v>
      </c>
      <c r="F26"/>
      <c r="G26"/>
      <c r="H26"/>
      <c r="I26"/>
      <c r="J26"/>
      <c r="K26"/>
      <c r="L26"/>
      <c r="M26"/>
    </row>
    <row r="27" spans="2:13">
      <c r="B27" s="4" t="s">
        <v>22</v>
      </c>
      <c r="C27" s="208">
        <f>'11. Benchmarking (mPOS)'!Q13</f>
        <v>2.0283634446893295E-2</v>
      </c>
      <c r="D27" s="6">
        <v>0.05</v>
      </c>
      <c r="F27"/>
      <c r="G27"/>
      <c r="H27"/>
      <c r="I27"/>
      <c r="J27"/>
      <c r="K27"/>
      <c r="L27"/>
      <c r="M27"/>
    </row>
    <row r="28" spans="2:13">
      <c r="B28" s="7" t="s">
        <v>3</v>
      </c>
      <c r="C28" s="208">
        <f>'11. Benchmarking (mPOS)'!Q9</f>
        <v>2.0861481829962836E-2</v>
      </c>
      <c r="D28" s="6">
        <v>0.05</v>
      </c>
      <c r="F28"/>
      <c r="G28"/>
      <c r="H28"/>
      <c r="I28"/>
      <c r="J28"/>
      <c r="K28"/>
      <c r="L28"/>
      <c r="M28"/>
    </row>
    <row r="29" spans="2:13">
      <c r="B29" s="4" t="s">
        <v>2</v>
      </c>
      <c r="C29" s="208">
        <f>'11. Benchmarking (mPOS)'!Q8</f>
        <v>2.1070694002101265E-2</v>
      </c>
      <c r="D29" s="6">
        <v>0.05</v>
      </c>
      <c r="F29"/>
      <c r="G29"/>
      <c r="H29"/>
      <c r="I29"/>
      <c r="J29"/>
      <c r="K29"/>
      <c r="L29"/>
      <c r="M29"/>
    </row>
    <row r="30" spans="2:13">
      <c r="B30" s="4" t="s">
        <v>0</v>
      </c>
      <c r="C30" s="208">
        <f>'11. Benchmarking (mPOS)'!Q6</f>
        <v>2.3783685809857902E-2</v>
      </c>
      <c r="D30" s="6">
        <v>0.05</v>
      </c>
      <c r="F30"/>
      <c r="G30"/>
      <c r="H30"/>
      <c r="I30"/>
      <c r="J30"/>
      <c r="K30"/>
      <c r="L30"/>
      <c r="M30"/>
    </row>
    <row r="31" spans="2:13">
      <c r="B31" s="4" t="s">
        <v>6</v>
      </c>
      <c r="C31" s="208">
        <f>'11. Benchmarking (mPOS)'!Q10</f>
        <v>2.3999146567970309E-2</v>
      </c>
      <c r="D31" s="6">
        <v>0.05</v>
      </c>
      <c r="F31"/>
      <c r="G31"/>
      <c r="H31"/>
      <c r="I31"/>
      <c r="J31"/>
      <c r="K31"/>
      <c r="L31"/>
      <c r="M31"/>
    </row>
    <row r="32" spans="2:13">
      <c r="B32" s="7" t="s">
        <v>7</v>
      </c>
      <c r="C32" s="208">
        <f>'11. Benchmarking (mPOS)'!Q11</f>
        <v>2.4057188425743004E-2</v>
      </c>
      <c r="D32" s="6">
        <v>0.05</v>
      </c>
      <c r="F32"/>
      <c r="G32"/>
      <c r="H32"/>
      <c r="I32"/>
      <c r="J32"/>
      <c r="K32"/>
      <c r="L32"/>
      <c r="M32"/>
    </row>
    <row r="33" spans="2:13">
      <c r="B33" s="7" t="s">
        <v>32</v>
      </c>
      <c r="C33" s="246">
        <f>'11. Benchmarking (mPOS)'!Q15</f>
        <v>2.6179390168291183E-2</v>
      </c>
      <c r="D33" s="6">
        <v>0.05</v>
      </c>
      <c r="F33"/>
      <c r="G33"/>
      <c r="H33"/>
      <c r="I33"/>
      <c r="J33"/>
      <c r="K33"/>
      <c r="L33"/>
      <c r="M33"/>
    </row>
    <row r="34" spans="2:13">
      <c r="B34" s="87"/>
      <c r="F34"/>
      <c r="G34"/>
      <c r="H34"/>
      <c r="I34"/>
      <c r="J34"/>
      <c r="K34"/>
      <c r="L34"/>
      <c r="M34"/>
    </row>
    <row r="35" spans="2:13">
      <c r="F35"/>
      <c r="G35"/>
      <c r="H35"/>
      <c r="I35"/>
      <c r="J35"/>
      <c r="K35"/>
      <c r="L35"/>
      <c r="M35"/>
    </row>
    <row r="36" spans="2:13">
      <c r="F36"/>
      <c r="G36"/>
      <c r="H36"/>
      <c r="I36"/>
      <c r="J36"/>
      <c r="K36"/>
      <c r="L36"/>
      <c r="M36"/>
    </row>
    <row r="37" spans="2:13"/>
  </sheetData>
  <sortState ref="B25:D34">
    <sortCondition ref="C25:C34"/>
  </sortState>
  <mergeCells count="2">
    <mergeCell ref="B2:M2"/>
    <mergeCell ref="B21:M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P147"/>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0" defaultRowHeight="12" zeroHeight="1"/>
  <cols>
    <col min="1" max="1" width="36.5703125" style="3" customWidth="1"/>
    <col min="2" max="2" width="19.140625" style="79" customWidth="1"/>
    <col min="3" max="7" width="19.140625" style="81" customWidth="1"/>
    <col min="8" max="8" width="19.28515625" style="81" customWidth="1"/>
    <col min="9" max="9" width="19.140625" style="81" customWidth="1"/>
    <col min="10" max="14" width="19.140625" style="79" customWidth="1"/>
    <col min="15" max="15" width="108.5703125" style="3" customWidth="1"/>
    <col min="16" max="16" width="0" style="9" hidden="1" customWidth="1"/>
    <col min="17" max="16384" width="9.140625" style="9" hidden="1"/>
  </cols>
  <sheetData>
    <row r="1" spans="1:15" ht="64.5" customHeight="1">
      <c r="A1" s="182" t="s">
        <v>43</v>
      </c>
      <c r="B1" s="183" t="s">
        <v>50</v>
      </c>
      <c r="C1" s="183" t="s">
        <v>44</v>
      </c>
      <c r="D1" s="183" t="s">
        <v>45</v>
      </c>
      <c r="E1" s="183" t="s">
        <v>64</v>
      </c>
      <c r="F1" s="183" t="s">
        <v>119</v>
      </c>
      <c r="G1" s="183" t="s">
        <v>48</v>
      </c>
      <c r="H1" s="183" t="s">
        <v>47</v>
      </c>
      <c r="I1" s="183" t="s">
        <v>49</v>
      </c>
      <c r="J1" s="183" t="s">
        <v>46</v>
      </c>
      <c r="K1" s="183" t="s">
        <v>63</v>
      </c>
      <c r="L1" s="183" t="s">
        <v>60</v>
      </c>
      <c r="M1" s="183" t="s">
        <v>61</v>
      </c>
      <c r="N1" s="183" t="s">
        <v>62</v>
      </c>
      <c r="O1" s="184" t="s">
        <v>65</v>
      </c>
    </row>
    <row r="2" spans="1:15" s="180" customFormat="1" ht="30.75" customHeight="1">
      <c r="A2" s="187" t="s">
        <v>105</v>
      </c>
      <c r="B2" s="322"/>
      <c r="C2" s="323"/>
      <c r="D2" s="323"/>
      <c r="E2" s="323"/>
      <c r="F2" s="323"/>
      <c r="G2" s="323"/>
      <c r="H2" s="323"/>
      <c r="I2" s="323"/>
      <c r="J2" s="323"/>
      <c r="K2" s="323"/>
      <c r="L2" s="323"/>
      <c r="M2" s="323"/>
      <c r="N2" s="323"/>
      <c r="O2" s="324"/>
    </row>
    <row r="3" spans="1:15" ht="39" customHeight="1">
      <c r="A3" s="88" t="s">
        <v>0</v>
      </c>
      <c r="B3" s="89"/>
      <c r="C3" s="90">
        <v>40</v>
      </c>
      <c r="D3" s="89"/>
      <c r="E3" s="93">
        <v>0.25</v>
      </c>
      <c r="F3" s="91">
        <v>8.0000000000000002E-3</v>
      </c>
      <c r="G3" s="92"/>
      <c r="H3" s="89"/>
      <c r="I3" s="90">
        <v>29</v>
      </c>
      <c r="J3" s="90">
        <v>0</v>
      </c>
      <c r="K3" s="89"/>
      <c r="L3" s="89"/>
      <c r="M3" s="89"/>
      <c r="N3" s="89"/>
      <c r="O3" s="88"/>
    </row>
    <row r="4" spans="1:15" s="157" customFormat="1" ht="39" customHeight="1">
      <c r="A4" s="86" t="s">
        <v>30</v>
      </c>
      <c r="B4" s="153"/>
      <c r="C4" s="154">
        <v>55</v>
      </c>
      <c r="D4" s="154">
        <v>3500</v>
      </c>
      <c r="E4" s="327">
        <v>1.4999999999999999E-2</v>
      </c>
      <c r="F4" s="328"/>
      <c r="G4" s="155"/>
      <c r="H4" s="155"/>
      <c r="I4" s="153"/>
      <c r="J4" s="154">
        <v>10</v>
      </c>
      <c r="K4" s="154"/>
      <c r="L4" s="154">
        <v>33</v>
      </c>
      <c r="M4" s="154">
        <v>110</v>
      </c>
      <c r="N4" s="154">
        <v>550</v>
      </c>
      <c r="O4" s="86" t="s">
        <v>53</v>
      </c>
    </row>
    <row r="5" spans="1:15" ht="39" customHeight="1">
      <c r="A5" s="70" t="s">
        <v>30</v>
      </c>
      <c r="B5" s="78"/>
      <c r="C5" s="80">
        <v>85</v>
      </c>
      <c r="D5" s="80">
        <v>6000</v>
      </c>
      <c r="E5" s="329">
        <v>1.4999999999999999E-2</v>
      </c>
      <c r="F5" s="330"/>
      <c r="G5" s="83"/>
      <c r="H5" s="83"/>
      <c r="I5" s="78"/>
      <c r="J5" s="80">
        <v>10</v>
      </c>
      <c r="K5" s="80"/>
      <c r="L5" s="80">
        <v>33</v>
      </c>
      <c r="M5" s="80">
        <v>110</v>
      </c>
      <c r="N5" s="80">
        <v>550</v>
      </c>
      <c r="O5" s="70" t="s">
        <v>53</v>
      </c>
    </row>
    <row r="6" spans="1:15" s="157" customFormat="1" ht="39" customHeight="1">
      <c r="A6" s="86" t="s">
        <v>30</v>
      </c>
      <c r="B6" s="153"/>
      <c r="C6" s="154">
        <v>125</v>
      </c>
      <c r="D6" s="154">
        <v>10000</v>
      </c>
      <c r="E6" s="331">
        <v>1.4999999999999999E-2</v>
      </c>
      <c r="F6" s="332"/>
      <c r="G6" s="155"/>
      <c r="H6" s="155"/>
      <c r="I6" s="153"/>
      <c r="J6" s="154">
        <v>10</v>
      </c>
      <c r="K6" s="154"/>
      <c r="L6" s="154">
        <v>33</v>
      </c>
      <c r="M6" s="154">
        <v>110</v>
      </c>
      <c r="N6" s="154">
        <v>550</v>
      </c>
      <c r="O6" s="86" t="s">
        <v>53</v>
      </c>
    </row>
    <row r="7" spans="1:15" ht="39" customHeight="1">
      <c r="A7" s="70" t="s">
        <v>30</v>
      </c>
      <c r="B7" s="78"/>
      <c r="C7" s="80">
        <v>175</v>
      </c>
      <c r="D7" s="80">
        <v>15000</v>
      </c>
      <c r="E7" s="329">
        <v>1.4999999999999999E-2</v>
      </c>
      <c r="F7" s="330"/>
      <c r="G7" s="83"/>
      <c r="H7" s="83"/>
      <c r="I7" s="78"/>
      <c r="J7" s="80">
        <v>10</v>
      </c>
      <c r="K7" s="80"/>
      <c r="L7" s="80">
        <v>33</v>
      </c>
      <c r="M7" s="80">
        <v>110</v>
      </c>
      <c r="N7" s="80">
        <v>550</v>
      </c>
      <c r="O7" s="70" t="s">
        <v>53</v>
      </c>
    </row>
    <row r="8" spans="1:15" s="157" customFormat="1" ht="39" customHeight="1">
      <c r="A8" s="158" t="s">
        <v>30</v>
      </c>
      <c r="B8" s="159"/>
      <c r="C8" s="160">
        <v>225</v>
      </c>
      <c r="D8" s="160">
        <v>20000</v>
      </c>
      <c r="E8" s="333">
        <v>1.4999999999999999E-2</v>
      </c>
      <c r="F8" s="334"/>
      <c r="G8" s="162"/>
      <c r="H8" s="162"/>
      <c r="I8" s="159"/>
      <c r="J8" s="160">
        <v>10</v>
      </c>
      <c r="K8" s="160"/>
      <c r="L8" s="160">
        <v>33</v>
      </c>
      <c r="M8" s="160">
        <v>110</v>
      </c>
      <c r="N8" s="160">
        <v>550</v>
      </c>
      <c r="O8" s="158" t="s">
        <v>53</v>
      </c>
    </row>
    <row r="9" spans="1:15" ht="39" customHeight="1">
      <c r="A9" s="70" t="s">
        <v>31</v>
      </c>
      <c r="B9" s="78"/>
      <c r="C9" s="80">
        <v>55</v>
      </c>
      <c r="D9" s="80">
        <v>3500</v>
      </c>
      <c r="E9" s="335">
        <v>1.4999999999999999E-2</v>
      </c>
      <c r="F9" s="336"/>
      <c r="G9" s="83"/>
      <c r="H9" s="83"/>
      <c r="I9" s="78"/>
      <c r="J9" s="80">
        <v>10</v>
      </c>
      <c r="K9" s="80"/>
      <c r="L9" s="80">
        <v>33</v>
      </c>
      <c r="M9" s="80">
        <v>110</v>
      </c>
      <c r="N9" s="80">
        <v>550</v>
      </c>
      <c r="O9" s="70" t="s">
        <v>78</v>
      </c>
    </row>
    <row r="10" spans="1:15" s="157" customFormat="1" ht="39" customHeight="1">
      <c r="A10" s="86" t="s">
        <v>31</v>
      </c>
      <c r="B10" s="153"/>
      <c r="C10" s="154">
        <v>85</v>
      </c>
      <c r="D10" s="154">
        <v>6000</v>
      </c>
      <c r="E10" s="331">
        <v>1.4999999999999999E-2</v>
      </c>
      <c r="F10" s="332"/>
      <c r="G10" s="155"/>
      <c r="H10" s="155"/>
      <c r="I10" s="153"/>
      <c r="J10" s="154">
        <v>10</v>
      </c>
      <c r="K10" s="154"/>
      <c r="L10" s="154">
        <v>33</v>
      </c>
      <c r="M10" s="154">
        <v>110</v>
      </c>
      <c r="N10" s="154">
        <v>550</v>
      </c>
      <c r="O10" s="86" t="s">
        <v>78</v>
      </c>
    </row>
    <row r="11" spans="1:15" ht="39" customHeight="1">
      <c r="A11" s="70" t="s">
        <v>31</v>
      </c>
      <c r="B11" s="78"/>
      <c r="C11" s="80">
        <v>125</v>
      </c>
      <c r="D11" s="80">
        <v>10000</v>
      </c>
      <c r="E11" s="329">
        <v>1.4999999999999999E-2</v>
      </c>
      <c r="F11" s="330"/>
      <c r="G11" s="83"/>
      <c r="H11" s="83"/>
      <c r="I11" s="78"/>
      <c r="J11" s="80">
        <v>10</v>
      </c>
      <c r="K11" s="80"/>
      <c r="L11" s="80">
        <v>33</v>
      </c>
      <c r="M11" s="80">
        <v>110</v>
      </c>
      <c r="N11" s="80">
        <v>550</v>
      </c>
      <c r="O11" s="70" t="s">
        <v>78</v>
      </c>
    </row>
    <row r="12" spans="1:15" s="157" customFormat="1" ht="39" customHeight="1">
      <c r="A12" s="86" t="s">
        <v>31</v>
      </c>
      <c r="B12" s="153"/>
      <c r="C12" s="154">
        <v>175</v>
      </c>
      <c r="D12" s="154">
        <v>15000</v>
      </c>
      <c r="E12" s="331">
        <v>1.4999999999999999E-2</v>
      </c>
      <c r="F12" s="332"/>
      <c r="G12" s="155"/>
      <c r="H12" s="155"/>
      <c r="I12" s="153"/>
      <c r="J12" s="154">
        <v>10</v>
      </c>
      <c r="K12" s="154"/>
      <c r="L12" s="154">
        <v>33</v>
      </c>
      <c r="M12" s="154">
        <v>110</v>
      </c>
      <c r="N12" s="154">
        <v>550</v>
      </c>
      <c r="O12" s="86" t="s">
        <v>78</v>
      </c>
    </row>
    <row r="13" spans="1:15" ht="39" customHeight="1">
      <c r="A13" s="88" t="s">
        <v>31</v>
      </c>
      <c r="B13" s="89"/>
      <c r="C13" s="90">
        <v>225</v>
      </c>
      <c r="D13" s="90">
        <v>20000</v>
      </c>
      <c r="E13" s="337">
        <v>1.4999999999999999E-2</v>
      </c>
      <c r="F13" s="338"/>
      <c r="G13" s="92"/>
      <c r="H13" s="92"/>
      <c r="I13" s="89"/>
      <c r="J13" s="90">
        <v>10</v>
      </c>
      <c r="K13" s="90"/>
      <c r="L13" s="90">
        <v>33</v>
      </c>
      <c r="M13" s="90">
        <v>110</v>
      </c>
      <c r="N13" s="90">
        <v>550</v>
      </c>
      <c r="O13" s="88" t="s">
        <v>78</v>
      </c>
    </row>
    <row r="14" spans="1:15" s="157" customFormat="1" ht="39" customHeight="1">
      <c r="A14" s="164" t="s">
        <v>26</v>
      </c>
      <c r="B14" s="165"/>
      <c r="C14" s="166">
        <v>60</v>
      </c>
      <c r="D14" s="166">
        <v>3000</v>
      </c>
      <c r="E14" s="327">
        <v>1.4999999999999999E-2</v>
      </c>
      <c r="F14" s="328"/>
      <c r="G14" s="167"/>
      <c r="H14" s="167"/>
      <c r="I14" s="165"/>
      <c r="J14" s="166">
        <v>0</v>
      </c>
      <c r="K14" s="166"/>
      <c r="L14" s="166"/>
      <c r="M14" s="166"/>
      <c r="N14" s="166"/>
      <c r="O14" s="164" t="s">
        <v>81</v>
      </c>
    </row>
    <row r="15" spans="1:15" ht="39" customHeight="1">
      <c r="A15" s="70" t="s">
        <v>26</v>
      </c>
      <c r="B15" s="78"/>
      <c r="C15" s="80">
        <v>90</v>
      </c>
      <c r="D15" s="80">
        <v>6000</v>
      </c>
      <c r="E15" s="329">
        <v>1.4999999999999999E-2</v>
      </c>
      <c r="F15" s="330"/>
      <c r="G15" s="83"/>
      <c r="H15" s="83"/>
      <c r="I15" s="78"/>
      <c r="J15" s="80">
        <v>0</v>
      </c>
      <c r="K15" s="80"/>
      <c r="L15" s="80"/>
      <c r="M15" s="80"/>
      <c r="N15" s="80"/>
      <c r="O15" s="70" t="s">
        <v>82</v>
      </c>
    </row>
    <row r="16" spans="1:15" s="157" customFormat="1" ht="39" customHeight="1">
      <c r="A16" s="86" t="s">
        <v>26</v>
      </c>
      <c r="B16" s="153"/>
      <c r="C16" s="154">
        <v>120</v>
      </c>
      <c r="D16" s="154">
        <v>9000</v>
      </c>
      <c r="E16" s="331">
        <v>1.4999999999999999E-2</v>
      </c>
      <c r="F16" s="332"/>
      <c r="G16" s="155"/>
      <c r="H16" s="155"/>
      <c r="I16" s="153"/>
      <c r="J16" s="154">
        <v>0</v>
      </c>
      <c r="K16" s="154"/>
      <c r="L16" s="154"/>
      <c r="M16" s="154"/>
      <c r="N16" s="154"/>
      <c r="O16" s="86" t="s">
        <v>81</v>
      </c>
    </row>
    <row r="17" spans="1:15" ht="39" customHeight="1">
      <c r="A17" s="88" t="s">
        <v>26</v>
      </c>
      <c r="B17" s="89"/>
      <c r="C17" s="90">
        <v>150</v>
      </c>
      <c r="D17" s="90">
        <v>12000</v>
      </c>
      <c r="E17" s="337">
        <v>1.4999999999999999E-2</v>
      </c>
      <c r="F17" s="338"/>
      <c r="G17" s="92"/>
      <c r="H17" s="92"/>
      <c r="I17" s="89"/>
      <c r="J17" s="90">
        <v>0</v>
      </c>
      <c r="K17" s="90"/>
      <c r="L17" s="90"/>
      <c r="M17" s="90"/>
      <c r="N17" s="90"/>
      <c r="O17" s="88" t="s">
        <v>82</v>
      </c>
    </row>
    <row r="18" spans="1:15" s="157" customFormat="1" ht="39" customHeight="1">
      <c r="A18" s="158" t="s">
        <v>6</v>
      </c>
      <c r="B18" s="159"/>
      <c r="C18" s="160">
        <f>30*1.1</f>
        <v>33</v>
      </c>
      <c r="D18" s="160"/>
      <c r="E18" s="169">
        <f>0.25*1.1</f>
        <v>0.27500000000000002</v>
      </c>
      <c r="F18" s="161">
        <f>1.25%*1.1</f>
        <v>1.3750000000000002E-2</v>
      </c>
      <c r="G18" s="162"/>
      <c r="H18" s="162"/>
      <c r="I18" s="159"/>
      <c r="J18" s="160">
        <v>0</v>
      </c>
      <c r="K18" s="160"/>
      <c r="L18" s="160">
        <f>20*1.1</f>
        <v>22</v>
      </c>
      <c r="M18" s="160">
        <f>150*1.1</f>
        <v>165</v>
      </c>
      <c r="N18" s="160">
        <f>500*1.1</f>
        <v>550</v>
      </c>
      <c r="O18" s="158" t="s">
        <v>79</v>
      </c>
    </row>
    <row r="19" spans="1:15" ht="39" customHeight="1">
      <c r="A19" s="95" t="s">
        <v>1</v>
      </c>
      <c r="B19" s="96"/>
      <c r="C19" s="97">
        <v>60</v>
      </c>
      <c r="D19" s="97">
        <v>3000</v>
      </c>
      <c r="E19" s="335">
        <v>1.4999999999999999E-2</v>
      </c>
      <c r="F19" s="336"/>
      <c r="G19" s="98"/>
      <c r="H19" s="98"/>
      <c r="I19" s="96"/>
      <c r="J19" s="97">
        <v>0</v>
      </c>
      <c r="K19" s="99">
        <v>29.5</v>
      </c>
      <c r="L19" s="97">
        <v>30</v>
      </c>
      <c r="M19" s="97">
        <v>110</v>
      </c>
      <c r="N19" s="97">
        <v>1500</v>
      </c>
      <c r="O19" s="95" t="s">
        <v>51</v>
      </c>
    </row>
    <row r="20" spans="1:15" s="157" customFormat="1" ht="39" customHeight="1">
      <c r="A20" s="86" t="s">
        <v>1</v>
      </c>
      <c r="B20" s="153"/>
      <c r="C20" s="154">
        <v>90</v>
      </c>
      <c r="D20" s="154">
        <v>6000</v>
      </c>
      <c r="E20" s="331">
        <v>1.4999999999999999E-2</v>
      </c>
      <c r="F20" s="332"/>
      <c r="G20" s="155"/>
      <c r="H20" s="155"/>
      <c r="I20" s="86"/>
      <c r="J20" s="198">
        <v>0</v>
      </c>
      <c r="K20" s="199">
        <v>29.5</v>
      </c>
      <c r="L20" s="154">
        <v>30</v>
      </c>
      <c r="M20" s="154">
        <v>110</v>
      </c>
      <c r="N20" s="154">
        <v>1500</v>
      </c>
      <c r="O20" s="86" t="s">
        <v>51</v>
      </c>
    </row>
    <row r="21" spans="1:15" ht="39" customHeight="1">
      <c r="A21" s="70" t="s">
        <v>1</v>
      </c>
      <c r="B21" s="78"/>
      <c r="C21" s="80">
        <v>120</v>
      </c>
      <c r="D21" s="80">
        <v>9000</v>
      </c>
      <c r="E21" s="329">
        <v>1.4999999999999999E-2</v>
      </c>
      <c r="F21" s="330"/>
      <c r="G21" s="83"/>
      <c r="H21" s="83"/>
      <c r="I21" s="78"/>
      <c r="J21" s="80">
        <v>0</v>
      </c>
      <c r="K21" s="82">
        <v>29.5</v>
      </c>
      <c r="L21" s="80">
        <v>30</v>
      </c>
      <c r="M21" s="80">
        <v>110</v>
      </c>
      <c r="N21" s="80">
        <v>1500</v>
      </c>
      <c r="O21" s="70" t="s">
        <v>51</v>
      </c>
    </row>
    <row r="22" spans="1:15" s="157" customFormat="1" ht="39" customHeight="1">
      <c r="A22" s="158" t="s">
        <v>1</v>
      </c>
      <c r="B22" s="159"/>
      <c r="C22" s="160">
        <v>150</v>
      </c>
      <c r="D22" s="160">
        <v>12000</v>
      </c>
      <c r="E22" s="333">
        <v>1.4999999999999999E-2</v>
      </c>
      <c r="F22" s="334"/>
      <c r="G22" s="162"/>
      <c r="H22" s="162"/>
      <c r="I22" s="159"/>
      <c r="J22" s="154">
        <v>0</v>
      </c>
      <c r="K22" s="163">
        <v>29.5</v>
      </c>
      <c r="L22" s="160">
        <v>30</v>
      </c>
      <c r="M22" s="160">
        <v>110</v>
      </c>
      <c r="N22" s="160">
        <v>1500</v>
      </c>
      <c r="O22" s="158" t="s">
        <v>51</v>
      </c>
    </row>
    <row r="23" spans="1:15" ht="39" customHeight="1">
      <c r="A23" s="95" t="s">
        <v>24</v>
      </c>
      <c r="B23" s="96"/>
      <c r="C23" s="97">
        <v>45</v>
      </c>
      <c r="D23" s="97">
        <v>2500</v>
      </c>
      <c r="E23" s="339">
        <v>1.7500000000000002E-2</v>
      </c>
      <c r="F23" s="340"/>
      <c r="G23" s="98"/>
      <c r="H23" s="98"/>
      <c r="I23" s="96"/>
      <c r="J23" s="97">
        <v>0</v>
      </c>
      <c r="K23" s="97">
        <v>20</v>
      </c>
      <c r="L23" s="100" t="s">
        <v>58</v>
      </c>
      <c r="M23" s="97"/>
      <c r="N23" s="212"/>
      <c r="O23" s="214" t="s">
        <v>117</v>
      </c>
    </row>
    <row r="24" spans="1:15" s="157" customFormat="1" ht="39" customHeight="1">
      <c r="A24" s="86" t="s">
        <v>24</v>
      </c>
      <c r="B24" s="153"/>
      <c r="C24" s="154">
        <v>65</v>
      </c>
      <c r="D24" s="154">
        <v>4500</v>
      </c>
      <c r="E24" s="341">
        <v>1.7500000000000002E-2</v>
      </c>
      <c r="F24" s="342"/>
      <c r="G24" s="155"/>
      <c r="H24" s="155"/>
      <c r="I24" s="86"/>
      <c r="J24" s="198">
        <v>0</v>
      </c>
      <c r="K24" s="201">
        <v>20</v>
      </c>
      <c r="L24" s="170" t="s">
        <v>58</v>
      </c>
      <c r="M24" s="154"/>
      <c r="N24" s="197"/>
      <c r="O24" s="203" t="s">
        <v>117</v>
      </c>
    </row>
    <row r="25" spans="1:15" ht="39" customHeight="1">
      <c r="A25" s="70" t="s">
        <v>24</v>
      </c>
      <c r="B25" s="78"/>
      <c r="C25" s="80">
        <v>95</v>
      </c>
      <c r="D25" s="80">
        <v>8000</v>
      </c>
      <c r="E25" s="343">
        <v>1.7500000000000002E-2</v>
      </c>
      <c r="F25" s="344"/>
      <c r="G25" s="83"/>
      <c r="H25" s="83"/>
      <c r="I25" s="70"/>
      <c r="J25" s="200">
        <v>0</v>
      </c>
      <c r="K25" s="202">
        <v>20</v>
      </c>
      <c r="L25" s="84" t="s">
        <v>58</v>
      </c>
      <c r="M25" s="80"/>
      <c r="N25" s="211"/>
      <c r="O25" s="215" t="s">
        <v>117</v>
      </c>
    </row>
    <row r="26" spans="1:15" s="157" customFormat="1" ht="39" customHeight="1">
      <c r="A26" s="86" t="s">
        <v>24</v>
      </c>
      <c r="B26" s="153"/>
      <c r="C26" s="154">
        <v>125</v>
      </c>
      <c r="D26" s="154">
        <v>10500</v>
      </c>
      <c r="E26" s="341">
        <v>1.7500000000000002E-2</v>
      </c>
      <c r="F26" s="342"/>
      <c r="G26" s="155"/>
      <c r="H26" s="155"/>
      <c r="I26" s="86"/>
      <c r="J26" s="198">
        <v>0</v>
      </c>
      <c r="K26" s="201">
        <v>20</v>
      </c>
      <c r="L26" s="170" t="s">
        <v>58</v>
      </c>
      <c r="M26" s="154"/>
      <c r="N26" s="197"/>
      <c r="O26" s="203" t="s">
        <v>117</v>
      </c>
    </row>
    <row r="27" spans="1:15" ht="39" customHeight="1">
      <c r="A27" s="88" t="s">
        <v>24</v>
      </c>
      <c r="B27" s="89"/>
      <c r="C27" s="90">
        <v>170</v>
      </c>
      <c r="D27" s="90">
        <v>14500</v>
      </c>
      <c r="E27" s="337">
        <v>1.7500000000000002E-2</v>
      </c>
      <c r="F27" s="338"/>
      <c r="G27" s="92"/>
      <c r="H27" s="92"/>
      <c r="I27" s="89"/>
      <c r="J27" s="80">
        <v>0</v>
      </c>
      <c r="K27" s="90">
        <v>20</v>
      </c>
      <c r="L27" s="94" t="s">
        <v>58</v>
      </c>
      <c r="M27" s="90"/>
      <c r="N27" s="213"/>
      <c r="O27" s="216" t="s">
        <v>117</v>
      </c>
    </row>
    <row r="28" spans="1:15" s="157" customFormat="1" ht="39" customHeight="1">
      <c r="A28" s="86" t="s">
        <v>9</v>
      </c>
      <c r="B28" s="153"/>
      <c r="C28" s="154">
        <v>40</v>
      </c>
      <c r="D28" s="154">
        <v>1500</v>
      </c>
      <c r="E28" s="327">
        <v>1.4999999999999999E-2</v>
      </c>
      <c r="F28" s="328"/>
      <c r="G28" s="155"/>
      <c r="H28" s="155"/>
      <c r="I28" s="153"/>
      <c r="J28" s="181">
        <v>0</v>
      </c>
      <c r="K28" s="156">
        <v>17.5</v>
      </c>
      <c r="L28" s="154"/>
      <c r="M28" s="154"/>
      <c r="N28" s="154"/>
      <c r="O28" s="86" t="s">
        <v>80</v>
      </c>
    </row>
    <row r="29" spans="1:15" ht="39" customHeight="1">
      <c r="A29" s="70" t="s">
        <v>9</v>
      </c>
      <c r="B29" s="78"/>
      <c r="C29" s="80">
        <v>100</v>
      </c>
      <c r="D29" s="80">
        <v>6000</v>
      </c>
      <c r="E29" s="329">
        <v>1.4999999999999999E-2</v>
      </c>
      <c r="F29" s="330"/>
      <c r="G29" s="83"/>
      <c r="H29" s="83"/>
      <c r="I29" s="78"/>
      <c r="J29" s="80">
        <v>0</v>
      </c>
      <c r="K29" s="80">
        <v>10</v>
      </c>
      <c r="L29" s="80"/>
      <c r="M29" s="80"/>
      <c r="N29" s="80"/>
      <c r="O29" s="70" t="s">
        <v>80</v>
      </c>
    </row>
    <row r="30" spans="1:15" s="157" customFormat="1" ht="39" customHeight="1">
      <c r="A30" s="86" t="s">
        <v>9</v>
      </c>
      <c r="B30" s="153"/>
      <c r="C30" s="154">
        <v>190</v>
      </c>
      <c r="D30" s="154">
        <v>15000</v>
      </c>
      <c r="E30" s="331">
        <v>1.2E-2</v>
      </c>
      <c r="F30" s="332"/>
      <c r="G30" s="155"/>
      <c r="H30" s="155"/>
      <c r="I30" s="153"/>
      <c r="J30" s="154">
        <v>0</v>
      </c>
      <c r="K30" s="154">
        <v>10</v>
      </c>
      <c r="L30" s="154"/>
      <c r="M30" s="154"/>
      <c r="N30" s="154"/>
      <c r="O30" s="86" t="s">
        <v>80</v>
      </c>
    </row>
    <row r="31" spans="1:15" ht="39" customHeight="1">
      <c r="A31" s="70" t="s">
        <v>9</v>
      </c>
      <c r="B31" s="78"/>
      <c r="C31" s="80">
        <v>240</v>
      </c>
      <c r="D31" s="80">
        <v>20000</v>
      </c>
      <c r="E31" s="329">
        <v>1.15E-2</v>
      </c>
      <c r="F31" s="330"/>
      <c r="G31" s="83"/>
      <c r="H31" s="83"/>
      <c r="I31" s="78"/>
      <c r="J31" s="80">
        <v>0</v>
      </c>
      <c r="K31" s="80">
        <v>10</v>
      </c>
      <c r="L31" s="80"/>
      <c r="M31" s="80"/>
      <c r="N31" s="80"/>
      <c r="O31" s="70" t="s">
        <v>80</v>
      </c>
    </row>
    <row r="32" spans="1:15" s="157" customFormat="1" ht="39" customHeight="1">
      <c r="A32" s="158" t="s">
        <v>9</v>
      </c>
      <c r="B32" s="159"/>
      <c r="C32" s="160">
        <v>310</v>
      </c>
      <c r="D32" s="160">
        <v>30000</v>
      </c>
      <c r="E32" s="333">
        <v>0.01</v>
      </c>
      <c r="F32" s="334"/>
      <c r="G32" s="162"/>
      <c r="H32" s="162"/>
      <c r="I32" s="159"/>
      <c r="J32" s="160">
        <v>0</v>
      </c>
      <c r="K32" s="160">
        <v>10</v>
      </c>
      <c r="L32" s="160"/>
      <c r="M32" s="160"/>
      <c r="N32" s="160"/>
      <c r="O32" s="158" t="s">
        <v>80</v>
      </c>
    </row>
    <row r="33" spans="1:15" ht="39" customHeight="1">
      <c r="A33" s="88" t="s">
        <v>122</v>
      </c>
      <c r="B33" s="89"/>
      <c r="C33" s="90">
        <f>26.36*1.1</f>
        <v>28.996000000000002</v>
      </c>
      <c r="D33" s="90"/>
      <c r="E33" s="93">
        <f>0.32*1.1</f>
        <v>0.35200000000000004</v>
      </c>
      <c r="F33" s="91">
        <f>1.6%*1.1</f>
        <v>1.7600000000000001E-2</v>
      </c>
      <c r="G33" s="91">
        <f>1.6%*1.1</f>
        <v>1.7600000000000001E-2</v>
      </c>
      <c r="H33" s="91">
        <f>1.6%*1.1</f>
        <v>1.7600000000000001E-2</v>
      </c>
      <c r="I33" s="89"/>
      <c r="J33" s="90">
        <v>0</v>
      </c>
      <c r="K33" s="90"/>
      <c r="L33" s="90"/>
      <c r="M33" s="90"/>
      <c r="N33" s="90"/>
      <c r="O33" s="88" t="s">
        <v>89</v>
      </c>
    </row>
    <row r="34" spans="1:15" s="157" customFormat="1" ht="39" customHeight="1">
      <c r="A34" s="158" t="s">
        <v>12</v>
      </c>
      <c r="B34" s="159"/>
      <c r="C34" s="160">
        <v>39</v>
      </c>
      <c r="D34" s="160"/>
      <c r="E34" s="163">
        <v>0.25</v>
      </c>
      <c r="F34" s="161">
        <v>1.2500000000000001E-2</v>
      </c>
      <c r="G34" s="162"/>
      <c r="H34" s="162"/>
      <c r="I34" s="159"/>
      <c r="J34" s="160">
        <v>0</v>
      </c>
      <c r="K34" s="160"/>
      <c r="L34" s="160"/>
      <c r="M34" s="160"/>
      <c r="N34" s="160"/>
      <c r="O34" s="158" t="s">
        <v>76</v>
      </c>
    </row>
    <row r="35" spans="1:15" ht="39" customHeight="1">
      <c r="A35" s="70" t="s">
        <v>2</v>
      </c>
      <c r="B35" s="78"/>
      <c r="C35" s="80">
        <v>40</v>
      </c>
      <c r="D35" s="80">
        <v>1500</v>
      </c>
      <c r="E35" s="335">
        <v>1.4999999999999999E-2</v>
      </c>
      <c r="F35" s="336"/>
      <c r="G35" s="78"/>
      <c r="H35" s="78"/>
      <c r="I35" s="78"/>
      <c r="J35" s="80">
        <v>0</v>
      </c>
      <c r="K35" s="82">
        <v>17.5</v>
      </c>
      <c r="L35" s="78"/>
      <c r="M35" s="80"/>
      <c r="N35" s="78"/>
      <c r="O35" s="70" t="s">
        <v>66</v>
      </c>
    </row>
    <row r="36" spans="1:15" s="157" customFormat="1" ht="39" customHeight="1">
      <c r="A36" s="86" t="s">
        <v>2</v>
      </c>
      <c r="B36" s="153"/>
      <c r="C36" s="154">
        <v>100</v>
      </c>
      <c r="D36" s="154">
        <v>6000</v>
      </c>
      <c r="E36" s="331">
        <v>1.4999999999999999E-2</v>
      </c>
      <c r="F36" s="332"/>
      <c r="G36" s="153"/>
      <c r="H36" s="153"/>
      <c r="I36" s="153"/>
      <c r="J36" s="154">
        <v>0</v>
      </c>
      <c r="K36" s="154">
        <v>10</v>
      </c>
      <c r="L36" s="153"/>
      <c r="M36" s="154"/>
      <c r="N36" s="153"/>
      <c r="O36" s="86" t="s">
        <v>66</v>
      </c>
    </row>
    <row r="37" spans="1:15" ht="39" customHeight="1">
      <c r="A37" s="70" t="s">
        <v>2</v>
      </c>
      <c r="B37" s="78"/>
      <c r="C37" s="80">
        <v>190</v>
      </c>
      <c r="D37" s="80">
        <v>15000</v>
      </c>
      <c r="E37" s="329">
        <v>1.2E-2</v>
      </c>
      <c r="F37" s="330"/>
      <c r="G37" s="78"/>
      <c r="H37" s="78"/>
      <c r="I37" s="78"/>
      <c r="J37" s="80">
        <v>0</v>
      </c>
      <c r="K37" s="80">
        <v>10</v>
      </c>
      <c r="L37" s="78"/>
      <c r="M37" s="80"/>
      <c r="N37" s="78"/>
      <c r="O37" s="70" t="s">
        <v>66</v>
      </c>
    </row>
    <row r="38" spans="1:15" s="157" customFormat="1" ht="39" customHeight="1">
      <c r="A38" s="86" t="s">
        <v>2</v>
      </c>
      <c r="B38" s="153"/>
      <c r="C38" s="154">
        <v>240</v>
      </c>
      <c r="D38" s="154">
        <v>20000</v>
      </c>
      <c r="E38" s="331">
        <v>1.15E-2</v>
      </c>
      <c r="F38" s="332"/>
      <c r="G38" s="153"/>
      <c r="H38" s="153"/>
      <c r="I38" s="153"/>
      <c r="J38" s="154">
        <v>0</v>
      </c>
      <c r="K38" s="154">
        <v>10</v>
      </c>
      <c r="L38" s="153"/>
      <c r="M38" s="154"/>
      <c r="N38" s="153"/>
      <c r="O38" s="86" t="s">
        <v>66</v>
      </c>
    </row>
    <row r="39" spans="1:15" ht="39" customHeight="1">
      <c r="A39" s="70" t="s">
        <v>2</v>
      </c>
      <c r="B39" s="89"/>
      <c r="C39" s="90">
        <v>310</v>
      </c>
      <c r="D39" s="90">
        <v>30000</v>
      </c>
      <c r="E39" s="337">
        <v>0.01</v>
      </c>
      <c r="F39" s="338"/>
      <c r="G39" s="89"/>
      <c r="H39" s="89"/>
      <c r="I39" s="89"/>
      <c r="J39" s="80">
        <v>0</v>
      </c>
      <c r="K39" s="90">
        <v>10</v>
      </c>
      <c r="L39" s="89"/>
      <c r="M39" s="90"/>
      <c r="N39" s="89"/>
      <c r="O39" s="88" t="s">
        <v>66</v>
      </c>
    </row>
    <row r="40" spans="1:15" s="157" customFormat="1" ht="39" customHeight="1">
      <c r="A40" s="164" t="s">
        <v>2</v>
      </c>
      <c r="B40" s="165"/>
      <c r="C40" s="166">
        <v>40</v>
      </c>
      <c r="D40" s="166">
        <v>1200</v>
      </c>
      <c r="E40" s="327">
        <v>1.9E-2</v>
      </c>
      <c r="F40" s="328"/>
      <c r="G40" s="165"/>
      <c r="H40" s="165"/>
      <c r="I40" s="165"/>
      <c r="J40" s="181">
        <v>0</v>
      </c>
      <c r="K40" s="168">
        <v>17.5</v>
      </c>
      <c r="L40" s="165"/>
      <c r="M40" s="166"/>
      <c r="N40" s="165"/>
      <c r="O40" s="164" t="s">
        <v>66</v>
      </c>
    </row>
    <row r="41" spans="1:15" ht="39" customHeight="1">
      <c r="A41" s="70" t="s">
        <v>2</v>
      </c>
      <c r="B41" s="78"/>
      <c r="C41" s="80">
        <v>100</v>
      </c>
      <c r="D41" s="80">
        <v>4750</v>
      </c>
      <c r="E41" s="329">
        <v>1.9E-2</v>
      </c>
      <c r="F41" s="330"/>
      <c r="G41" s="78"/>
      <c r="H41" s="78"/>
      <c r="I41" s="78"/>
      <c r="J41" s="80">
        <v>0</v>
      </c>
      <c r="K41" s="80">
        <v>10</v>
      </c>
      <c r="L41" s="78"/>
      <c r="M41" s="80"/>
      <c r="N41" s="78"/>
      <c r="O41" s="70" t="s">
        <v>66</v>
      </c>
    </row>
    <row r="42" spans="1:15" s="157" customFormat="1" ht="39" customHeight="1">
      <c r="A42" s="86" t="s">
        <v>2</v>
      </c>
      <c r="B42" s="153"/>
      <c r="C42" s="154">
        <v>190</v>
      </c>
      <c r="D42" s="154">
        <v>12000</v>
      </c>
      <c r="E42" s="331">
        <v>1.4999999999999999E-2</v>
      </c>
      <c r="F42" s="332"/>
      <c r="G42" s="153"/>
      <c r="H42" s="153"/>
      <c r="I42" s="153"/>
      <c r="J42" s="154">
        <v>0</v>
      </c>
      <c r="K42" s="154">
        <v>10</v>
      </c>
      <c r="L42" s="153"/>
      <c r="M42" s="154"/>
      <c r="N42" s="153"/>
      <c r="O42" s="86" t="s">
        <v>66</v>
      </c>
    </row>
    <row r="43" spans="1:15" ht="39" customHeight="1">
      <c r="A43" s="70" t="s">
        <v>2</v>
      </c>
      <c r="B43" s="78"/>
      <c r="C43" s="80">
        <v>240</v>
      </c>
      <c r="D43" s="80">
        <v>15862</v>
      </c>
      <c r="E43" s="329">
        <v>1.4500000000000001E-2</v>
      </c>
      <c r="F43" s="330"/>
      <c r="G43" s="78"/>
      <c r="H43" s="78"/>
      <c r="I43" s="78"/>
      <c r="J43" s="80">
        <v>0</v>
      </c>
      <c r="K43" s="80">
        <v>10</v>
      </c>
      <c r="L43" s="78"/>
      <c r="M43" s="80"/>
      <c r="N43" s="78"/>
      <c r="O43" s="70" t="s">
        <v>66</v>
      </c>
    </row>
    <row r="44" spans="1:15" s="157" customFormat="1" ht="39" customHeight="1">
      <c r="A44" s="86" t="s">
        <v>2</v>
      </c>
      <c r="B44" s="159"/>
      <c r="C44" s="160">
        <v>310</v>
      </c>
      <c r="D44" s="160">
        <v>25000</v>
      </c>
      <c r="E44" s="333">
        <v>1.2E-2</v>
      </c>
      <c r="F44" s="334"/>
      <c r="G44" s="159"/>
      <c r="H44" s="159"/>
      <c r="I44" s="159"/>
      <c r="J44" s="154">
        <v>0</v>
      </c>
      <c r="K44" s="160">
        <v>10</v>
      </c>
      <c r="L44" s="159"/>
      <c r="M44" s="160"/>
      <c r="N44" s="159"/>
      <c r="O44" s="158" t="s">
        <v>66</v>
      </c>
    </row>
    <row r="45" spans="1:15" ht="39" customHeight="1">
      <c r="A45" s="95" t="s">
        <v>7</v>
      </c>
      <c r="B45" s="96"/>
      <c r="C45" s="97">
        <v>55</v>
      </c>
      <c r="D45" s="97">
        <v>3500</v>
      </c>
      <c r="E45" s="335">
        <v>1.4999999999999999E-2</v>
      </c>
      <c r="F45" s="336"/>
      <c r="G45" s="98"/>
      <c r="H45" s="98"/>
      <c r="I45" s="96"/>
      <c r="J45" s="97">
        <v>10</v>
      </c>
      <c r="K45" s="97"/>
      <c r="L45" s="97">
        <v>33</v>
      </c>
      <c r="M45" s="97">
        <v>110</v>
      </c>
      <c r="N45" s="97">
        <v>550</v>
      </c>
      <c r="O45" s="95" t="s">
        <v>55</v>
      </c>
    </row>
    <row r="46" spans="1:15" s="157" customFormat="1" ht="39" customHeight="1">
      <c r="A46" s="86" t="s">
        <v>7</v>
      </c>
      <c r="B46" s="153"/>
      <c r="C46" s="154">
        <v>85</v>
      </c>
      <c r="D46" s="154">
        <v>6000</v>
      </c>
      <c r="E46" s="331">
        <v>1.4999999999999999E-2</v>
      </c>
      <c r="F46" s="332"/>
      <c r="G46" s="155"/>
      <c r="H46" s="155"/>
      <c r="I46" s="203"/>
      <c r="J46" s="197">
        <v>10</v>
      </c>
      <c r="K46" s="201"/>
      <c r="L46" s="154">
        <v>33</v>
      </c>
      <c r="M46" s="154">
        <v>110</v>
      </c>
      <c r="N46" s="154">
        <v>550</v>
      </c>
      <c r="O46" s="86" t="s">
        <v>55</v>
      </c>
    </row>
    <row r="47" spans="1:15" ht="39" customHeight="1">
      <c r="A47" s="70" t="s">
        <v>7</v>
      </c>
      <c r="B47" s="78"/>
      <c r="C47" s="80">
        <v>125</v>
      </c>
      <c r="D47" s="80">
        <v>10000</v>
      </c>
      <c r="E47" s="329">
        <v>1.4999999999999999E-2</v>
      </c>
      <c r="F47" s="330"/>
      <c r="G47" s="83"/>
      <c r="H47" s="83"/>
      <c r="I47" s="78"/>
      <c r="J47" s="80">
        <v>10</v>
      </c>
      <c r="K47" s="80"/>
      <c r="L47" s="80">
        <v>33</v>
      </c>
      <c r="M47" s="80">
        <v>110</v>
      </c>
      <c r="N47" s="80">
        <v>550</v>
      </c>
      <c r="O47" s="70" t="s">
        <v>55</v>
      </c>
    </row>
    <row r="48" spans="1:15" s="157" customFormat="1" ht="39" customHeight="1">
      <c r="A48" s="86" t="s">
        <v>7</v>
      </c>
      <c r="B48" s="153"/>
      <c r="C48" s="154">
        <v>175</v>
      </c>
      <c r="D48" s="154">
        <v>15000</v>
      </c>
      <c r="E48" s="331">
        <v>1.4999999999999999E-2</v>
      </c>
      <c r="F48" s="332"/>
      <c r="G48" s="155"/>
      <c r="H48" s="155"/>
      <c r="I48" s="86"/>
      <c r="J48" s="201">
        <v>10</v>
      </c>
      <c r="K48" s="201"/>
      <c r="L48" s="154">
        <v>33</v>
      </c>
      <c r="M48" s="154">
        <v>110</v>
      </c>
      <c r="N48" s="154">
        <v>550</v>
      </c>
      <c r="O48" s="86" t="s">
        <v>55</v>
      </c>
    </row>
    <row r="49" spans="1:15" ht="39" customHeight="1">
      <c r="A49" s="88" t="s">
        <v>7</v>
      </c>
      <c r="B49" s="89"/>
      <c r="C49" s="90">
        <v>225</v>
      </c>
      <c r="D49" s="90">
        <v>20000</v>
      </c>
      <c r="E49" s="337">
        <v>1.4999999999999999E-2</v>
      </c>
      <c r="F49" s="338"/>
      <c r="G49" s="92"/>
      <c r="H49" s="92"/>
      <c r="I49" s="89"/>
      <c r="J49" s="80">
        <v>10</v>
      </c>
      <c r="K49" s="90"/>
      <c r="L49" s="90">
        <v>33</v>
      </c>
      <c r="M49" s="90">
        <v>110</v>
      </c>
      <c r="N49" s="90">
        <v>550</v>
      </c>
      <c r="O49" s="88" t="s">
        <v>55</v>
      </c>
    </row>
    <row r="50" spans="1:15" s="157" customFormat="1" ht="39" customHeight="1">
      <c r="A50" s="158" t="s">
        <v>4</v>
      </c>
      <c r="B50" s="172"/>
      <c r="C50" s="173">
        <f>39*1.1</f>
        <v>42.900000000000006</v>
      </c>
      <c r="D50" s="173"/>
      <c r="E50" s="345">
        <f>1.1%*1.1</f>
        <v>1.2100000000000001E-2</v>
      </c>
      <c r="F50" s="346"/>
      <c r="G50" s="175"/>
      <c r="H50" s="175"/>
      <c r="I50" s="172"/>
      <c r="J50" s="173">
        <v>0</v>
      </c>
      <c r="K50" s="173"/>
      <c r="L50" s="173"/>
      <c r="M50" s="176"/>
      <c r="N50" s="173"/>
      <c r="O50" s="171" t="s">
        <v>75</v>
      </c>
    </row>
    <row r="51" spans="1:15" ht="39" customHeight="1">
      <c r="A51" s="85" t="s">
        <v>3</v>
      </c>
      <c r="B51" s="78"/>
      <c r="C51" s="80">
        <v>55</v>
      </c>
      <c r="D51" s="80">
        <v>3500</v>
      </c>
      <c r="E51" s="335">
        <v>1.4999999999999999E-2</v>
      </c>
      <c r="F51" s="336"/>
      <c r="G51" s="83"/>
      <c r="H51" s="83"/>
      <c r="I51" s="78"/>
      <c r="J51" s="80">
        <v>0</v>
      </c>
      <c r="K51" s="80">
        <v>27.5</v>
      </c>
      <c r="L51" s="80">
        <v>33</v>
      </c>
      <c r="M51" s="82">
        <v>104.5</v>
      </c>
      <c r="N51" s="80">
        <v>550</v>
      </c>
      <c r="O51" s="77" t="s">
        <v>77</v>
      </c>
    </row>
    <row r="52" spans="1:15" s="157" customFormat="1" ht="39" customHeight="1">
      <c r="A52" s="177" t="s">
        <v>3</v>
      </c>
      <c r="B52" s="153"/>
      <c r="C52" s="154">
        <v>85</v>
      </c>
      <c r="D52" s="154">
        <v>6000</v>
      </c>
      <c r="E52" s="331">
        <v>1.4999999999999999E-2</v>
      </c>
      <c r="F52" s="332"/>
      <c r="G52" s="155"/>
      <c r="H52" s="155"/>
      <c r="I52" s="153"/>
      <c r="J52" s="154">
        <v>0</v>
      </c>
      <c r="K52" s="154">
        <v>27.5</v>
      </c>
      <c r="L52" s="154">
        <v>33</v>
      </c>
      <c r="M52" s="156">
        <v>104.5</v>
      </c>
      <c r="N52" s="154">
        <v>550</v>
      </c>
      <c r="O52" s="178" t="s">
        <v>77</v>
      </c>
    </row>
    <row r="53" spans="1:15" ht="39" customHeight="1">
      <c r="A53" s="85" t="s">
        <v>3</v>
      </c>
      <c r="B53" s="78"/>
      <c r="C53" s="80">
        <v>125</v>
      </c>
      <c r="D53" s="80">
        <v>10000</v>
      </c>
      <c r="E53" s="329">
        <v>1.4999999999999999E-2</v>
      </c>
      <c r="F53" s="330"/>
      <c r="G53" s="83"/>
      <c r="H53" s="83"/>
      <c r="I53" s="78"/>
      <c r="J53" s="80">
        <v>0</v>
      </c>
      <c r="K53" s="80">
        <v>27.5</v>
      </c>
      <c r="L53" s="80">
        <v>33</v>
      </c>
      <c r="M53" s="82">
        <v>104.5</v>
      </c>
      <c r="N53" s="80">
        <v>550</v>
      </c>
      <c r="O53" s="77" t="s">
        <v>77</v>
      </c>
    </row>
    <row r="54" spans="1:15" s="157" customFormat="1" ht="39" customHeight="1">
      <c r="A54" s="177" t="s">
        <v>3</v>
      </c>
      <c r="B54" s="153"/>
      <c r="C54" s="154">
        <v>175</v>
      </c>
      <c r="D54" s="154">
        <v>15000</v>
      </c>
      <c r="E54" s="331">
        <v>1.4999999999999999E-2</v>
      </c>
      <c r="F54" s="332"/>
      <c r="G54" s="155"/>
      <c r="H54" s="155"/>
      <c r="I54" s="153"/>
      <c r="J54" s="154">
        <v>0</v>
      </c>
      <c r="K54" s="154">
        <v>27.5</v>
      </c>
      <c r="L54" s="154">
        <v>33</v>
      </c>
      <c r="M54" s="156">
        <v>104.5</v>
      </c>
      <c r="N54" s="154">
        <v>550</v>
      </c>
      <c r="O54" s="178" t="s">
        <v>77</v>
      </c>
    </row>
    <row r="55" spans="1:15" ht="39" customHeight="1">
      <c r="A55" s="101" t="s">
        <v>3</v>
      </c>
      <c r="B55" s="89"/>
      <c r="C55" s="90">
        <v>225</v>
      </c>
      <c r="D55" s="90">
        <v>20000</v>
      </c>
      <c r="E55" s="337">
        <v>1.4999999999999999E-2</v>
      </c>
      <c r="F55" s="338"/>
      <c r="G55" s="92"/>
      <c r="H55" s="92"/>
      <c r="I55" s="89"/>
      <c r="J55" s="90">
        <v>0</v>
      </c>
      <c r="K55" s="90">
        <v>27.5</v>
      </c>
      <c r="L55" s="90">
        <v>33</v>
      </c>
      <c r="M55" s="93">
        <v>104.5</v>
      </c>
      <c r="N55" s="90">
        <v>550</v>
      </c>
      <c r="O55" s="102" t="s">
        <v>77</v>
      </c>
    </row>
    <row r="56" spans="1:15" s="180" customFormat="1" ht="30.75" customHeight="1">
      <c r="A56" s="186" t="s">
        <v>106</v>
      </c>
      <c r="B56" s="325"/>
      <c r="C56" s="325"/>
      <c r="D56" s="325"/>
      <c r="E56" s="325"/>
      <c r="F56" s="325"/>
      <c r="G56" s="325"/>
      <c r="H56" s="325"/>
      <c r="I56" s="325"/>
      <c r="J56" s="325"/>
      <c r="K56" s="325"/>
      <c r="L56" s="325"/>
      <c r="M56" s="325"/>
      <c r="N56" s="325"/>
      <c r="O56" s="326"/>
    </row>
    <row r="57" spans="1:15" s="76" customFormat="1" ht="39" customHeight="1">
      <c r="A57" s="88" t="s">
        <v>67</v>
      </c>
      <c r="B57" s="89"/>
      <c r="C57" s="90">
        <v>5</v>
      </c>
      <c r="D57" s="90"/>
      <c r="E57" s="93">
        <v>0.3</v>
      </c>
      <c r="F57" s="91">
        <v>2.3E-2</v>
      </c>
      <c r="G57" s="92"/>
      <c r="H57" s="92"/>
      <c r="I57" s="90">
        <v>10</v>
      </c>
      <c r="J57" s="90">
        <v>0</v>
      </c>
      <c r="K57" s="90">
        <v>5</v>
      </c>
      <c r="L57" s="90">
        <v>30</v>
      </c>
      <c r="M57" s="90">
        <v>130</v>
      </c>
      <c r="N57" s="90">
        <v>130</v>
      </c>
      <c r="O57" s="88" t="s">
        <v>73</v>
      </c>
    </row>
    <row r="58" spans="1:15" s="157" customFormat="1" ht="39" customHeight="1">
      <c r="A58" s="158" t="s">
        <v>54</v>
      </c>
      <c r="B58" s="159"/>
      <c r="C58" s="160">
        <f>12*1.1</f>
        <v>13.200000000000001</v>
      </c>
      <c r="D58" s="160"/>
      <c r="E58" s="163">
        <f>0.25*1.1</f>
        <v>0.27500000000000002</v>
      </c>
      <c r="F58" s="161">
        <f>1.9%*1.1</f>
        <v>2.0900000000000002E-2</v>
      </c>
      <c r="G58" s="162"/>
      <c r="H58" s="162"/>
      <c r="I58" s="159"/>
      <c r="J58" s="160">
        <v>0</v>
      </c>
      <c r="K58" s="160"/>
      <c r="L58" s="160">
        <v>20</v>
      </c>
      <c r="M58" s="160">
        <v>150</v>
      </c>
      <c r="N58" s="160">
        <v>495</v>
      </c>
      <c r="O58" s="158" t="s">
        <v>74</v>
      </c>
    </row>
    <row r="59" spans="1:15" ht="39" customHeight="1">
      <c r="A59" s="103" t="s">
        <v>68</v>
      </c>
      <c r="B59" s="104"/>
      <c r="C59" s="105">
        <v>30</v>
      </c>
      <c r="D59" s="105">
        <v>1500</v>
      </c>
      <c r="E59" s="349">
        <v>1.4999999999999999E-2</v>
      </c>
      <c r="F59" s="350"/>
      <c r="G59" s="108"/>
      <c r="H59" s="108"/>
      <c r="I59" s="104"/>
      <c r="J59" s="97">
        <v>0</v>
      </c>
      <c r="K59" s="105"/>
      <c r="L59" s="105">
        <v>30</v>
      </c>
      <c r="M59" s="105">
        <v>110</v>
      </c>
      <c r="N59" s="105">
        <v>250</v>
      </c>
      <c r="O59" s="204" t="s">
        <v>51</v>
      </c>
    </row>
    <row r="60" spans="1:15" s="157" customFormat="1" ht="39" customHeight="1">
      <c r="A60" s="158" t="s">
        <v>72</v>
      </c>
      <c r="B60" s="159"/>
      <c r="C60" s="160">
        <v>0</v>
      </c>
      <c r="D60" s="160"/>
      <c r="E60" s="163">
        <v>0.25</v>
      </c>
      <c r="F60" s="161">
        <v>1.6899999999999998E-2</v>
      </c>
      <c r="G60" s="162"/>
      <c r="H60" s="162"/>
      <c r="I60" s="159"/>
      <c r="J60" s="181">
        <v>0</v>
      </c>
      <c r="K60" s="160"/>
      <c r="L60" s="160"/>
      <c r="M60" s="163"/>
      <c r="N60" s="160"/>
      <c r="O60" s="158" t="s">
        <v>76</v>
      </c>
    </row>
    <row r="61" spans="1:15" ht="39" customHeight="1">
      <c r="A61" s="103" t="s">
        <v>69</v>
      </c>
      <c r="B61" s="105">
        <v>135</v>
      </c>
      <c r="C61" s="105">
        <v>10</v>
      </c>
      <c r="D61" s="105"/>
      <c r="E61" s="106">
        <v>0.3</v>
      </c>
      <c r="F61" s="107">
        <v>1.7000000000000001E-2</v>
      </c>
      <c r="G61" s="108"/>
      <c r="H61" s="108"/>
      <c r="I61" s="205">
        <v>15</v>
      </c>
      <c r="J61" s="206">
        <v>0</v>
      </c>
      <c r="K61" s="105">
        <v>135</v>
      </c>
      <c r="L61" s="105"/>
      <c r="M61" s="106"/>
      <c r="N61" s="105">
        <v>350</v>
      </c>
      <c r="O61" s="103" t="s">
        <v>118</v>
      </c>
    </row>
    <row r="62" spans="1:15" s="157" customFormat="1" ht="39" customHeight="1">
      <c r="A62" s="171" t="s">
        <v>71</v>
      </c>
      <c r="B62" s="173">
        <v>99</v>
      </c>
      <c r="C62" s="173"/>
      <c r="D62" s="173"/>
      <c r="E62" s="347">
        <v>1.95E-2</v>
      </c>
      <c r="F62" s="348"/>
      <c r="G62" s="174">
        <v>1.95E-2</v>
      </c>
      <c r="H62" s="175"/>
      <c r="I62" s="172"/>
      <c r="J62" s="160">
        <v>0</v>
      </c>
      <c r="K62" s="173"/>
      <c r="L62" s="173"/>
      <c r="M62" s="176"/>
      <c r="N62" s="173"/>
      <c r="O62" s="171" t="s">
        <v>57</v>
      </c>
    </row>
    <row r="63" spans="1:15" ht="39" customHeight="1">
      <c r="A63" s="103" t="s">
        <v>59</v>
      </c>
      <c r="B63" s="104"/>
      <c r="C63" s="105">
        <f>23*1.1</f>
        <v>25.3</v>
      </c>
      <c r="D63" s="105"/>
      <c r="E63" s="106">
        <f>0.28*1.1</f>
        <v>0.30800000000000005</v>
      </c>
      <c r="F63" s="107">
        <f>1.82%*1.1</f>
        <v>2.0020000000000003E-2</v>
      </c>
      <c r="G63" s="108"/>
      <c r="H63" s="108"/>
      <c r="I63" s="104"/>
      <c r="J63" s="105">
        <v>0</v>
      </c>
      <c r="K63" s="105"/>
      <c r="L63" s="105"/>
      <c r="M63" s="106"/>
      <c r="N63" s="105"/>
      <c r="O63" s="103" t="s">
        <v>83</v>
      </c>
    </row>
    <row r="64" spans="1:15" s="157" customFormat="1" ht="39" customHeight="1">
      <c r="A64" s="171" t="s">
        <v>5</v>
      </c>
      <c r="B64" s="173">
        <v>59</v>
      </c>
      <c r="C64" s="173"/>
      <c r="D64" s="173"/>
      <c r="E64" s="347">
        <v>1.9E-2</v>
      </c>
      <c r="F64" s="348"/>
      <c r="G64" s="179">
        <v>1.9E-2</v>
      </c>
      <c r="H64" s="175"/>
      <c r="I64" s="172"/>
      <c r="J64" s="173">
        <v>0</v>
      </c>
      <c r="K64" s="173"/>
      <c r="L64" s="173"/>
      <c r="M64" s="176"/>
      <c r="N64" s="173"/>
      <c r="O64" s="171" t="s">
        <v>84</v>
      </c>
    </row>
    <row r="65" spans="1:15" ht="39" customHeight="1">
      <c r="A65" s="103" t="s">
        <v>70</v>
      </c>
      <c r="B65" s="105">
        <v>100</v>
      </c>
      <c r="C65" s="105"/>
      <c r="D65" s="105"/>
      <c r="E65" s="106">
        <v>0.3</v>
      </c>
      <c r="F65" s="107">
        <v>2.4E-2</v>
      </c>
      <c r="G65" s="108"/>
      <c r="H65" s="108"/>
      <c r="I65" s="104"/>
      <c r="J65" s="105">
        <v>0</v>
      </c>
      <c r="K65" s="105"/>
      <c r="L65" s="105"/>
      <c r="M65" s="106"/>
      <c r="N65" s="105"/>
      <c r="O65" s="103" t="s">
        <v>56</v>
      </c>
    </row>
    <row r="66" spans="1:15" s="157" customFormat="1" ht="39" customHeight="1">
      <c r="A66" s="171" t="s">
        <v>123</v>
      </c>
      <c r="B66" s="173">
        <v>100</v>
      </c>
      <c r="C66" s="173"/>
      <c r="D66" s="173"/>
      <c r="E66" s="347">
        <v>1.95E-2</v>
      </c>
      <c r="F66" s="348"/>
      <c r="G66" s="175"/>
      <c r="H66" s="175"/>
      <c r="I66" s="172"/>
      <c r="J66" s="173">
        <v>0</v>
      </c>
      <c r="K66" s="173"/>
      <c r="L66" s="173"/>
      <c r="M66" s="176"/>
      <c r="N66" s="173"/>
      <c r="O66" s="171" t="s">
        <v>52</v>
      </c>
    </row>
    <row r="67" spans="1:15" s="157" customFormat="1" ht="39" customHeight="1">
      <c r="A67" s="244"/>
      <c r="B67" s="245"/>
      <c r="C67" s="235"/>
      <c r="D67" s="235"/>
      <c r="E67" s="234"/>
      <c r="F67" s="234"/>
      <c r="G67" s="87"/>
      <c r="H67" s="87"/>
      <c r="I67" s="233"/>
      <c r="J67" s="235"/>
      <c r="K67" s="235"/>
      <c r="L67" s="235"/>
      <c r="M67" s="236"/>
      <c r="N67" s="235"/>
      <c r="O67" s="233"/>
    </row>
    <row r="68" spans="1:15" s="157" customFormat="1" ht="38.25" customHeight="1">
      <c r="A68" s="243" t="s">
        <v>124</v>
      </c>
      <c r="B68" s="237"/>
      <c r="C68" s="237"/>
      <c r="D68" s="237"/>
      <c r="E68" s="237"/>
      <c r="F68" s="238"/>
      <c r="G68" s="239">
        <f>2.116%*1.1</f>
        <v>2.3276000000000005E-2</v>
      </c>
      <c r="H68" s="239">
        <f>2.701%*1.1</f>
        <v>2.9711000000000001E-2</v>
      </c>
      <c r="I68" s="240"/>
      <c r="J68" s="241"/>
      <c r="K68" s="241"/>
      <c r="L68" s="241"/>
      <c r="M68" s="242"/>
      <c r="N68" s="241"/>
      <c r="O68" s="240"/>
    </row>
    <row r="69" spans="1:15" hidden="1"/>
    <row r="70" spans="1:15" hidden="1"/>
    <row r="71" spans="1:15" hidden="1"/>
    <row r="72" spans="1:15" hidden="1"/>
    <row r="73" spans="1:15" hidden="1"/>
    <row r="74" spans="1:15" hidden="1"/>
    <row r="75" spans="1:15" hidden="1"/>
    <row r="76" spans="1:15" hidden="1"/>
    <row r="77" spans="1:15" hidden="1"/>
    <row r="78" spans="1:15" hidden="1"/>
    <row r="79" spans="1:15" hidden="1"/>
    <row r="80" spans="1:15"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sheetData>
  <sortState ref="A57:A65">
    <sortCondition ref="A57:A65"/>
  </sortState>
  <mergeCells count="55">
    <mergeCell ref="E62:F62"/>
    <mergeCell ref="E59:F59"/>
    <mergeCell ref="E64:F64"/>
    <mergeCell ref="E66:F66"/>
    <mergeCell ref="E51:F51"/>
    <mergeCell ref="E52:F52"/>
    <mergeCell ref="E53:F53"/>
    <mergeCell ref="E54:F54"/>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29:F29"/>
    <mergeCell ref="E30:F30"/>
    <mergeCell ref="E31:F31"/>
    <mergeCell ref="E32:F32"/>
    <mergeCell ref="E35:F35"/>
    <mergeCell ref="E24:F24"/>
    <mergeCell ref="E25:F25"/>
    <mergeCell ref="E26:F26"/>
    <mergeCell ref="E27:F27"/>
    <mergeCell ref="E28:F28"/>
    <mergeCell ref="E19:F19"/>
    <mergeCell ref="E20:F20"/>
    <mergeCell ref="E21:F21"/>
    <mergeCell ref="E22:F22"/>
    <mergeCell ref="E23:F23"/>
    <mergeCell ref="B2:O2"/>
    <mergeCell ref="B56:O56"/>
    <mergeCell ref="E4:F4"/>
    <mergeCell ref="E5:F5"/>
    <mergeCell ref="E6:F6"/>
    <mergeCell ref="E7:F7"/>
    <mergeCell ref="E8:F8"/>
    <mergeCell ref="E9:F9"/>
    <mergeCell ref="E10:F10"/>
    <mergeCell ref="E11:F11"/>
    <mergeCell ref="E12:F12"/>
    <mergeCell ref="E13:F13"/>
    <mergeCell ref="E14:F14"/>
    <mergeCell ref="E15:F15"/>
    <mergeCell ref="E16:F16"/>
    <mergeCell ref="E17:F17"/>
  </mergeCells>
  <pageMargins left="0.7" right="0.7" top="0.75" bottom="0.75" header="0.3" footer="0.3"/>
  <pageSetup paperSize="9" scale="1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workbookViewId="0"/>
  </sheetViews>
  <sheetFormatPr defaultRowHeight="1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B2:F22"/>
  <sheetViews>
    <sheetView zoomScale="85" zoomScaleNormal="85" workbookViewId="0"/>
  </sheetViews>
  <sheetFormatPr defaultColWidth="9.140625" defaultRowHeight="12"/>
  <cols>
    <col min="1" max="1" width="9.140625" style="2"/>
    <col min="2" max="2" width="45" style="2" bestFit="1" customWidth="1"/>
    <col min="3" max="3" width="16.7109375" style="2" customWidth="1"/>
    <col min="4" max="4" width="9.140625" style="2"/>
    <col min="5" max="5" width="5.140625" style="2" customWidth="1"/>
    <col min="6" max="6" width="26.28515625" style="2" customWidth="1"/>
    <col min="7" max="16384" width="9.140625" style="2"/>
  </cols>
  <sheetData>
    <row r="2" spans="2:6" ht="15.75" customHeight="1">
      <c r="B2" s="207" t="s">
        <v>120</v>
      </c>
      <c r="C2" s="207"/>
      <c r="D2" s="3"/>
      <c r="E2" s="3"/>
      <c r="F2" s="3"/>
    </row>
    <row r="4" spans="2:6">
      <c r="B4" s="2" t="s">
        <v>21</v>
      </c>
      <c r="C4" s="188">
        <v>28.489485170139162</v>
      </c>
    </row>
    <row r="6" spans="2:6">
      <c r="B6" s="2" t="s">
        <v>33</v>
      </c>
      <c r="C6" s="11">
        <v>2137.7963930894712</v>
      </c>
    </row>
    <row r="7" spans="2:6">
      <c r="B7" s="2" t="s">
        <v>34</v>
      </c>
      <c r="C7" s="11">
        <f>$C$6*C19</f>
        <v>89.115489170208349</v>
      </c>
    </row>
    <row r="8" spans="2:6">
      <c r="B8" s="2" t="s">
        <v>197</v>
      </c>
      <c r="C8" s="188">
        <f>$C$6*C20</f>
        <v>1695.8040168506286</v>
      </c>
    </row>
    <row r="9" spans="2:6">
      <c r="B9" s="2" t="s">
        <v>39</v>
      </c>
      <c r="C9" s="11">
        <f t="shared" ref="C9:C10" si="0">$C$6*C21</f>
        <v>323.47223580343899</v>
      </c>
    </row>
    <row r="10" spans="2:6">
      <c r="B10" s="2" t="s">
        <v>40</v>
      </c>
      <c r="C10" s="11">
        <f t="shared" si="0"/>
        <v>29.40465126519484</v>
      </c>
    </row>
    <row r="12" spans="2:6">
      <c r="B12" s="2" t="s">
        <v>37</v>
      </c>
      <c r="C12" s="12">
        <f>C6/$C$4</f>
        <v>75.038084413338964</v>
      </c>
    </row>
    <row r="13" spans="2:6">
      <c r="B13" s="2" t="s">
        <v>38</v>
      </c>
      <c r="C13" s="12">
        <f t="shared" ref="C13:C16" si="1">C7/$C$4</f>
        <v>3.1280133227403297</v>
      </c>
    </row>
    <row r="14" spans="2:6">
      <c r="B14" s="2" t="s">
        <v>198</v>
      </c>
      <c r="C14" s="12">
        <f t="shared" si="1"/>
        <v>59.523856142829175</v>
      </c>
    </row>
    <row r="15" spans="2:6">
      <c r="B15" s="2" t="s">
        <v>41</v>
      </c>
      <c r="C15" s="12">
        <f t="shared" si="1"/>
        <v>11.35409200523152</v>
      </c>
    </row>
    <row r="16" spans="2:6">
      <c r="B16" s="2" t="s">
        <v>42</v>
      </c>
      <c r="C16" s="12">
        <f t="shared" si="1"/>
        <v>1.032122942537933</v>
      </c>
    </row>
    <row r="18" spans="2:3">
      <c r="B18" s="189" t="s">
        <v>107</v>
      </c>
    </row>
    <row r="19" spans="2:3">
      <c r="B19" s="2" t="s">
        <v>35</v>
      </c>
      <c r="C19" s="10">
        <v>4.1685676642676736E-2</v>
      </c>
    </row>
    <row r="20" spans="2:3">
      <c r="B20" s="2" t="s">
        <v>28</v>
      </c>
      <c r="C20" s="10">
        <v>0.79324860979857392</v>
      </c>
    </row>
    <row r="21" spans="2:3">
      <c r="B21" s="2" t="s">
        <v>36</v>
      </c>
      <c r="C21" s="10">
        <v>0.15131105883098991</v>
      </c>
    </row>
    <row r="22" spans="2:3">
      <c r="B22" s="2" t="s">
        <v>29</v>
      </c>
      <c r="C22" s="10">
        <v>1.3754654727759285E-2</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Y83"/>
  <sheetViews>
    <sheetView zoomScale="85" zoomScaleNormal="85" workbookViewId="0"/>
  </sheetViews>
  <sheetFormatPr defaultColWidth="0" defaultRowHeight="12" customHeight="1" zeroHeight="1"/>
  <cols>
    <col min="1" max="1" width="2.85546875" style="2" customWidth="1"/>
    <col min="2" max="2" width="30.28515625" style="2" customWidth="1"/>
    <col min="3" max="3" width="21.85546875" style="1" bestFit="1" customWidth="1"/>
    <col min="4" max="8" width="17" style="1" customWidth="1"/>
    <col min="9" max="15" width="17" style="2" customWidth="1"/>
    <col min="16" max="16" width="18.85546875" style="2" bestFit="1" customWidth="1"/>
    <col min="17" max="17" width="2.85546875" style="2" customWidth="1"/>
    <col min="18" max="18" width="22.42578125" style="2" hidden="1" customWidth="1"/>
    <col min="19" max="19" width="11.5703125" style="2" hidden="1" customWidth="1"/>
    <col min="20" max="20" width="16" style="2" hidden="1" customWidth="1"/>
    <col min="21" max="22" width="9.140625" style="2" hidden="1" customWidth="1"/>
    <col min="23" max="23" width="21.7109375" style="2" hidden="1" customWidth="1"/>
    <col min="24" max="25" width="19.28515625" style="2" hidden="1" customWidth="1"/>
    <col min="26" max="16384" width="9.140625" style="2" hidden="1"/>
  </cols>
  <sheetData>
    <row r="1" spans="1:17">
      <c r="A1" s="13"/>
      <c r="B1" s="13"/>
      <c r="C1" s="14"/>
      <c r="D1" s="14"/>
      <c r="E1" s="14"/>
      <c r="F1" s="14"/>
      <c r="G1" s="14"/>
      <c r="H1" s="14"/>
      <c r="I1" s="13"/>
      <c r="J1" s="13"/>
      <c r="K1" s="13"/>
      <c r="L1" s="13"/>
      <c r="M1" s="13"/>
      <c r="N1" s="13"/>
      <c r="O1" s="13"/>
      <c r="P1" s="13"/>
      <c r="Q1" s="13"/>
    </row>
    <row r="2" spans="1:17" s="13" customFormat="1" ht="28.5" customHeight="1">
      <c r="B2" s="355" t="s">
        <v>92</v>
      </c>
      <c r="C2" s="356"/>
      <c r="D2" s="356"/>
      <c r="E2" s="356"/>
      <c r="F2" s="356"/>
      <c r="G2" s="356"/>
      <c r="H2" s="356"/>
      <c r="I2" s="356"/>
      <c r="J2" s="356"/>
      <c r="K2" s="356"/>
      <c r="L2" s="356"/>
      <c r="M2" s="356"/>
      <c r="N2" s="356"/>
      <c r="O2" s="357"/>
      <c r="P2" s="277"/>
    </row>
    <row r="3" spans="1:17" s="13" customFormat="1" ht="11.25" customHeight="1">
      <c r="B3" s="276"/>
      <c r="C3" s="276"/>
      <c r="D3" s="276"/>
      <c r="E3" s="276"/>
      <c r="F3" s="276"/>
      <c r="G3" s="276"/>
      <c r="H3" s="276"/>
      <c r="I3" s="276"/>
      <c r="J3" s="276"/>
      <c r="K3" s="276"/>
      <c r="L3" s="276"/>
      <c r="M3" s="276"/>
      <c r="N3" s="276"/>
      <c r="O3" s="276"/>
      <c r="P3" s="276"/>
    </row>
    <row r="4" spans="1:17" s="13" customFormat="1" ht="22.5" customHeight="1">
      <c r="B4" s="304" t="s">
        <v>25</v>
      </c>
      <c r="C4" s="311" t="s">
        <v>125</v>
      </c>
      <c r="D4" s="310"/>
      <c r="E4" s="276"/>
      <c r="F4" s="276"/>
      <c r="G4" s="276"/>
      <c r="H4" s="276"/>
      <c r="I4" s="276"/>
      <c r="J4" s="276"/>
      <c r="K4" s="276"/>
      <c r="L4" s="276"/>
      <c r="M4" s="276"/>
      <c r="N4" s="276"/>
      <c r="O4" s="276"/>
      <c r="P4" s="276"/>
    </row>
    <row r="5" spans="1:17" s="13" customFormat="1" ht="12" customHeight="1">
      <c r="B5" s="306" t="s">
        <v>0</v>
      </c>
      <c r="C5" s="307" t="str">
        <f>VLOOKUP(MIN(O21),O21:P21,2,FALSE)</f>
        <v>ANZ 1</v>
      </c>
      <c r="D5" s="303"/>
      <c r="E5" s="276"/>
      <c r="F5" s="276"/>
      <c r="G5" s="276"/>
      <c r="H5" s="276"/>
      <c r="I5" s="276"/>
      <c r="J5" s="276"/>
      <c r="K5" s="276"/>
      <c r="L5" s="276"/>
      <c r="M5" s="276"/>
      <c r="N5" s="276"/>
      <c r="O5" s="276"/>
      <c r="P5" s="276"/>
    </row>
    <row r="6" spans="1:17" s="13" customFormat="1" ht="12" customHeight="1">
      <c r="B6" s="306" t="s">
        <v>1</v>
      </c>
      <c r="C6" s="307" t="str">
        <f>VLOOKUP(MIN(O22:O25),O22:P25,2,FALSE)</f>
        <v>Commonwealth Bank 1</v>
      </c>
      <c r="D6" s="303"/>
      <c r="E6" s="276"/>
      <c r="F6" s="276"/>
      <c r="G6" s="276"/>
      <c r="H6" s="276"/>
      <c r="I6" s="276"/>
      <c r="J6" s="276"/>
      <c r="K6" s="276"/>
      <c r="L6" s="276"/>
      <c r="M6" s="276"/>
      <c r="N6" s="276"/>
      <c r="O6" s="276"/>
      <c r="P6" s="276"/>
    </row>
    <row r="7" spans="1:17" s="13" customFormat="1" ht="12" customHeight="1">
      <c r="B7" s="306" t="s">
        <v>2</v>
      </c>
      <c r="C7" s="307" t="str">
        <f>VLOOKUP(MIN(O26:O30),O26:P30,2,FALSE)</f>
        <v>NAB 1</v>
      </c>
      <c r="D7" s="303"/>
      <c r="E7" s="276"/>
      <c r="F7" s="276"/>
      <c r="G7" s="276"/>
      <c r="H7" s="276"/>
      <c r="I7" s="276"/>
      <c r="J7" s="276"/>
      <c r="K7" s="276"/>
      <c r="L7" s="276"/>
      <c r="M7" s="276"/>
      <c r="N7" s="276"/>
      <c r="O7" s="276"/>
      <c r="P7" s="276"/>
    </row>
    <row r="8" spans="1:17" s="13" customFormat="1" ht="12" customHeight="1">
      <c r="B8" s="306" t="s">
        <v>3</v>
      </c>
      <c r="C8" s="307" t="str">
        <f t="shared" ref="C8" si="0">VLOOKUP(MIN(O27:O31),O27:P31,2,FALSE)</f>
        <v>Westpac 1</v>
      </c>
      <c r="D8" s="303"/>
      <c r="E8" s="276"/>
      <c r="F8" s="276"/>
      <c r="G8" s="276"/>
      <c r="H8" s="276"/>
      <c r="I8" s="276"/>
      <c r="J8" s="276"/>
      <c r="K8" s="276"/>
      <c r="L8" s="276"/>
      <c r="M8" s="276"/>
      <c r="N8" s="276"/>
      <c r="O8" s="276"/>
      <c r="P8" s="276"/>
    </row>
    <row r="9" spans="1:17" s="13" customFormat="1" ht="12" customHeight="1">
      <c r="B9" s="306" t="s">
        <v>30</v>
      </c>
      <c r="C9" s="307" t="str">
        <f>VLOOKUP(MIN(O36:O40),O36:P40,2,FALSE)</f>
        <v>Bank of Melbourne 1</v>
      </c>
      <c r="D9" s="303"/>
      <c r="E9" s="276"/>
      <c r="F9" s="276"/>
      <c r="G9" s="276"/>
      <c r="H9" s="276"/>
      <c r="I9" s="276"/>
      <c r="J9" s="276"/>
      <c r="K9" s="276"/>
      <c r="L9" s="276"/>
      <c r="M9" s="276"/>
      <c r="N9" s="276"/>
      <c r="O9" s="276"/>
      <c r="P9" s="276"/>
    </row>
    <row r="10" spans="1:17" s="13" customFormat="1" ht="12" customHeight="1">
      <c r="B10" s="306" t="s">
        <v>126</v>
      </c>
      <c r="C10" s="307" t="str">
        <f>VLOOKUP(MIN(O41:O45),O41:P45,2,FALSE)</f>
        <v>Bank SA 1</v>
      </c>
      <c r="D10" s="303"/>
      <c r="E10" s="276"/>
      <c r="F10" s="276"/>
      <c r="G10" s="276"/>
      <c r="H10" s="276"/>
      <c r="I10" s="276"/>
      <c r="J10" s="276"/>
      <c r="K10" s="276"/>
      <c r="L10" s="276"/>
      <c r="M10" s="276"/>
      <c r="N10" s="276"/>
      <c r="O10" s="276"/>
      <c r="P10" s="276"/>
    </row>
    <row r="11" spans="1:17" s="13" customFormat="1" ht="12" customHeight="1">
      <c r="B11" s="306" t="s">
        <v>6</v>
      </c>
      <c r="C11" s="307" t="str">
        <f>VLOOKUP(MIN(O46),O46:P46,2,FALSE)</f>
        <v>Bendigo Bank 1</v>
      </c>
      <c r="D11" s="303"/>
      <c r="E11" s="276"/>
      <c r="F11" s="276"/>
      <c r="G11" s="276"/>
      <c r="H11" s="276"/>
      <c r="I11" s="276"/>
      <c r="J11" s="276"/>
      <c r="K11" s="276"/>
      <c r="L11" s="276"/>
      <c r="M11" s="276"/>
      <c r="N11" s="276"/>
      <c r="O11" s="276"/>
      <c r="P11" s="276"/>
    </row>
    <row r="12" spans="1:17" s="13" customFormat="1" ht="12" customHeight="1">
      <c r="B12" s="306" t="s">
        <v>26</v>
      </c>
      <c r="C12" s="307" t="str">
        <f>VLOOKUP(MIN(O47:O50),O47:P50,2,FALSE)</f>
        <v>Bankwest 1</v>
      </c>
      <c r="D12" s="303"/>
      <c r="E12" s="276"/>
      <c r="F12" s="276"/>
      <c r="G12" s="276"/>
      <c r="H12" s="276"/>
      <c r="I12" s="276"/>
      <c r="J12" s="276"/>
      <c r="K12" s="276"/>
      <c r="L12" s="276"/>
      <c r="M12" s="276"/>
      <c r="N12" s="276"/>
      <c r="O12" s="276"/>
      <c r="P12" s="276"/>
    </row>
    <row r="13" spans="1:17" s="13" customFormat="1" ht="12" customHeight="1">
      <c r="B13" s="306" t="s">
        <v>127</v>
      </c>
      <c r="C13" s="307" t="str">
        <f>VLOOKUP(MIN(O56:O60),O56:P60,2,FALSE)</f>
        <v>St George 1</v>
      </c>
      <c r="D13" s="303"/>
      <c r="E13" s="276"/>
      <c r="F13" s="276"/>
      <c r="G13" s="276"/>
      <c r="H13" s="276"/>
      <c r="I13" s="276"/>
      <c r="J13" s="276"/>
      <c r="K13" s="276"/>
      <c r="L13" s="276"/>
      <c r="M13" s="276"/>
      <c r="N13" s="276"/>
      <c r="O13" s="276"/>
      <c r="P13" s="276"/>
    </row>
    <row r="14" spans="1:17" s="13" customFormat="1" ht="12" customHeight="1">
      <c r="B14" s="306" t="s">
        <v>122</v>
      </c>
      <c r="C14" s="307" t="str">
        <f>VLOOKUP(MIN(O61),O61:P61,2,FALSE)</f>
        <v>Live eftpos 1</v>
      </c>
      <c r="D14" s="303"/>
      <c r="E14" s="276"/>
      <c r="F14" s="276"/>
      <c r="G14" s="276"/>
      <c r="H14" s="276"/>
      <c r="I14" s="276"/>
      <c r="J14" s="276"/>
      <c r="K14" s="276"/>
      <c r="L14" s="276"/>
      <c r="M14" s="276"/>
      <c r="N14" s="276"/>
      <c r="O14" s="276"/>
      <c r="P14" s="276"/>
    </row>
    <row r="15" spans="1:17" s="13" customFormat="1" ht="12" customHeight="1">
      <c r="B15" s="306" t="s">
        <v>4</v>
      </c>
      <c r="C15" s="307" t="str">
        <f>VLOOKUP(MIN(O62),O62:P62,2,FALSE)</f>
        <v>Tyro 1</v>
      </c>
      <c r="D15" s="303"/>
      <c r="E15" s="276"/>
      <c r="F15" s="276"/>
      <c r="G15" s="276"/>
      <c r="H15" s="276"/>
      <c r="I15" s="276"/>
      <c r="J15" s="276"/>
      <c r="K15" s="276"/>
      <c r="L15" s="276"/>
      <c r="M15" s="276"/>
      <c r="N15" s="276"/>
      <c r="O15" s="276"/>
      <c r="P15" s="276"/>
    </row>
    <row r="16" spans="1:17" s="13" customFormat="1" ht="12" customHeight="1">
      <c r="B16" s="306" t="s">
        <v>24</v>
      </c>
      <c r="C16" s="307" t="str">
        <f>VLOOKUP(MIN(O63:O67),O63:P67,2,FALSE)</f>
        <v>First Data 1</v>
      </c>
      <c r="D16" s="303"/>
      <c r="E16" s="276"/>
      <c r="F16" s="276"/>
      <c r="G16" s="276"/>
      <c r="H16" s="276"/>
      <c r="I16" s="276"/>
      <c r="J16" s="276"/>
      <c r="K16" s="276"/>
      <c r="L16" s="276"/>
      <c r="M16" s="276"/>
      <c r="N16" s="276"/>
      <c r="O16" s="276"/>
      <c r="P16" s="276"/>
    </row>
    <row r="17" spans="2:16" s="13" customFormat="1" ht="12" customHeight="1">
      <c r="B17" s="308" t="s">
        <v>12</v>
      </c>
      <c r="C17" s="309" t="str">
        <f>VLOOKUP(MIN(O68),O68:P68,2,FALSE)</f>
        <v>Mint 1</v>
      </c>
      <c r="D17" s="303"/>
      <c r="E17" s="276"/>
      <c r="F17" s="276"/>
      <c r="G17" s="276"/>
      <c r="H17" s="276"/>
      <c r="I17" s="276"/>
      <c r="J17" s="276"/>
      <c r="K17" s="276"/>
      <c r="L17" s="276"/>
      <c r="M17" s="276"/>
      <c r="N17" s="276"/>
      <c r="O17" s="276"/>
      <c r="P17" s="276"/>
    </row>
    <row r="18" spans="2:16" s="13" customFormat="1">
      <c r="B18" s="15"/>
      <c r="C18" s="16"/>
      <c r="D18" s="16"/>
      <c r="E18" s="16"/>
      <c r="F18" s="16"/>
      <c r="G18" s="16"/>
      <c r="H18" s="16"/>
      <c r="I18" s="15"/>
      <c r="J18" s="15"/>
      <c r="K18" s="15"/>
      <c r="L18" s="15"/>
      <c r="M18" s="15"/>
      <c r="N18" s="15"/>
      <c r="O18" s="15"/>
      <c r="P18" s="15"/>
    </row>
    <row r="19" spans="2:16" s="13" customFormat="1" ht="12" customHeight="1">
      <c r="B19" s="17"/>
      <c r="C19" s="358" t="s">
        <v>10</v>
      </c>
      <c r="D19" s="359"/>
      <c r="E19" s="359"/>
      <c r="F19" s="359"/>
      <c r="G19" s="359"/>
      <c r="H19" s="359"/>
      <c r="I19" s="360"/>
      <c r="J19" s="361" t="s">
        <v>101</v>
      </c>
      <c r="K19" s="362"/>
      <c r="L19" s="362"/>
      <c r="M19" s="363"/>
      <c r="N19" s="18" t="s">
        <v>8</v>
      </c>
      <c r="O19" s="351" t="s">
        <v>104</v>
      </c>
      <c r="P19" s="351" t="s">
        <v>128</v>
      </c>
    </row>
    <row r="20" spans="2:16" s="13" customFormat="1" ht="33.75">
      <c r="B20" s="266" t="s">
        <v>25</v>
      </c>
      <c r="C20" s="260" t="s">
        <v>20</v>
      </c>
      <c r="D20" s="252" t="s">
        <v>19</v>
      </c>
      <c r="E20" s="252" t="s">
        <v>94</v>
      </c>
      <c r="F20" s="260" t="s">
        <v>102</v>
      </c>
      <c r="G20" s="252" t="s">
        <v>95</v>
      </c>
      <c r="H20" s="252" t="s">
        <v>96</v>
      </c>
      <c r="I20" s="261" t="s">
        <v>14</v>
      </c>
      <c r="J20" s="252" t="s">
        <v>16</v>
      </c>
      <c r="K20" s="252" t="s">
        <v>103</v>
      </c>
      <c r="L20" s="271" t="s">
        <v>99</v>
      </c>
      <c r="M20" s="252" t="s">
        <v>15</v>
      </c>
      <c r="N20" s="260" t="s">
        <v>100</v>
      </c>
      <c r="O20" s="364"/>
      <c r="P20" s="352"/>
    </row>
    <row r="21" spans="2:16" s="13" customFormat="1">
      <c r="B21" s="289" t="str">
        <f>'Terminal offers'!$A3</f>
        <v>ANZ</v>
      </c>
      <c r="C21" s="290">
        <f>'Terminal offers'!$C$3</f>
        <v>40</v>
      </c>
      <c r="D21" s="291">
        <f>'Terminal offers'!$D$3</f>
        <v>0</v>
      </c>
      <c r="E21" s="292">
        <f>'Terminal offers'!$E$3</f>
        <v>0.25</v>
      </c>
      <c r="F21" s="293">
        <f>'Terminal offers'!$F$3</f>
        <v>8.0000000000000002E-3</v>
      </c>
      <c r="G21" s="294">
        <f>IF('Terminal offers'!$G$3&gt;0,'Terminal offers'!$G$3,'Terminal offers'!$G$68)</f>
        <v>2.3276000000000005E-2</v>
      </c>
      <c r="H21" s="294">
        <f>IF('Terminal offers'!$H$3&gt;0,'Terminal offers'!$H$3,'Terminal offers'!$H$68)</f>
        <v>2.9711000000000001E-2</v>
      </c>
      <c r="I21" s="296">
        <f>'Terminal offers'!$J$3</f>
        <v>0</v>
      </c>
      <c r="J21" s="295">
        <f t="shared" ref="J21:J68" si="1">C21+I21</f>
        <v>40</v>
      </c>
      <c r="K21" s="298">
        <f>MAX((E21*C79)+(F21*C75), 'Terminal offers'!I3)</f>
        <v>29</v>
      </c>
      <c r="L21" s="297">
        <f>(G21*$C$76)+(H21*$C$77)</f>
        <v>8.4027813543010517</v>
      </c>
      <c r="M21" s="298">
        <f t="shared" ref="M21:M68" si="2">SUM(J21:L21)</f>
        <v>77.402781354301055</v>
      </c>
      <c r="N21" s="299">
        <f>$C$71</f>
        <v>2137.7963930894712</v>
      </c>
      <c r="O21" s="300">
        <f>(N21+M21)/N21-1</f>
        <v>3.6206806973998695E-2</v>
      </c>
      <c r="P21" s="300" t="s">
        <v>129</v>
      </c>
    </row>
    <row r="22" spans="2:16" s="13" customFormat="1">
      <c r="B22" s="278" t="str">
        <f>'Terminal offers'!$A19</f>
        <v>Commonwealth Bank</v>
      </c>
      <c r="C22" s="279">
        <f>'Terminal offers'!$C19</f>
        <v>60</v>
      </c>
      <c r="D22" s="280">
        <f>'Terminal offers'!$D19</f>
        <v>3000</v>
      </c>
      <c r="E22" s="365">
        <f>'Terminal offers'!$E19</f>
        <v>1.4999999999999999E-2</v>
      </c>
      <c r="F22" s="366"/>
      <c r="G22" s="109">
        <f>IF('Terminal offers'!$G19&gt;0,'Terminal offers'!$G19,'Terminal offers'!$G$68)</f>
        <v>2.3276000000000005E-2</v>
      </c>
      <c r="H22" s="109">
        <f>IF('Terminal offers'!$H19&gt;0,'Terminal offers'!$H19,'Terminal offers'!$H$68)</f>
        <v>2.9711000000000001E-2</v>
      </c>
      <c r="I22" s="281">
        <f>'Terminal offers'!$J19</f>
        <v>0</v>
      </c>
      <c r="J22" s="282">
        <f t="shared" si="1"/>
        <v>60</v>
      </c>
      <c r="K22" s="281">
        <f>IF(($C$74+$C$75)&lt;=D22, 0, E22*(($C$74+$C$75)-D22))</f>
        <v>0</v>
      </c>
      <c r="L22" s="283">
        <f t="shared" ref="L22:L68" si="3">(G22*$C$76)+(H22*$C$77)</f>
        <v>8.4027813543010517</v>
      </c>
      <c r="M22" s="281">
        <f t="shared" si="2"/>
        <v>68.402781354301055</v>
      </c>
      <c r="N22" s="284">
        <f t="shared" ref="N22:N68" si="4">$C$71</f>
        <v>2137.7963930894712</v>
      </c>
      <c r="O22" s="110">
        <f t="shared" ref="O22:O68" si="5">(N22+M22)/N22-1</f>
        <v>3.1996864423298854E-2</v>
      </c>
      <c r="P22" s="110" t="s">
        <v>130</v>
      </c>
    </row>
    <row r="23" spans="2:16" s="13" customFormat="1">
      <c r="B23" s="267" t="str">
        <f>'Terminal offers'!$A20</f>
        <v>Commonwealth Bank</v>
      </c>
      <c r="C23" s="262">
        <f>'Terminal offers'!$C20</f>
        <v>90</v>
      </c>
      <c r="D23" s="22">
        <f>'Terminal offers'!$D20</f>
        <v>6000</v>
      </c>
      <c r="E23" s="353">
        <f>'Terminal offers'!$E20</f>
        <v>1.4999999999999999E-2</v>
      </c>
      <c r="F23" s="354"/>
      <c r="G23" s="24">
        <f>IF('Terminal offers'!$G20&gt;0,'Terminal offers'!$G20,'Terminal offers'!$G$68)</f>
        <v>2.3276000000000005E-2</v>
      </c>
      <c r="H23" s="24">
        <f>IF('Terminal offers'!$H20&gt;0,'Terminal offers'!$H20,'Terminal offers'!$H$68)</f>
        <v>2.9711000000000001E-2</v>
      </c>
      <c r="I23" s="27">
        <f>'Terminal offers'!$J20</f>
        <v>0</v>
      </c>
      <c r="J23" s="25">
        <f t="shared" si="1"/>
        <v>90</v>
      </c>
      <c r="K23" s="27">
        <f t="shared" ref="K23:K25" si="6">IF(($C$74+$C$75)&lt;=D23, 0, E23*(($C$74+$C$75)-D23))</f>
        <v>0</v>
      </c>
      <c r="L23" s="32">
        <f t="shared" si="3"/>
        <v>8.4027813543010517</v>
      </c>
      <c r="M23" s="27">
        <f t="shared" si="2"/>
        <v>98.402781354301055</v>
      </c>
      <c r="N23" s="263">
        <f t="shared" si="4"/>
        <v>2137.7963930894712</v>
      </c>
      <c r="O23" s="30">
        <f t="shared" si="5"/>
        <v>4.6030006258964917E-2</v>
      </c>
      <c r="P23" s="30" t="s">
        <v>131</v>
      </c>
    </row>
    <row r="24" spans="2:16" s="13" customFormat="1">
      <c r="B24" s="267" t="str">
        <f>'Terminal offers'!$A21</f>
        <v>Commonwealth Bank</v>
      </c>
      <c r="C24" s="262">
        <f>'Terminal offers'!$C21</f>
        <v>120</v>
      </c>
      <c r="D24" s="22">
        <f>'Terminal offers'!$D21</f>
        <v>9000</v>
      </c>
      <c r="E24" s="353">
        <f>'Terminal offers'!$E21</f>
        <v>1.4999999999999999E-2</v>
      </c>
      <c r="F24" s="354"/>
      <c r="G24" s="24">
        <f>IF('Terminal offers'!$G21&gt;0,'Terminal offers'!$G21,'Terminal offers'!$G$68)</f>
        <v>2.3276000000000005E-2</v>
      </c>
      <c r="H24" s="24">
        <f>IF('Terminal offers'!$H21&gt;0,'Terminal offers'!$H21,'Terminal offers'!$H$68)</f>
        <v>2.9711000000000001E-2</v>
      </c>
      <c r="I24" s="27">
        <f>'Terminal offers'!$J21</f>
        <v>0</v>
      </c>
      <c r="J24" s="25">
        <f t="shared" si="1"/>
        <v>120</v>
      </c>
      <c r="K24" s="27">
        <f t="shared" si="6"/>
        <v>0</v>
      </c>
      <c r="L24" s="32">
        <f t="shared" si="3"/>
        <v>8.4027813543010517</v>
      </c>
      <c r="M24" s="27">
        <f t="shared" si="2"/>
        <v>128.40278135430106</v>
      </c>
      <c r="N24" s="263">
        <f t="shared" si="4"/>
        <v>2137.7963930894712</v>
      </c>
      <c r="O24" s="30">
        <f t="shared" si="5"/>
        <v>6.0063148094631202E-2</v>
      </c>
      <c r="P24" s="30" t="s">
        <v>132</v>
      </c>
    </row>
    <row r="25" spans="2:16" s="13" customFormat="1">
      <c r="B25" s="268" t="str">
        <f>'Terminal offers'!$A22</f>
        <v>Commonwealth Bank</v>
      </c>
      <c r="C25" s="264">
        <f>'Terminal offers'!$C22</f>
        <v>150</v>
      </c>
      <c r="D25" s="255">
        <f>'Terminal offers'!$D22</f>
        <v>12000</v>
      </c>
      <c r="E25" s="367">
        <f>'Terminal offers'!$E22</f>
        <v>1.4999999999999999E-2</v>
      </c>
      <c r="F25" s="368"/>
      <c r="G25" s="256">
        <f>IF('Terminal offers'!$G22&gt;0,'Terminal offers'!$G22,'Terminal offers'!$G$68)</f>
        <v>2.3276000000000005E-2</v>
      </c>
      <c r="H25" s="256">
        <f>IF('Terminal offers'!$H22&gt;0,'Terminal offers'!$H22,'Terminal offers'!$H$68)</f>
        <v>2.9711000000000001E-2</v>
      </c>
      <c r="I25" s="35">
        <f>'Terminal offers'!$J22</f>
        <v>0</v>
      </c>
      <c r="J25" s="257">
        <f t="shared" si="1"/>
        <v>150</v>
      </c>
      <c r="K25" s="35">
        <f t="shared" si="6"/>
        <v>0</v>
      </c>
      <c r="L25" s="259">
        <f t="shared" si="3"/>
        <v>8.4027813543010517</v>
      </c>
      <c r="M25" s="35">
        <f t="shared" si="2"/>
        <v>158.40278135430106</v>
      </c>
      <c r="N25" s="265">
        <f t="shared" si="4"/>
        <v>2137.7963930894712</v>
      </c>
      <c r="O25" s="38">
        <f t="shared" si="5"/>
        <v>7.4096289930297266E-2</v>
      </c>
      <c r="P25" s="30" t="s">
        <v>133</v>
      </c>
    </row>
    <row r="26" spans="2:16" s="13" customFormat="1">
      <c r="B26" s="278" t="str">
        <f>'Terminal offers'!$A35</f>
        <v>NAB</v>
      </c>
      <c r="C26" s="279">
        <f>'Terminal offers'!$C35</f>
        <v>40</v>
      </c>
      <c r="D26" s="280">
        <f>'Terminal offers'!$D35</f>
        <v>1500</v>
      </c>
      <c r="E26" s="365">
        <f>'Terminal offers'!$E35</f>
        <v>1.4999999999999999E-2</v>
      </c>
      <c r="F26" s="366"/>
      <c r="G26" s="109">
        <f>IF('Terminal offers'!$G35&gt;0,'Terminal offers'!$G35,'Terminal offers'!$G$68)</f>
        <v>2.3276000000000005E-2</v>
      </c>
      <c r="H26" s="109">
        <f>IF('Terminal offers'!$H35&gt;0,'Terminal offers'!$H35,'Terminal offers'!$H$68)</f>
        <v>2.9711000000000001E-2</v>
      </c>
      <c r="I26" s="285">
        <f>'Terminal offers'!$J35</f>
        <v>0</v>
      </c>
      <c r="J26" s="282">
        <f t="shared" si="1"/>
        <v>40</v>
      </c>
      <c r="K26" s="286">
        <f>IF(($C$74+$C$75)&lt;=D26, 0, E26*(($C$74+$C$75)-D26))</f>
        <v>4.2737925903125538</v>
      </c>
      <c r="L26" s="283">
        <f t="shared" si="3"/>
        <v>8.4027813543010517</v>
      </c>
      <c r="M26" s="281">
        <f t="shared" si="2"/>
        <v>52.676573944613608</v>
      </c>
      <c r="N26" s="284">
        <f t="shared" si="4"/>
        <v>2137.7963930894712</v>
      </c>
      <c r="O26" s="110">
        <f t="shared" si="5"/>
        <v>2.464059445272393E-2</v>
      </c>
      <c r="P26" s="110" t="s">
        <v>134</v>
      </c>
    </row>
    <row r="27" spans="2:16" s="13" customFormat="1">
      <c r="B27" s="267" t="str">
        <f>'Terminal offers'!$A36</f>
        <v>NAB</v>
      </c>
      <c r="C27" s="262">
        <f>'Terminal offers'!$C36</f>
        <v>100</v>
      </c>
      <c r="D27" s="22">
        <f>'Terminal offers'!$D36</f>
        <v>6000</v>
      </c>
      <c r="E27" s="353">
        <f>'Terminal offers'!$E36</f>
        <v>1.4999999999999999E-2</v>
      </c>
      <c r="F27" s="354"/>
      <c r="G27" s="24">
        <f>IF('Terminal offers'!$G36&gt;0,'Terminal offers'!$G36,'Terminal offers'!$G$68)</f>
        <v>2.3276000000000005E-2</v>
      </c>
      <c r="H27" s="24">
        <f>IF('Terminal offers'!$H36&gt;0,'Terminal offers'!$H36,'Terminal offers'!$H$68)</f>
        <v>2.9711000000000001E-2</v>
      </c>
      <c r="I27" s="26">
        <f>'Terminal offers'!$J36</f>
        <v>0</v>
      </c>
      <c r="J27" s="25">
        <f t="shared" si="1"/>
        <v>100</v>
      </c>
      <c r="K27" s="33">
        <f t="shared" ref="K27:K30" si="7">IF(($C$74+$C$75)&lt;=D27, 0, E27*(($C$74+$C$75)-D27))</f>
        <v>0</v>
      </c>
      <c r="L27" s="32">
        <f t="shared" si="3"/>
        <v>8.4027813543010517</v>
      </c>
      <c r="M27" s="27">
        <f t="shared" si="2"/>
        <v>108.40278135430106</v>
      </c>
      <c r="N27" s="263">
        <f t="shared" si="4"/>
        <v>2137.7963930894712</v>
      </c>
      <c r="O27" s="30">
        <f t="shared" si="5"/>
        <v>5.0707720204187012E-2</v>
      </c>
      <c r="P27" s="30" t="s">
        <v>135</v>
      </c>
    </row>
    <row r="28" spans="2:16" s="13" customFormat="1">
      <c r="B28" s="267" t="str">
        <f>'Terminal offers'!$A37</f>
        <v>NAB</v>
      </c>
      <c r="C28" s="262">
        <f>'Terminal offers'!$C37</f>
        <v>190</v>
      </c>
      <c r="D28" s="22">
        <f>'Terminal offers'!$D37</f>
        <v>15000</v>
      </c>
      <c r="E28" s="353">
        <f>'Terminal offers'!$E37</f>
        <v>1.2E-2</v>
      </c>
      <c r="F28" s="354"/>
      <c r="G28" s="24">
        <f>IF('Terminal offers'!$G37&gt;0,'Terminal offers'!$G37,'Terminal offers'!$G$68)</f>
        <v>2.3276000000000005E-2</v>
      </c>
      <c r="H28" s="24">
        <f>IF('Terminal offers'!$H37&gt;0,'Terminal offers'!$H37,'Terminal offers'!$H$68)</f>
        <v>2.9711000000000001E-2</v>
      </c>
      <c r="I28" s="26">
        <f>'Terminal offers'!$J37</f>
        <v>0</v>
      </c>
      <c r="J28" s="25">
        <f t="shared" si="1"/>
        <v>190</v>
      </c>
      <c r="K28" s="33">
        <f t="shared" si="7"/>
        <v>0</v>
      </c>
      <c r="L28" s="32">
        <f t="shared" si="3"/>
        <v>8.4027813543010517</v>
      </c>
      <c r="M28" s="27">
        <f t="shared" si="2"/>
        <v>198.40278135430106</v>
      </c>
      <c r="N28" s="263">
        <f t="shared" si="4"/>
        <v>2137.7963930894712</v>
      </c>
      <c r="O28" s="30">
        <f t="shared" si="5"/>
        <v>9.2807145711185424E-2</v>
      </c>
      <c r="P28" s="30" t="s">
        <v>136</v>
      </c>
    </row>
    <row r="29" spans="2:16" s="13" customFormat="1">
      <c r="B29" s="267" t="str">
        <f>'Terminal offers'!$A38</f>
        <v>NAB</v>
      </c>
      <c r="C29" s="262">
        <f>'Terminal offers'!$C38</f>
        <v>240</v>
      </c>
      <c r="D29" s="22">
        <f>'Terminal offers'!$D38</f>
        <v>20000</v>
      </c>
      <c r="E29" s="353">
        <f>'Terminal offers'!$E38</f>
        <v>1.15E-2</v>
      </c>
      <c r="F29" s="354"/>
      <c r="G29" s="24">
        <f>IF('Terminal offers'!$G38&gt;0,'Terminal offers'!$G38,'Terminal offers'!$G$68)</f>
        <v>2.3276000000000005E-2</v>
      </c>
      <c r="H29" s="24">
        <f>IF('Terminal offers'!$H38&gt;0,'Terminal offers'!$H38,'Terminal offers'!$H$68)</f>
        <v>2.9711000000000001E-2</v>
      </c>
      <c r="I29" s="26">
        <f>'Terminal offers'!$J38</f>
        <v>0</v>
      </c>
      <c r="J29" s="25">
        <f t="shared" si="1"/>
        <v>240</v>
      </c>
      <c r="K29" s="33">
        <f t="shared" si="7"/>
        <v>0</v>
      </c>
      <c r="L29" s="32">
        <f t="shared" si="3"/>
        <v>8.4027813543010517</v>
      </c>
      <c r="M29" s="27">
        <f t="shared" si="2"/>
        <v>248.40278135430106</v>
      </c>
      <c r="N29" s="263">
        <f t="shared" si="4"/>
        <v>2137.7963930894712</v>
      </c>
      <c r="O29" s="30">
        <f t="shared" si="5"/>
        <v>0.11619571543729568</v>
      </c>
      <c r="P29" s="30" t="s">
        <v>137</v>
      </c>
    </row>
    <row r="30" spans="2:16" s="13" customFormat="1">
      <c r="B30" s="268" t="str">
        <f>'Terminal offers'!$A39</f>
        <v>NAB</v>
      </c>
      <c r="C30" s="264">
        <f>'Terminal offers'!$C39</f>
        <v>310</v>
      </c>
      <c r="D30" s="255">
        <f>'Terminal offers'!$D39</f>
        <v>30000</v>
      </c>
      <c r="E30" s="367">
        <f>'Terminal offers'!$E39</f>
        <v>0.01</v>
      </c>
      <c r="F30" s="368"/>
      <c r="G30" s="256">
        <f>IF('Terminal offers'!$G39&gt;0,'Terminal offers'!$G39,'Terminal offers'!$G$68)</f>
        <v>2.3276000000000005E-2</v>
      </c>
      <c r="H30" s="24">
        <f>IF('Terminal offers'!$H39&gt;0,'Terminal offers'!$H39,'Terminal offers'!$H$68)</f>
        <v>2.9711000000000001E-2</v>
      </c>
      <c r="I30" s="26">
        <f>'Terminal offers'!$J39</f>
        <v>0</v>
      </c>
      <c r="J30" s="257">
        <f t="shared" si="1"/>
        <v>310</v>
      </c>
      <c r="K30" s="258">
        <f t="shared" si="7"/>
        <v>0</v>
      </c>
      <c r="L30" s="259">
        <f t="shared" si="3"/>
        <v>8.4027813543010517</v>
      </c>
      <c r="M30" s="35">
        <f t="shared" si="2"/>
        <v>318.40278135430106</v>
      </c>
      <c r="N30" s="265">
        <f t="shared" si="4"/>
        <v>2137.7963930894712</v>
      </c>
      <c r="O30" s="38">
        <f t="shared" si="5"/>
        <v>0.1489397130538499</v>
      </c>
      <c r="P30" s="38" t="s">
        <v>138</v>
      </c>
    </row>
    <row r="31" spans="2:16" s="13" customFormat="1">
      <c r="B31" s="287" t="str">
        <f>'Terminal offers'!$A51</f>
        <v>Westpac</v>
      </c>
      <c r="C31" s="279">
        <f>'Terminal offers'!$C51</f>
        <v>55</v>
      </c>
      <c r="D31" s="280">
        <f>'Terminal offers'!$D51</f>
        <v>3500</v>
      </c>
      <c r="E31" s="365">
        <f>'Terminal offers'!$E51</f>
        <v>1.4999999999999999E-2</v>
      </c>
      <c r="F31" s="366"/>
      <c r="G31" s="288">
        <f>IF('Terminal offers'!$G51&gt;0,'Terminal offers'!$G51,'Terminal offers'!$G$68)</f>
        <v>2.3276000000000005E-2</v>
      </c>
      <c r="H31" s="288">
        <f>IF('Terminal offers'!$H51&gt;0,'Terminal offers'!$H51,'Terminal offers'!$H$68)</f>
        <v>2.9711000000000001E-2</v>
      </c>
      <c r="I31" s="285">
        <f>'Terminal offers'!$J51</f>
        <v>0</v>
      </c>
      <c r="J31" s="282">
        <f t="shared" si="1"/>
        <v>55</v>
      </c>
      <c r="K31" s="281">
        <f>IF(($C$74+$C$75)&lt;=D31, 0, E31*(($C$74+$C$75)-D31))</f>
        <v>0</v>
      </c>
      <c r="L31" s="283">
        <f t="shared" si="3"/>
        <v>8.4027813543010517</v>
      </c>
      <c r="M31" s="281">
        <f t="shared" si="2"/>
        <v>63.402781354301055</v>
      </c>
      <c r="N31" s="284">
        <f t="shared" si="4"/>
        <v>2137.7963930894712</v>
      </c>
      <c r="O31" s="110">
        <f t="shared" si="5"/>
        <v>2.9658007450687807E-2</v>
      </c>
      <c r="P31" s="110" t="s">
        <v>139</v>
      </c>
    </row>
    <row r="32" spans="2:16" s="13" customFormat="1">
      <c r="B32" s="269" t="str">
        <f>'Terminal offers'!$A52</f>
        <v>Westpac</v>
      </c>
      <c r="C32" s="262">
        <f>'Terminal offers'!$C52</f>
        <v>85</v>
      </c>
      <c r="D32" s="22">
        <f>'Terminal offers'!$D52</f>
        <v>6000</v>
      </c>
      <c r="E32" s="353">
        <f>'Terminal offers'!$E52</f>
        <v>1.4999999999999999E-2</v>
      </c>
      <c r="F32" s="354"/>
      <c r="G32" s="272">
        <f>IF('Terminal offers'!$G52&gt;0,'Terminal offers'!$G52,'Terminal offers'!$G$68)</f>
        <v>2.3276000000000005E-2</v>
      </c>
      <c r="H32" s="272">
        <f>IF('Terminal offers'!$H52&gt;0,'Terminal offers'!$H52,'Terminal offers'!$H$68)</f>
        <v>2.9711000000000001E-2</v>
      </c>
      <c r="I32" s="26">
        <f>'Terminal offers'!$J52</f>
        <v>0</v>
      </c>
      <c r="J32" s="25">
        <f t="shared" si="1"/>
        <v>85</v>
      </c>
      <c r="K32" s="27">
        <f t="shared" ref="K32:K35" si="8">IF(($C$74+$C$75)&lt;=D32, 0, E32*(($C$74+$C$75)-D32))</f>
        <v>0</v>
      </c>
      <c r="L32" s="32">
        <f t="shared" si="3"/>
        <v>8.4027813543010517</v>
      </c>
      <c r="M32" s="27">
        <f t="shared" si="2"/>
        <v>93.402781354301055</v>
      </c>
      <c r="N32" s="263">
        <f t="shared" si="4"/>
        <v>2137.7963930894712</v>
      </c>
      <c r="O32" s="30">
        <f t="shared" si="5"/>
        <v>4.3691149286354092E-2</v>
      </c>
      <c r="P32" s="30" t="s">
        <v>140</v>
      </c>
    </row>
    <row r="33" spans="2:16" s="13" customFormat="1">
      <c r="B33" s="269" t="str">
        <f>'Terminal offers'!$A53</f>
        <v>Westpac</v>
      </c>
      <c r="C33" s="262">
        <f>'Terminal offers'!$C53</f>
        <v>125</v>
      </c>
      <c r="D33" s="22">
        <f>'Terminal offers'!$D53</f>
        <v>10000</v>
      </c>
      <c r="E33" s="353">
        <f>'Terminal offers'!$E53</f>
        <v>1.4999999999999999E-2</v>
      </c>
      <c r="F33" s="354"/>
      <c r="G33" s="272">
        <f>IF('Terminal offers'!$G53&gt;0,'Terminal offers'!$G53,'Terminal offers'!$G$68)</f>
        <v>2.3276000000000005E-2</v>
      </c>
      <c r="H33" s="272">
        <f>IF('Terminal offers'!$H53&gt;0,'Terminal offers'!$H53,'Terminal offers'!$H$68)</f>
        <v>2.9711000000000001E-2</v>
      </c>
      <c r="I33" s="26">
        <f>'Terminal offers'!$J53</f>
        <v>0</v>
      </c>
      <c r="J33" s="25">
        <f t="shared" si="1"/>
        <v>125</v>
      </c>
      <c r="K33" s="27">
        <f t="shared" si="8"/>
        <v>0</v>
      </c>
      <c r="L33" s="32">
        <f t="shared" si="3"/>
        <v>8.4027813543010517</v>
      </c>
      <c r="M33" s="27">
        <f t="shared" si="2"/>
        <v>133.40278135430106</v>
      </c>
      <c r="N33" s="263">
        <f t="shared" si="4"/>
        <v>2137.7963930894712</v>
      </c>
      <c r="O33" s="30">
        <f t="shared" si="5"/>
        <v>6.240200506724225E-2</v>
      </c>
      <c r="P33" s="30" t="s">
        <v>141</v>
      </c>
    </row>
    <row r="34" spans="2:16" s="13" customFormat="1">
      <c r="B34" s="269" t="str">
        <f>'Terminal offers'!$A54</f>
        <v>Westpac</v>
      </c>
      <c r="C34" s="262">
        <f>'Terminal offers'!$C54</f>
        <v>175</v>
      </c>
      <c r="D34" s="22">
        <f>'Terminal offers'!$D54</f>
        <v>15000</v>
      </c>
      <c r="E34" s="353">
        <f>'Terminal offers'!$E54</f>
        <v>1.4999999999999999E-2</v>
      </c>
      <c r="F34" s="354"/>
      <c r="G34" s="272">
        <f>IF('Terminal offers'!$G54&gt;0,'Terminal offers'!$G54,'Terminal offers'!$G$68)</f>
        <v>2.3276000000000005E-2</v>
      </c>
      <c r="H34" s="272">
        <f>IF('Terminal offers'!$H54&gt;0,'Terminal offers'!$H54,'Terminal offers'!$H$68)</f>
        <v>2.9711000000000001E-2</v>
      </c>
      <c r="I34" s="26">
        <f>'Terminal offers'!$J54</f>
        <v>0</v>
      </c>
      <c r="J34" s="25">
        <f t="shared" si="1"/>
        <v>175</v>
      </c>
      <c r="K34" s="27">
        <f t="shared" si="8"/>
        <v>0</v>
      </c>
      <c r="L34" s="32">
        <f t="shared" si="3"/>
        <v>8.4027813543010517</v>
      </c>
      <c r="M34" s="27">
        <f t="shared" si="2"/>
        <v>183.40278135430106</v>
      </c>
      <c r="N34" s="263">
        <f t="shared" si="4"/>
        <v>2137.7963930894712</v>
      </c>
      <c r="O34" s="30">
        <f t="shared" si="5"/>
        <v>8.5790574793352281E-2</v>
      </c>
      <c r="P34" s="30" t="s">
        <v>142</v>
      </c>
    </row>
    <row r="35" spans="2:16" s="13" customFormat="1">
      <c r="B35" s="270" t="str">
        <f>'Terminal offers'!$A55</f>
        <v>Westpac</v>
      </c>
      <c r="C35" s="264">
        <f>'Terminal offers'!$C55</f>
        <v>225</v>
      </c>
      <c r="D35" s="255">
        <f>'Terminal offers'!$D55</f>
        <v>20000</v>
      </c>
      <c r="E35" s="367">
        <f>'Terminal offers'!$E55</f>
        <v>1.4999999999999999E-2</v>
      </c>
      <c r="F35" s="368"/>
      <c r="G35" s="273">
        <f>IF('Terminal offers'!$G55&gt;0,'Terminal offers'!$G55,'Terminal offers'!$G$68)</f>
        <v>2.3276000000000005E-2</v>
      </c>
      <c r="H35" s="273">
        <f>IF('Terminal offers'!$H55&gt;0,'Terminal offers'!$H55,'Terminal offers'!$H$68)</f>
        <v>2.9711000000000001E-2</v>
      </c>
      <c r="I35" s="34">
        <f>'Terminal offers'!$J55</f>
        <v>0</v>
      </c>
      <c r="J35" s="257">
        <f t="shared" si="1"/>
        <v>225</v>
      </c>
      <c r="K35" s="35">
        <f t="shared" si="8"/>
        <v>0</v>
      </c>
      <c r="L35" s="259">
        <f t="shared" si="3"/>
        <v>8.4027813543010517</v>
      </c>
      <c r="M35" s="35">
        <f t="shared" si="2"/>
        <v>233.40278135430106</v>
      </c>
      <c r="N35" s="265">
        <f t="shared" si="4"/>
        <v>2137.7963930894712</v>
      </c>
      <c r="O35" s="38">
        <f t="shared" si="5"/>
        <v>0.10917914451946253</v>
      </c>
      <c r="P35" s="38" t="s">
        <v>143</v>
      </c>
    </row>
    <row r="36" spans="2:16" s="13" customFormat="1">
      <c r="B36" s="287" t="str">
        <f>'Terminal offers'!$A4</f>
        <v>Bank of Melbourne</v>
      </c>
      <c r="C36" s="279">
        <f>'Terminal offers'!$C4</f>
        <v>55</v>
      </c>
      <c r="D36" s="280">
        <f>'Terminal offers'!$D4</f>
        <v>3500</v>
      </c>
      <c r="E36" s="365">
        <f>'Terminal offers'!$E4</f>
        <v>1.4999999999999999E-2</v>
      </c>
      <c r="F36" s="366"/>
      <c r="G36" s="109">
        <f>IF('Terminal offers'!$G4&gt;0,'Terminal offers'!$G4,'Terminal offers'!$G$68)</f>
        <v>2.3276000000000005E-2</v>
      </c>
      <c r="H36" s="272">
        <f>IF('Terminal offers'!$H4&gt;0,'Terminal offers'!$H4,'Terminal offers'!$H$68)</f>
        <v>2.9711000000000001E-2</v>
      </c>
      <c r="I36" s="285">
        <f>'Terminal offers'!$J4</f>
        <v>10</v>
      </c>
      <c r="J36" s="282">
        <f t="shared" si="1"/>
        <v>65</v>
      </c>
      <c r="K36" s="281">
        <f>IF(($C$74+$C$75)&lt;=D36, 0, E36*(($C$74+$C$75)-D36))</f>
        <v>0</v>
      </c>
      <c r="L36" s="283">
        <f t="shared" si="3"/>
        <v>8.4027813543010517</v>
      </c>
      <c r="M36" s="281">
        <f t="shared" si="2"/>
        <v>73.402781354301055</v>
      </c>
      <c r="N36" s="284">
        <f t="shared" si="4"/>
        <v>2137.7963930894712</v>
      </c>
      <c r="O36" s="110">
        <f t="shared" si="5"/>
        <v>3.4335721395909902E-2</v>
      </c>
      <c r="P36" s="110" t="s">
        <v>144</v>
      </c>
    </row>
    <row r="37" spans="2:16" s="13" customFormat="1">
      <c r="B37" s="269" t="str">
        <f>'Terminal offers'!$A5</f>
        <v>Bank of Melbourne</v>
      </c>
      <c r="C37" s="262">
        <f>'Terminal offers'!$C5</f>
        <v>85</v>
      </c>
      <c r="D37" s="22">
        <f>'Terminal offers'!$D5</f>
        <v>6000</v>
      </c>
      <c r="E37" s="353">
        <f>'Terminal offers'!$E5</f>
        <v>1.4999999999999999E-2</v>
      </c>
      <c r="F37" s="354"/>
      <c r="G37" s="24">
        <f>IF('Terminal offers'!$G5&gt;0,'Terminal offers'!$G5,'Terminal offers'!$G$68)</f>
        <v>2.3276000000000005E-2</v>
      </c>
      <c r="H37" s="272">
        <f>IF('Terminal offers'!$H5&gt;0,'Terminal offers'!$H5,'Terminal offers'!$H$68)</f>
        <v>2.9711000000000001E-2</v>
      </c>
      <c r="I37" s="26">
        <f>'Terminal offers'!$J5</f>
        <v>10</v>
      </c>
      <c r="J37" s="25">
        <f t="shared" si="1"/>
        <v>95</v>
      </c>
      <c r="K37" s="27">
        <f t="shared" ref="K37:K40" si="9">IF(($C$74+$C$75)&lt;=D37, 0, E37*(($C$74+$C$75)-D37))</f>
        <v>0</v>
      </c>
      <c r="L37" s="32">
        <f t="shared" si="3"/>
        <v>8.4027813543010517</v>
      </c>
      <c r="M37" s="27">
        <f t="shared" si="2"/>
        <v>103.40278135430106</v>
      </c>
      <c r="N37" s="263">
        <f t="shared" si="4"/>
        <v>2137.7963930894712</v>
      </c>
      <c r="O37" s="30">
        <f t="shared" si="5"/>
        <v>4.8368863231575965E-2</v>
      </c>
      <c r="P37" s="30" t="s">
        <v>145</v>
      </c>
    </row>
    <row r="38" spans="2:16" s="13" customFormat="1">
      <c r="B38" s="269" t="str">
        <f>'Terminal offers'!$A6</f>
        <v>Bank of Melbourne</v>
      </c>
      <c r="C38" s="262">
        <f>'Terminal offers'!$C6</f>
        <v>125</v>
      </c>
      <c r="D38" s="22">
        <f>'Terminal offers'!$D6</f>
        <v>10000</v>
      </c>
      <c r="E38" s="353">
        <f>'Terminal offers'!$E6</f>
        <v>1.4999999999999999E-2</v>
      </c>
      <c r="F38" s="354"/>
      <c r="G38" s="24">
        <f>IF('Terminal offers'!$G6&gt;0,'Terminal offers'!$G6,'Terminal offers'!$G$68)</f>
        <v>2.3276000000000005E-2</v>
      </c>
      <c r="H38" s="272">
        <f>IF('Terminal offers'!$H6&gt;0,'Terminal offers'!$H6,'Terminal offers'!$H$68)</f>
        <v>2.9711000000000001E-2</v>
      </c>
      <c r="I38" s="26">
        <f>'Terminal offers'!$J6</f>
        <v>10</v>
      </c>
      <c r="J38" s="25">
        <f t="shared" si="1"/>
        <v>135</v>
      </c>
      <c r="K38" s="27">
        <f t="shared" si="9"/>
        <v>0</v>
      </c>
      <c r="L38" s="32">
        <f t="shared" si="3"/>
        <v>8.4027813543010517</v>
      </c>
      <c r="M38" s="27">
        <f t="shared" si="2"/>
        <v>143.40278135430106</v>
      </c>
      <c r="N38" s="263">
        <f t="shared" si="4"/>
        <v>2137.7963930894712</v>
      </c>
      <c r="O38" s="30">
        <f t="shared" si="5"/>
        <v>6.7079719012464123E-2</v>
      </c>
      <c r="P38" s="30" t="s">
        <v>146</v>
      </c>
    </row>
    <row r="39" spans="2:16" s="13" customFormat="1">
      <c r="B39" s="269" t="str">
        <f>'Terminal offers'!$A7</f>
        <v>Bank of Melbourne</v>
      </c>
      <c r="C39" s="262">
        <f>'Terminal offers'!$C7</f>
        <v>175</v>
      </c>
      <c r="D39" s="22">
        <f>'Terminal offers'!$D7</f>
        <v>15000</v>
      </c>
      <c r="E39" s="353">
        <f>'Terminal offers'!$E7</f>
        <v>1.4999999999999999E-2</v>
      </c>
      <c r="F39" s="354"/>
      <c r="G39" s="24">
        <f>IF('Terminal offers'!$G7&gt;0,'Terminal offers'!$G7,'Terminal offers'!$G$68)</f>
        <v>2.3276000000000005E-2</v>
      </c>
      <c r="H39" s="272">
        <f>IF('Terminal offers'!$H7&gt;0,'Terminal offers'!$H7,'Terminal offers'!$H$68)</f>
        <v>2.9711000000000001E-2</v>
      </c>
      <c r="I39" s="26">
        <f>'Terminal offers'!$J7</f>
        <v>10</v>
      </c>
      <c r="J39" s="25">
        <f t="shared" si="1"/>
        <v>185</v>
      </c>
      <c r="K39" s="27">
        <f t="shared" si="9"/>
        <v>0</v>
      </c>
      <c r="L39" s="32">
        <f t="shared" si="3"/>
        <v>8.4027813543010517</v>
      </c>
      <c r="M39" s="27">
        <f t="shared" si="2"/>
        <v>193.40278135430106</v>
      </c>
      <c r="N39" s="263">
        <f t="shared" si="4"/>
        <v>2137.7963930894712</v>
      </c>
      <c r="O39" s="30">
        <f t="shared" si="5"/>
        <v>9.0468288738574376E-2</v>
      </c>
      <c r="P39" s="30" t="s">
        <v>147</v>
      </c>
    </row>
    <row r="40" spans="2:16" s="13" customFormat="1">
      <c r="B40" s="270" t="str">
        <f>'Terminal offers'!$A8</f>
        <v>Bank of Melbourne</v>
      </c>
      <c r="C40" s="264">
        <f>'Terminal offers'!$C8</f>
        <v>225</v>
      </c>
      <c r="D40" s="255">
        <f>'Terminal offers'!$D8</f>
        <v>20000</v>
      </c>
      <c r="E40" s="367">
        <f>'Terminal offers'!$E8</f>
        <v>1.4999999999999999E-2</v>
      </c>
      <c r="F40" s="368"/>
      <c r="G40" s="256">
        <f>IF('Terminal offers'!$G8&gt;0,'Terminal offers'!$G8,'Terminal offers'!$G$68)</f>
        <v>2.3276000000000005E-2</v>
      </c>
      <c r="H40" s="273">
        <f>IF('Terminal offers'!$H8&gt;0,'Terminal offers'!$H8,'Terminal offers'!$H$68)</f>
        <v>2.9711000000000001E-2</v>
      </c>
      <c r="I40" s="34">
        <f>'Terminal offers'!$J8</f>
        <v>10</v>
      </c>
      <c r="J40" s="257">
        <f t="shared" si="1"/>
        <v>235</v>
      </c>
      <c r="K40" s="35">
        <f t="shared" si="9"/>
        <v>0</v>
      </c>
      <c r="L40" s="259">
        <f t="shared" si="3"/>
        <v>8.4027813543010517</v>
      </c>
      <c r="M40" s="35">
        <f t="shared" si="2"/>
        <v>243.40278135430106</v>
      </c>
      <c r="N40" s="265">
        <f t="shared" si="4"/>
        <v>2137.7963930894712</v>
      </c>
      <c r="O40" s="38">
        <f t="shared" si="5"/>
        <v>0.11385685846468463</v>
      </c>
      <c r="P40" s="38" t="s">
        <v>148</v>
      </c>
    </row>
    <row r="41" spans="2:16" s="13" customFormat="1">
      <c r="B41" s="287" t="str">
        <f>'Terminal offers'!$A9</f>
        <v>Bank SA</v>
      </c>
      <c r="C41" s="279">
        <f>'Terminal offers'!$C9</f>
        <v>55</v>
      </c>
      <c r="D41" s="280">
        <f>'Terminal offers'!$D9</f>
        <v>3500</v>
      </c>
      <c r="E41" s="365">
        <f>'Terminal offers'!$E9</f>
        <v>1.4999999999999999E-2</v>
      </c>
      <c r="F41" s="366"/>
      <c r="G41" s="109">
        <f>IF('Terminal offers'!$G9&gt;0,'Terminal offers'!$G9,'Terminal offers'!$G$68)</f>
        <v>2.3276000000000005E-2</v>
      </c>
      <c r="H41" s="288">
        <f>IF('Terminal offers'!$H9&gt;0,'Terminal offers'!$H9,'Terminal offers'!$H$68)</f>
        <v>2.9711000000000001E-2</v>
      </c>
      <c r="I41" s="285">
        <f>'Terminal offers'!$J9</f>
        <v>10</v>
      </c>
      <c r="J41" s="282">
        <f t="shared" si="1"/>
        <v>65</v>
      </c>
      <c r="K41" s="281">
        <f>IF(($C$74+$C$75)&lt;=D41, 0, E41*(($C$74+$C$75)-D41))</f>
        <v>0</v>
      </c>
      <c r="L41" s="283">
        <f t="shared" si="3"/>
        <v>8.4027813543010517</v>
      </c>
      <c r="M41" s="281">
        <f t="shared" si="2"/>
        <v>73.402781354301055</v>
      </c>
      <c r="N41" s="284">
        <f t="shared" si="4"/>
        <v>2137.7963930894712</v>
      </c>
      <c r="O41" s="110">
        <f t="shared" si="5"/>
        <v>3.4335721395909902E-2</v>
      </c>
      <c r="P41" s="110" t="s">
        <v>149</v>
      </c>
    </row>
    <row r="42" spans="2:16" s="13" customFormat="1">
      <c r="B42" s="269" t="str">
        <f>'Terminal offers'!$A10</f>
        <v>Bank SA</v>
      </c>
      <c r="C42" s="262">
        <f>'Terminal offers'!$C10</f>
        <v>85</v>
      </c>
      <c r="D42" s="22">
        <f>'Terminal offers'!$D10</f>
        <v>6000</v>
      </c>
      <c r="E42" s="353">
        <f>'Terminal offers'!$E10</f>
        <v>1.4999999999999999E-2</v>
      </c>
      <c r="F42" s="354"/>
      <c r="G42" s="24">
        <f>IF('Terminal offers'!$G10&gt;0,'Terminal offers'!$G10,'Terminal offers'!$G$68)</f>
        <v>2.3276000000000005E-2</v>
      </c>
      <c r="H42" s="272">
        <f>IF('Terminal offers'!$H10&gt;0,'Terminal offers'!$H10,'Terminal offers'!$H$68)</f>
        <v>2.9711000000000001E-2</v>
      </c>
      <c r="I42" s="26">
        <f>'Terminal offers'!$J10</f>
        <v>10</v>
      </c>
      <c r="J42" s="25">
        <f t="shared" si="1"/>
        <v>95</v>
      </c>
      <c r="K42" s="27">
        <f t="shared" ref="K42:K45" si="10">IF(($C$74+$C$75)&lt;=D42, 0, E42*(($C$74+$C$75)-D42))</f>
        <v>0</v>
      </c>
      <c r="L42" s="32">
        <f t="shared" si="3"/>
        <v>8.4027813543010517</v>
      </c>
      <c r="M42" s="27">
        <f t="shared" si="2"/>
        <v>103.40278135430106</v>
      </c>
      <c r="N42" s="263">
        <f t="shared" si="4"/>
        <v>2137.7963930894712</v>
      </c>
      <c r="O42" s="30">
        <f t="shared" si="5"/>
        <v>4.8368863231575965E-2</v>
      </c>
      <c r="P42" s="30" t="s">
        <v>150</v>
      </c>
    </row>
    <row r="43" spans="2:16" s="13" customFormat="1">
      <c r="B43" s="269" t="str">
        <f>'Terminal offers'!$A11</f>
        <v>Bank SA</v>
      </c>
      <c r="C43" s="262">
        <f>'Terminal offers'!$C11</f>
        <v>125</v>
      </c>
      <c r="D43" s="22">
        <f>'Terminal offers'!$D11</f>
        <v>10000</v>
      </c>
      <c r="E43" s="353">
        <f>'Terminal offers'!$E11</f>
        <v>1.4999999999999999E-2</v>
      </c>
      <c r="F43" s="354"/>
      <c r="G43" s="24">
        <f>IF('Terminal offers'!$G11&gt;0,'Terminal offers'!$G11,'Terminal offers'!$G$68)</f>
        <v>2.3276000000000005E-2</v>
      </c>
      <c r="H43" s="272">
        <f>IF('Terminal offers'!$H11&gt;0,'Terminal offers'!$H11,'Terminal offers'!$H$68)</f>
        <v>2.9711000000000001E-2</v>
      </c>
      <c r="I43" s="26">
        <f>'Terminal offers'!$J11</f>
        <v>10</v>
      </c>
      <c r="J43" s="25">
        <f t="shared" si="1"/>
        <v>135</v>
      </c>
      <c r="K43" s="27">
        <f t="shared" si="10"/>
        <v>0</v>
      </c>
      <c r="L43" s="32">
        <f t="shared" si="3"/>
        <v>8.4027813543010517</v>
      </c>
      <c r="M43" s="27">
        <f t="shared" si="2"/>
        <v>143.40278135430106</v>
      </c>
      <c r="N43" s="263">
        <f t="shared" si="4"/>
        <v>2137.7963930894712</v>
      </c>
      <c r="O43" s="30">
        <f t="shared" si="5"/>
        <v>6.7079719012464123E-2</v>
      </c>
      <c r="P43" s="30" t="s">
        <v>151</v>
      </c>
    </row>
    <row r="44" spans="2:16" s="13" customFormat="1">
      <c r="B44" s="269" t="str">
        <f>'Terminal offers'!$A12</f>
        <v>Bank SA</v>
      </c>
      <c r="C44" s="262">
        <f>'Terminal offers'!$C12</f>
        <v>175</v>
      </c>
      <c r="D44" s="22">
        <f>'Terminal offers'!$D12</f>
        <v>15000</v>
      </c>
      <c r="E44" s="353">
        <f>'Terminal offers'!$E12</f>
        <v>1.4999999999999999E-2</v>
      </c>
      <c r="F44" s="354"/>
      <c r="G44" s="24">
        <f>IF('Terminal offers'!$G12&gt;0,'Terminal offers'!$G12,'Terminal offers'!$G$68)</f>
        <v>2.3276000000000005E-2</v>
      </c>
      <c r="H44" s="272">
        <f>IF('Terminal offers'!$H12&gt;0,'Terminal offers'!$H12,'Terminal offers'!$H$68)</f>
        <v>2.9711000000000001E-2</v>
      </c>
      <c r="I44" s="26">
        <f>'Terminal offers'!$J12</f>
        <v>10</v>
      </c>
      <c r="J44" s="25">
        <f t="shared" si="1"/>
        <v>185</v>
      </c>
      <c r="K44" s="27">
        <f t="shared" si="10"/>
        <v>0</v>
      </c>
      <c r="L44" s="32">
        <f t="shared" si="3"/>
        <v>8.4027813543010517</v>
      </c>
      <c r="M44" s="27">
        <f t="shared" si="2"/>
        <v>193.40278135430106</v>
      </c>
      <c r="N44" s="263">
        <f t="shared" si="4"/>
        <v>2137.7963930894712</v>
      </c>
      <c r="O44" s="30">
        <f t="shared" si="5"/>
        <v>9.0468288738574376E-2</v>
      </c>
      <c r="P44" s="30" t="s">
        <v>152</v>
      </c>
    </row>
    <row r="45" spans="2:16" s="13" customFormat="1">
      <c r="B45" s="270" t="str">
        <f>'Terminal offers'!$A13</f>
        <v>Bank SA</v>
      </c>
      <c r="C45" s="264">
        <f>'Terminal offers'!$C13</f>
        <v>225</v>
      </c>
      <c r="D45" s="255">
        <f>'Terminal offers'!$D13</f>
        <v>20000</v>
      </c>
      <c r="E45" s="367">
        <f>'Terminal offers'!$E13</f>
        <v>1.4999999999999999E-2</v>
      </c>
      <c r="F45" s="368"/>
      <c r="G45" s="256">
        <f>IF('Terminal offers'!$G13&gt;0,'Terminal offers'!$G13,'Terminal offers'!$G$68)</f>
        <v>2.3276000000000005E-2</v>
      </c>
      <c r="H45" s="273">
        <f>IF('Terminal offers'!$H13&gt;0,'Terminal offers'!$H13,'Terminal offers'!$H$68)</f>
        <v>2.9711000000000001E-2</v>
      </c>
      <c r="I45" s="34">
        <f>'Terminal offers'!$J13</f>
        <v>10</v>
      </c>
      <c r="J45" s="257">
        <f t="shared" si="1"/>
        <v>235</v>
      </c>
      <c r="K45" s="35">
        <f t="shared" si="10"/>
        <v>0</v>
      </c>
      <c r="L45" s="259">
        <f t="shared" si="3"/>
        <v>8.4027813543010517</v>
      </c>
      <c r="M45" s="35">
        <f t="shared" si="2"/>
        <v>243.40278135430106</v>
      </c>
      <c r="N45" s="265">
        <f t="shared" si="4"/>
        <v>2137.7963930894712</v>
      </c>
      <c r="O45" s="38">
        <f t="shared" si="5"/>
        <v>0.11385685846468463</v>
      </c>
      <c r="P45" s="30" t="s">
        <v>153</v>
      </c>
    </row>
    <row r="46" spans="2:16" s="13" customFormat="1">
      <c r="B46" s="289" t="str">
        <f>'Terminal offers'!$A18</f>
        <v>Bendigo Bank</v>
      </c>
      <c r="C46" s="290">
        <f>'Terminal offers'!C$18</f>
        <v>33</v>
      </c>
      <c r="D46" s="291">
        <f>'Terminal offers'!D$18</f>
        <v>0</v>
      </c>
      <c r="E46" s="292">
        <f>'Terminal offers'!$E$18</f>
        <v>0.27500000000000002</v>
      </c>
      <c r="F46" s="293">
        <f>'Terminal offers'!$F$18</f>
        <v>1.3750000000000002E-2</v>
      </c>
      <c r="G46" s="294">
        <f>IF('Terminal offers'!$G$18&gt;0,'Terminal offers'!$G$18,'Terminal offers'!$G$68)</f>
        <v>2.3276000000000005E-2</v>
      </c>
      <c r="H46" s="294">
        <f>IF('Terminal offers'!$H$18&gt;0,'Terminal offers'!$H$18,'Terminal offers'!$H$68)</f>
        <v>2.9711000000000001E-2</v>
      </c>
      <c r="I46" s="35">
        <f>'Terminal offers'!$J$18</f>
        <v>0</v>
      </c>
      <c r="J46" s="295">
        <f t="shared" si="1"/>
        <v>33</v>
      </c>
      <c r="K46" s="296">
        <f>(C79*E46)+(C75*F46)</f>
        <v>24.177508895449737</v>
      </c>
      <c r="L46" s="297">
        <f t="shared" si="3"/>
        <v>8.4027813543010517</v>
      </c>
      <c r="M46" s="298">
        <f t="shared" si="2"/>
        <v>65.580290249750789</v>
      </c>
      <c r="N46" s="299">
        <f t="shared" si="4"/>
        <v>2137.7963930894712</v>
      </c>
      <c r="O46" s="300">
        <f t="shared" si="5"/>
        <v>3.0676583823296744E-2</v>
      </c>
      <c r="P46" s="300" t="s">
        <v>154</v>
      </c>
    </row>
    <row r="47" spans="2:16" s="13" customFormat="1">
      <c r="B47" s="287" t="str">
        <f>'Terminal offers'!$A14</f>
        <v>Bankwest</v>
      </c>
      <c r="C47" s="279">
        <f>'Terminal offers'!$C14</f>
        <v>60</v>
      </c>
      <c r="D47" s="280">
        <f>'Terminal offers'!$D14</f>
        <v>3000</v>
      </c>
      <c r="E47" s="365">
        <f>'Terminal offers'!$E14</f>
        <v>1.4999999999999999E-2</v>
      </c>
      <c r="F47" s="366"/>
      <c r="G47" s="109">
        <f>IF('Terminal offers'!$G14&gt;0,'Terminal offers'!$G14,'Terminal offers'!$G$68)</f>
        <v>2.3276000000000005E-2</v>
      </c>
      <c r="H47" s="109">
        <f>IF('Terminal offers'!$H14&gt;0,'Terminal offers'!$H14,'Terminal offers'!$H$68)</f>
        <v>2.9711000000000001E-2</v>
      </c>
      <c r="I47" s="285">
        <f>'Terminal offers'!$J14</f>
        <v>0</v>
      </c>
      <c r="J47" s="282">
        <f t="shared" si="1"/>
        <v>60</v>
      </c>
      <c r="K47" s="281">
        <f>IF(($C$74+$C$75)&lt;=D47, 0, E47*(($C$74+$C$75)-D47))</f>
        <v>0</v>
      </c>
      <c r="L47" s="283">
        <f t="shared" si="3"/>
        <v>8.4027813543010517</v>
      </c>
      <c r="M47" s="281">
        <f t="shared" si="2"/>
        <v>68.402781354301055</v>
      </c>
      <c r="N47" s="284">
        <f t="shared" si="4"/>
        <v>2137.7963930894712</v>
      </c>
      <c r="O47" s="110">
        <f t="shared" si="5"/>
        <v>3.1996864423298854E-2</v>
      </c>
      <c r="P47" s="110" t="s">
        <v>155</v>
      </c>
    </row>
    <row r="48" spans="2:16" s="13" customFormat="1">
      <c r="B48" s="269" t="str">
        <f>'Terminal offers'!$A15</f>
        <v>Bankwest</v>
      </c>
      <c r="C48" s="262">
        <f>'Terminal offers'!$C15</f>
        <v>90</v>
      </c>
      <c r="D48" s="22">
        <f>'Terminal offers'!$D15</f>
        <v>6000</v>
      </c>
      <c r="E48" s="353">
        <f>'Terminal offers'!$E15</f>
        <v>1.4999999999999999E-2</v>
      </c>
      <c r="F48" s="354"/>
      <c r="G48" s="24">
        <f>IF('Terminal offers'!$G15&gt;0,'Terminal offers'!$G15,'Terminal offers'!$G$68)</f>
        <v>2.3276000000000005E-2</v>
      </c>
      <c r="H48" s="24">
        <f>IF('Terminal offers'!$H15&gt;0,'Terminal offers'!$H15,'Terminal offers'!$H$68)</f>
        <v>2.9711000000000001E-2</v>
      </c>
      <c r="I48" s="26">
        <f>'Terminal offers'!$J15</f>
        <v>0</v>
      </c>
      <c r="J48" s="25">
        <f t="shared" si="1"/>
        <v>90</v>
      </c>
      <c r="K48" s="27">
        <f t="shared" ref="K48:K50" si="11">IF(($C$74+$C$75)&lt;=D48, 0, E48*(($C$74+$C$75)-D48))</f>
        <v>0</v>
      </c>
      <c r="L48" s="32">
        <f t="shared" si="3"/>
        <v>8.4027813543010517</v>
      </c>
      <c r="M48" s="27">
        <f t="shared" si="2"/>
        <v>98.402781354301055</v>
      </c>
      <c r="N48" s="263">
        <f t="shared" si="4"/>
        <v>2137.7963930894712</v>
      </c>
      <c r="O48" s="30">
        <f t="shared" si="5"/>
        <v>4.6030006258964917E-2</v>
      </c>
      <c r="P48" s="30" t="s">
        <v>156</v>
      </c>
    </row>
    <row r="49" spans="2:16" s="13" customFormat="1">
      <c r="B49" s="269" t="str">
        <f>'Terminal offers'!$A16</f>
        <v>Bankwest</v>
      </c>
      <c r="C49" s="262">
        <f>'Terminal offers'!$C16</f>
        <v>120</v>
      </c>
      <c r="D49" s="22">
        <f>'Terminal offers'!$D16</f>
        <v>9000</v>
      </c>
      <c r="E49" s="353">
        <f>'Terminal offers'!$E16</f>
        <v>1.4999999999999999E-2</v>
      </c>
      <c r="F49" s="354"/>
      <c r="G49" s="24">
        <f>IF('Terminal offers'!$G16&gt;0,'Terminal offers'!$G16,'Terminal offers'!$G$68)</f>
        <v>2.3276000000000005E-2</v>
      </c>
      <c r="H49" s="24">
        <f>IF('Terminal offers'!$H16&gt;0,'Terminal offers'!$H16,'Terminal offers'!$H$68)</f>
        <v>2.9711000000000001E-2</v>
      </c>
      <c r="I49" s="26">
        <f>'Terminal offers'!$J16</f>
        <v>0</v>
      </c>
      <c r="J49" s="25">
        <f t="shared" si="1"/>
        <v>120</v>
      </c>
      <c r="K49" s="27">
        <f t="shared" si="11"/>
        <v>0</v>
      </c>
      <c r="L49" s="32">
        <f t="shared" si="3"/>
        <v>8.4027813543010517</v>
      </c>
      <c r="M49" s="27">
        <f t="shared" si="2"/>
        <v>128.40278135430106</v>
      </c>
      <c r="N49" s="263">
        <f t="shared" si="4"/>
        <v>2137.7963930894712</v>
      </c>
      <c r="O49" s="30">
        <f t="shared" si="5"/>
        <v>6.0063148094631202E-2</v>
      </c>
      <c r="P49" s="30" t="s">
        <v>157</v>
      </c>
    </row>
    <row r="50" spans="2:16" s="13" customFormat="1">
      <c r="B50" s="270" t="str">
        <f>'Terminal offers'!$A17</f>
        <v>Bankwest</v>
      </c>
      <c r="C50" s="264">
        <f>'Terminal offers'!$C17</f>
        <v>150</v>
      </c>
      <c r="D50" s="255">
        <f>'Terminal offers'!$D17</f>
        <v>12000</v>
      </c>
      <c r="E50" s="367">
        <f>'Terminal offers'!$E17</f>
        <v>1.4999999999999999E-2</v>
      </c>
      <c r="F50" s="368"/>
      <c r="G50" s="256">
        <f>IF('Terminal offers'!$G17&gt;0,'Terminal offers'!$G17,'Terminal offers'!$G$68)</f>
        <v>2.3276000000000005E-2</v>
      </c>
      <c r="H50" s="256">
        <f>IF('Terminal offers'!$H17&gt;0,'Terminal offers'!$H17,'Terminal offers'!$H$68)</f>
        <v>2.9711000000000001E-2</v>
      </c>
      <c r="I50" s="34">
        <f>'Terminal offers'!$J17</f>
        <v>0</v>
      </c>
      <c r="J50" s="257">
        <f t="shared" si="1"/>
        <v>150</v>
      </c>
      <c r="K50" s="35">
        <f t="shared" si="11"/>
        <v>0</v>
      </c>
      <c r="L50" s="259">
        <f t="shared" si="3"/>
        <v>8.4027813543010517</v>
      </c>
      <c r="M50" s="35">
        <f t="shared" si="2"/>
        <v>158.40278135430106</v>
      </c>
      <c r="N50" s="265">
        <f t="shared" si="4"/>
        <v>2137.7963930894712</v>
      </c>
      <c r="O50" s="38">
        <f t="shared" si="5"/>
        <v>7.4096289930297266E-2</v>
      </c>
      <c r="P50" s="38" t="s">
        <v>158</v>
      </c>
    </row>
    <row r="51" spans="2:16" s="13" customFormat="1">
      <c r="B51" s="278" t="str">
        <f>'Terminal offers'!$A28</f>
        <v>Hume Bank</v>
      </c>
      <c r="C51" s="279">
        <f>'Terminal offers'!$C28</f>
        <v>40</v>
      </c>
      <c r="D51" s="280">
        <f>'Terminal offers'!$D28</f>
        <v>1500</v>
      </c>
      <c r="E51" s="365">
        <f>'Terminal offers'!$E28</f>
        <v>1.4999999999999999E-2</v>
      </c>
      <c r="F51" s="366"/>
      <c r="G51" s="109">
        <f>IF('Terminal offers'!$G28&gt;0,'Terminal offers'!$G28,'Terminal offers'!$G$68)</f>
        <v>2.3276000000000005E-2</v>
      </c>
      <c r="H51" s="109">
        <f>IF('Terminal offers'!$H28&gt;0,'Terminal offers'!$H28,'Terminal offers'!$H$68)</f>
        <v>2.9711000000000001E-2</v>
      </c>
      <c r="I51" s="285">
        <f>'Terminal offers'!$J28</f>
        <v>0</v>
      </c>
      <c r="J51" s="282">
        <f t="shared" si="1"/>
        <v>40</v>
      </c>
      <c r="K51" s="285">
        <f>IF(($C$74+$C$75)&lt;=D51, 0, E51*(($C$74+$C$75)-D51))</f>
        <v>4.2737925903125538</v>
      </c>
      <c r="L51" s="283">
        <f t="shared" si="3"/>
        <v>8.4027813543010517</v>
      </c>
      <c r="M51" s="281">
        <f t="shared" si="2"/>
        <v>52.676573944613608</v>
      </c>
      <c r="N51" s="284">
        <f t="shared" si="4"/>
        <v>2137.7963930894712</v>
      </c>
      <c r="O51" s="110">
        <f t="shared" si="5"/>
        <v>2.464059445272393E-2</v>
      </c>
      <c r="P51" s="110" t="s">
        <v>159</v>
      </c>
    </row>
    <row r="52" spans="2:16" s="13" customFormat="1">
      <c r="B52" s="267" t="str">
        <f>'Terminal offers'!$A29</f>
        <v>Hume Bank</v>
      </c>
      <c r="C52" s="262">
        <f>'Terminal offers'!$C29</f>
        <v>100</v>
      </c>
      <c r="D52" s="22">
        <f>'Terminal offers'!$D29</f>
        <v>6000</v>
      </c>
      <c r="E52" s="353">
        <f>'Terminal offers'!$E29</f>
        <v>1.4999999999999999E-2</v>
      </c>
      <c r="F52" s="354"/>
      <c r="G52" s="24">
        <f>IF('Terminal offers'!$G29&gt;0,'Terminal offers'!$G29,'Terminal offers'!$G$68)</f>
        <v>2.3276000000000005E-2</v>
      </c>
      <c r="H52" s="24">
        <f>IF('Terminal offers'!$H29&gt;0,'Terminal offers'!$H29,'Terminal offers'!$H$68)</f>
        <v>2.9711000000000001E-2</v>
      </c>
      <c r="I52" s="26">
        <f>'Terminal offers'!$J29</f>
        <v>0</v>
      </c>
      <c r="J52" s="25">
        <f t="shared" si="1"/>
        <v>100</v>
      </c>
      <c r="K52" s="26">
        <f t="shared" ref="K52:K55" si="12">IF(($C$74+$C$75)&lt;=D52, 0, E52*(($C$74+$C$75)-D52))</f>
        <v>0</v>
      </c>
      <c r="L52" s="32">
        <f t="shared" si="3"/>
        <v>8.4027813543010517</v>
      </c>
      <c r="M52" s="27">
        <f t="shared" si="2"/>
        <v>108.40278135430106</v>
      </c>
      <c r="N52" s="263">
        <f t="shared" si="4"/>
        <v>2137.7963930894712</v>
      </c>
      <c r="O52" s="30">
        <f t="shared" si="5"/>
        <v>5.0707720204187012E-2</v>
      </c>
      <c r="P52" s="30" t="s">
        <v>160</v>
      </c>
    </row>
    <row r="53" spans="2:16" s="13" customFormat="1">
      <c r="B53" s="267" t="str">
        <f>'Terminal offers'!$A30</f>
        <v>Hume Bank</v>
      </c>
      <c r="C53" s="262">
        <f>'Terminal offers'!$C30</f>
        <v>190</v>
      </c>
      <c r="D53" s="22">
        <f>'Terminal offers'!$D30</f>
        <v>15000</v>
      </c>
      <c r="E53" s="353">
        <f>'Terminal offers'!$E30</f>
        <v>1.2E-2</v>
      </c>
      <c r="F53" s="354"/>
      <c r="G53" s="24">
        <f>IF('Terminal offers'!$G30&gt;0,'Terminal offers'!$G30,'Terminal offers'!$G$68)</f>
        <v>2.3276000000000005E-2</v>
      </c>
      <c r="H53" s="24">
        <f>IF('Terminal offers'!$H30&gt;0,'Terminal offers'!$H30,'Terminal offers'!$H$68)</f>
        <v>2.9711000000000001E-2</v>
      </c>
      <c r="I53" s="26">
        <f>'Terminal offers'!$J30</f>
        <v>0</v>
      </c>
      <c r="J53" s="25">
        <f t="shared" si="1"/>
        <v>190</v>
      </c>
      <c r="K53" s="26">
        <f t="shared" si="12"/>
        <v>0</v>
      </c>
      <c r="L53" s="32">
        <f t="shared" si="3"/>
        <v>8.4027813543010517</v>
      </c>
      <c r="M53" s="27">
        <f t="shared" si="2"/>
        <v>198.40278135430106</v>
      </c>
      <c r="N53" s="263">
        <f t="shared" si="4"/>
        <v>2137.7963930894712</v>
      </c>
      <c r="O53" s="30">
        <f t="shared" si="5"/>
        <v>9.2807145711185424E-2</v>
      </c>
      <c r="P53" s="30" t="s">
        <v>162</v>
      </c>
    </row>
    <row r="54" spans="2:16" s="13" customFormat="1">
      <c r="B54" s="267" t="str">
        <f>'Terminal offers'!$A31</f>
        <v>Hume Bank</v>
      </c>
      <c r="C54" s="262">
        <f>'Terminal offers'!$C31</f>
        <v>240</v>
      </c>
      <c r="D54" s="22">
        <f>'Terminal offers'!$D31</f>
        <v>20000</v>
      </c>
      <c r="E54" s="353">
        <f>'Terminal offers'!$E31</f>
        <v>1.15E-2</v>
      </c>
      <c r="F54" s="354"/>
      <c r="G54" s="24">
        <f>IF('Terminal offers'!$G31&gt;0,'Terminal offers'!$G31,'Terminal offers'!$G$68)</f>
        <v>2.3276000000000005E-2</v>
      </c>
      <c r="H54" s="24">
        <f>IF('Terminal offers'!$H31&gt;0,'Terminal offers'!$H31,'Terminal offers'!$H$68)</f>
        <v>2.9711000000000001E-2</v>
      </c>
      <c r="I54" s="26">
        <f>'Terminal offers'!$J31</f>
        <v>0</v>
      </c>
      <c r="J54" s="25">
        <f t="shared" si="1"/>
        <v>240</v>
      </c>
      <c r="K54" s="26">
        <f t="shared" si="12"/>
        <v>0</v>
      </c>
      <c r="L54" s="32">
        <f t="shared" si="3"/>
        <v>8.4027813543010517</v>
      </c>
      <c r="M54" s="27">
        <f t="shared" si="2"/>
        <v>248.40278135430106</v>
      </c>
      <c r="N54" s="263">
        <f t="shared" si="4"/>
        <v>2137.7963930894712</v>
      </c>
      <c r="O54" s="30">
        <f t="shared" si="5"/>
        <v>0.11619571543729568</v>
      </c>
      <c r="P54" s="30" t="s">
        <v>161</v>
      </c>
    </row>
    <row r="55" spans="2:16" s="13" customFormat="1">
      <c r="B55" s="268" t="str">
        <f>'Terminal offers'!$A32</f>
        <v>Hume Bank</v>
      </c>
      <c r="C55" s="264">
        <f>'Terminal offers'!$C32</f>
        <v>310</v>
      </c>
      <c r="D55" s="255">
        <f>'Terminal offers'!$D32</f>
        <v>30000</v>
      </c>
      <c r="E55" s="367">
        <f>'Terminal offers'!$E32</f>
        <v>0.01</v>
      </c>
      <c r="F55" s="368"/>
      <c r="G55" s="256">
        <f>IF('Terminal offers'!$G32&gt;0,'Terminal offers'!$G32,'Terminal offers'!$G$68)</f>
        <v>2.3276000000000005E-2</v>
      </c>
      <c r="H55" s="256">
        <f>IF('Terminal offers'!$H32&gt;0,'Terminal offers'!$H32,'Terminal offers'!$H$68)</f>
        <v>2.9711000000000001E-2</v>
      </c>
      <c r="I55" s="34">
        <f>'Terminal offers'!$J32</f>
        <v>0</v>
      </c>
      <c r="J55" s="257">
        <f t="shared" si="1"/>
        <v>310</v>
      </c>
      <c r="K55" s="34">
        <f t="shared" si="12"/>
        <v>0</v>
      </c>
      <c r="L55" s="259">
        <f t="shared" si="3"/>
        <v>8.4027813543010517</v>
      </c>
      <c r="M55" s="35">
        <f t="shared" si="2"/>
        <v>318.40278135430106</v>
      </c>
      <c r="N55" s="265">
        <f t="shared" si="4"/>
        <v>2137.7963930894712</v>
      </c>
      <c r="O55" s="38">
        <f t="shared" si="5"/>
        <v>0.1489397130538499</v>
      </c>
      <c r="P55" s="38" t="s">
        <v>163</v>
      </c>
    </row>
    <row r="56" spans="2:16" s="13" customFormat="1">
      <c r="B56" s="287" t="str">
        <f>'Terminal offers'!$A45</f>
        <v>St George</v>
      </c>
      <c r="C56" s="279">
        <f>'Terminal offers'!$C45</f>
        <v>55</v>
      </c>
      <c r="D56" s="280">
        <f>'Terminal offers'!$D45</f>
        <v>3500</v>
      </c>
      <c r="E56" s="365">
        <f>'Terminal offers'!$E45</f>
        <v>1.4999999999999999E-2</v>
      </c>
      <c r="F56" s="366"/>
      <c r="G56" s="109">
        <f>IF('Terminal offers'!$G45&gt;0,'Terminal offers'!$G45,'Terminal offers'!$G$68)</f>
        <v>2.3276000000000005E-2</v>
      </c>
      <c r="H56" s="109">
        <f>IF('Terminal offers'!$H45&gt;0,'Terminal offers'!$H45,'Terminal offers'!$H$68)</f>
        <v>2.9711000000000001E-2</v>
      </c>
      <c r="I56" s="285">
        <f>'Terminal offers'!$J45</f>
        <v>10</v>
      </c>
      <c r="J56" s="282">
        <f t="shared" si="1"/>
        <v>65</v>
      </c>
      <c r="K56" s="281">
        <f>IF(($C$74+$C$75)&lt;=D56, 0, E56*(($C$74+$C$75)-D56))</f>
        <v>0</v>
      </c>
      <c r="L56" s="283">
        <f t="shared" si="3"/>
        <v>8.4027813543010517</v>
      </c>
      <c r="M56" s="281">
        <f t="shared" si="2"/>
        <v>73.402781354301055</v>
      </c>
      <c r="N56" s="284">
        <f t="shared" si="4"/>
        <v>2137.7963930894712</v>
      </c>
      <c r="O56" s="110">
        <f t="shared" si="5"/>
        <v>3.4335721395909902E-2</v>
      </c>
      <c r="P56" s="110" t="s">
        <v>164</v>
      </c>
    </row>
    <row r="57" spans="2:16" s="13" customFormat="1">
      <c r="B57" s="269" t="str">
        <f>'Terminal offers'!$A46</f>
        <v>St George</v>
      </c>
      <c r="C57" s="262">
        <f>'Terminal offers'!$C46</f>
        <v>85</v>
      </c>
      <c r="D57" s="22">
        <f>'Terminal offers'!$D46</f>
        <v>6000</v>
      </c>
      <c r="E57" s="353">
        <f>'Terminal offers'!$E46</f>
        <v>1.4999999999999999E-2</v>
      </c>
      <c r="F57" s="354"/>
      <c r="G57" s="24">
        <f>IF('Terminal offers'!$G46&gt;0,'Terminal offers'!$G46,'Terminal offers'!$G$68)</f>
        <v>2.3276000000000005E-2</v>
      </c>
      <c r="H57" s="24">
        <f>IF('Terminal offers'!$H46&gt;0,'Terminal offers'!$H46,'Terminal offers'!$H$68)</f>
        <v>2.9711000000000001E-2</v>
      </c>
      <c r="I57" s="26">
        <f>'Terminal offers'!$J46</f>
        <v>10</v>
      </c>
      <c r="J57" s="25">
        <f t="shared" si="1"/>
        <v>95</v>
      </c>
      <c r="K57" s="27">
        <f t="shared" ref="K57:K60" si="13">IF(($C$74+$C$75)&lt;=D57, 0, E57*(($C$74+$C$75)-D57))</f>
        <v>0</v>
      </c>
      <c r="L57" s="32">
        <f t="shared" si="3"/>
        <v>8.4027813543010517</v>
      </c>
      <c r="M57" s="27">
        <f t="shared" si="2"/>
        <v>103.40278135430106</v>
      </c>
      <c r="N57" s="263">
        <f t="shared" si="4"/>
        <v>2137.7963930894712</v>
      </c>
      <c r="O57" s="30">
        <f t="shared" si="5"/>
        <v>4.8368863231575965E-2</v>
      </c>
      <c r="P57" s="30" t="s">
        <v>165</v>
      </c>
    </row>
    <row r="58" spans="2:16" s="13" customFormat="1">
      <c r="B58" s="269" t="str">
        <f>'Terminal offers'!$A47</f>
        <v>St George</v>
      </c>
      <c r="C58" s="262">
        <f>'Terminal offers'!$C47</f>
        <v>125</v>
      </c>
      <c r="D58" s="22">
        <f>'Terminal offers'!$D47</f>
        <v>10000</v>
      </c>
      <c r="E58" s="353">
        <f>'Terminal offers'!$E47</f>
        <v>1.4999999999999999E-2</v>
      </c>
      <c r="F58" s="354"/>
      <c r="G58" s="24">
        <f>IF('Terminal offers'!$G47&gt;0,'Terminal offers'!$G47,'Terminal offers'!$G$68)</f>
        <v>2.3276000000000005E-2</v>
      </c>
      <c r="H58" s="24">
        <f>IF('Terminal offers'!$H47&gt;0,'Terminal offers'!$H47,'Terminal offers'!$H$68)</f>
        <v>2.9711000000000001E-2</v>
      </c>
      <c r="I58" s="26">
        <f>'Terminal offers'!$J47</f>
        <v>10</v>
      </c>
      <c r="J58" s="25">
        <f t="shared" si="1"/>
        <v>135</v>
      </c>
      <c r="K58" s="27">
        <f t="shared" si="13"/>
        <v>0</v>
      </c>
      <c r="L58" s="32">
        <f t="shared" si="3"/>
        <v>8.4027813543010517</v>
      </c>
      <c r="M58" s="27">
        <f t="shared" si="2"/>
        <v>143.40278135430106</v>
      </c>
      <c r="N58" s="263">
        <f t="shared" si="4"/>
        <v>2137.7963930894712</v>
      </c>
      <c r="O58" s="30">
        <f t="shared" si="5"/>
        <v>6.7079719012464123E-2</v>
      </c>
      <c r="P58" s="30" t="s">
        <v>166</v>
      </c>
    </row>
    <row r="59" spans="2:16" s="13" customFormat="1">
      <c r="B59" s="269" t="str">
        <f>'Terminal offers'!$A48</f>
        <v>St George</v>
      </c>
      <c r="C59" s="262">
        <f>'Terminal offers'!$C48</f>
        <v>175</v>
      </c>
      <c r="D59" s="22">
        <f>'Terminal offers'!$D48</f>
        <v>15000</v>
      </c>
      <c r="E59" s="353">
        <f>'Terminal offers'!$E48</f>
        <v>1.4999999999999999E-2</v>
      </c>
      <c r="F59" s="354"/>
      <c r="G59" s="24">
        <f>IF('Terminal offers'!$G48&gt;0,'Terminal offers'!$G48,'Terminal offers'!$G$68)</f>
        <v>2.3276000000000005E-2</v>
      </c>
      <c r="H59" s="24">
        <f>IF('Terminal offers'!$H48&gt;0,'Terminal offers'!$H48,'Terminal offers'!$H$68)</f>
        <v>2.9711000000000001E-2</v>
      </c>
      <c r="I59" s="26">
        <f>'Terminal offers'!$J48</f>
        <v>10</v>
      </c>
      <c r="J59" s="25">
        <f t="shared" si="1"/>
        <v>185</v>
      </c>
      <c r="K59" s="27">
        <f t="shared" si="13"/>
        <v>0</v>
      </c>
      <c r="L59" s="32">
        <f t="shared" si="3"/>
        <v>8.4027813543010517</v>
      </c>
      <c r="M59" s="27">
        <f t="shared" si="2"/>
        <v>193.40278135430106</v>
      </c>
      <c r="N59" s="263">
        <f t="shared" si="4"/>
        <v>2137.7963930894712</v>
      </c>
      <c r="O59" s="30">
        <f t="shared" si="5"/>
        <v>9.0468288738574376E-2</v>
      </c>
      <c r="P59" s="30" t="s">
        <v>167</v>
      </c>
    </row>
    <row r="60" spans="2:16" s="13" customFormat="1">
      <c r="B60" s="270" t="str">
        <f>'Terminal offers'!$A49</f>
        <v>St George</v>
      </c>
      <c r="C60" s="264">
        <f>'Terminal offers'!$C49</f>
        <v>225</v>
      </c>
      <c r="D60" s="255">
        <f>'Terminal offers'!$D49</f>
        <v>20000</v>
      </c>
      <c r="E60" s="367">
        <f>'Terminal offers'!$E49</f>
        <v>1.4999999999999999E-2</v>
      </c>
      <c r="F60" s="368"/>
      <c r="G60" s="256">
        <f>IF('Terminal offers'!$G49&gt;0,'Terminal offers'!$G49,'Terminal offers'!$G$68)</f>
        <v>2.3276000000000005E-2</v>
      </c>
      <c r="H60" s="256">
        <f>IF('Terminal offers'!$H49&gt;0,'Terminal offers'!$H49,'Terminal offers'!$H$68)</f>
        <v>2.9711000000000001E-2</v>
      </c>
      <c r="I60" s="34">
        <f>'Terminal offers'!$J49</f>
        <v>10</v>
      </c>
      <c r="J60" s="257">
        <f t="shared" si="1"/>
        <v>235</v>
      </c>
      <c r="K60" s="35">
        <f t="shared" si="13"/>
        <v>0</v>
      </c>
      <c r="L60" s="259">
        <f t="shared" si="3"/>
        <v>8.4027813543010517</v>
      </c>
      <c r="M60" s="35">
        <f t="shared" si="2"/>
        <v>243.40278135430106</v>
      </c>
      <c r="N60" s="265">
        <f t="shared" si="4"/>
        <v>2137.7963930894712</v>
      </c>
      <c r="O60" s="38">
        <f t="shared" si="5"/>
        <v>0.11385685846468463</v>
      </c>
      <c r="P60" s="38" t="s">
        <v>168</v>
      </c>
    </row>
    <row r="61" spans="2:16" s="13" customFormat="1">
      <c r="B61" s="289" t="str">
        <f>'Terminal offers'!$A33</f>
        <v>Live eftpos</v>
      </c>
      <c r="C61" s="290">
        <f>'Terminal offers'!$C$33</f>
        <v>28.996000000000002</v>
      </c>
      <c r="D61" s="291">
        <f>'Terminal offers'!$D$33</f>
        <v>0</v>
      </c>
      <c r="E61" s="292">
        <f>'Terminal offers'!$E$33</f>
        <v>0.35200000000000004</v>
      </c>
      <c r="F61" s="293">
        <f>'Terminal offers'!$F$33</f>
        <v>1.7600000000000001E-2</v>
      </c>
      <c r="G61" s="294">
        <f>IF('Terminal offers'!$G$33&gt;0,'Terminal offers'!$G$33,'Terminal offers'!$G$68)</f>
        <v>1.7600000000000001E-2</v>
      </c>
      <c r="H61" s="294">
        <f>IF('Terminal offers'!$H$33&gt;0,'Terminal offers'!$H$33,'Terminal offers'!$H$68)</f>
        <v>1.7600000000000001E-2</v>
      </c>
      <c r="I61" s="296">
        <f>'Terminal offers'!$J$33</f>
        <v>0</v>
      </c>
      <c r="J61" s="295">
        <f t="shared" si="1"/>
        <v>28.996000000000002</v>
      </c>
      <c r="K61" s="296">
        <f>($C$79*E61)+($C$75*F61)</f>
        <v>30.947211386175663</v>
      </c>
      <c r="L61" s="297">
        <f t="shared" si="3"/>
        <v>6.2106332124079557</v>
      </c>
      <c r="M61" s="298">
        <f t="shared" si="2"/>
        <v>66.153844598583618</v>
      </c>
      <c r="N61" s="299">
        <f t="shared" si="4"/>
        <v>2137.7963930894712</v>
      </c>
      <c r="O61" s="300">
        <f t="shared" si="5"/>
        <v>3.0944876140884592E-2</v>
      </c>
      <c r="P61" s="300" t="s">
        <v>169</v>
      </c>
    </row>
    <row r="62" spans="2:16" s="13" customFormat="1">
      <c r="B62" s="289" t="str">
        <f>'Terminal offers'!$A50</f>
        <v>Tyro</v>
      </c>
      <c r="C62" s="290">
        <f>'Terminal offers'!$C$50</f>
        <v>42.900000000000006</v>
      </c>
      <c r="D62" s="291">
        <f>'Terminal offers'!$D$50</f>
        <v>0</v>
      </c>
      <c r="E62" s="369">
        <f>'Terminal offers'!$E$50</f>
        <v>1.2100000000000001E-2</v>
      </c>
      <c r="F62" s="370"/>
      <c r="G62" s="294">
        <f>IF('Terminal offers'!$G$50&gt;0,'Terminal offers'!$G$50,'Terminal offers'!$G$68)</f>
        <v>2.3276000000000005E-2</v>
      </c>
      <c r="H62" s="294">
        <f>IF('Terminal offers'!$H$50&gt;0,'Terminal offers'!$H$50,'Terminal offers'!$H$68)</f>
        <v>2.9711000000000001E-2</v>
      </c>
      <c r="I62" s="285">
        <f>'Terminal offers'!$J$50</f>
        <v>0</v>
      </c>
      <c r="J62" s="295">
        <f t="shared" si="1"/>
        <v>42.900000000000006</v>
      </c>
      <c r="K62" s="296">
        <f>E62*(C74+C75)</f>
        <v>21.597526022852129</v>
      </c>
      <c r="L62" s="297">
        <f t="shared" si="3"/>
        <v>8.4027813543010517</v>
      </c>
      <c r="M62" s="298">
        <f t="shared" si="2"/>
        <v>72.900307377153183</v>
      </c>
      <c r="N62" s="299">
        <f t="shared" si="4"/>
        <v>2137.7963930894712</v>
      </c>
      <c r="O62" s="300">
        <f t="shared" si="5"/>
        <v>3.4100678442908317E-2</v>
      </c>
      <c r="P62" s="300" t="s">
        <v>170</v>
      </c>
    </row>
    <row r="63" spans="2:16" s="13" customFormat="1">
      <c r="B63" s="287" t="str">
        <f>'Terminal offers'!$A23</f>
        <v>First Data</v>
      </c>
      <c r="C63" s="279">
        <f>'Terminal offers'!$C23</f>
        <v>45</v>
      </c>
      <c r="D63" s="280">
        <f>'Terminal offers'!$D23</f>
        <v>2500</v>
      </c>
      <c r="E63" s="365">
        <f>'Terminal offers'!$E23</f>
        <v>1.7500000000000002E-2</v>
      </c>
      <c r="F63" s="366"/>
      <c r="G63" s="109">
        <f>IF('Terminal offers'!$G23&gt;0,'Terminal offers'!$G23,'Terminal offers'!$G$68)</f>
        <v>2.3276000000000005E-2</v>
      </c>
      <c r="H63" s="288">
        <f>IF('Terminal offers'!$H23&gt;0,'Terminal offers'!$H23,'Terminal offers'!$H$68)</f>
        <v>2.9711000000000001E-2</v>
      </c>
      <c r="I63" s="285">
        <f>'Terminal offers'!$J23</f>
        <v>0</v>
      </c>
      <c r="J63" s="282">
        <f t="shared" si="1"/>
        <v>45</v>
      </c>
      <c r="K63" s="281">
        <f>IF(($C$74+$C$75)&lt;=D63, 0, E63*(($C$74+$C$75)-D63))</f>
        <v>0</v>
      </c>
      <c r="L63" s="283">
        <f t="shared" si="3"/>
        <v>8.4027813543010517</v>
      </c>
      <c r="M63" s="281">
        <f t="shared" si="2"/>
        <v>53.402781354301055</v>
      </c>
      <c r="N63" s="284">
        <f t="shared" si="4"/>
        <v>2137.7963930894712</v>
      </c>
      <c r="O63" s="110">
        <f t="shared" si="5"/>
        <v>2.4980293505465712E-2</v>
      </c>
      <c r="P63" s="110" t="s">
        <v>171</v>
      </c>
    </row>
    <row r="64" spans="2:16" s="13" customFormat="1">
      <c r="B64" s="269" t="str">
        <f>'Terminal offers'!$A24</f>
        <v>First Data</v>
      </c>
      <c r="C64" s="262">
        <f>'Terminal offers'!$C24</f>
        <v>65</v>
      </c>
      <c r="D64" s="22">
        <f>'Terminal offers'!$D24</f>
        <v>4500</v>
      </c>
      <c r="E64" s="353">
        <f>'Terminal offers'!$E24</f>
        <v>1.7500000000000002E-2</v>
      </c>
      <c r="F64" s="354"/>
      <c r="G64" s="24">
        <f>IF('Terminal offers'!$G24&gt;0,'Terminal offers'!$G24,'Terminal offers'!$G$68)</f>
        <v>2.3276000000000005E-2</v>
      </c>
      <c r="H64" s="272">
        <f>IF('Terminal offers'!$H24&gt;0,'Terminal offers'!$H24,'Terminal offers'!$H$68)</f>
        <v>2.9711000000000001E-2</v>
      </c>
      <c r="I64" s="26">
        <f>'Terminal offers'!$J24</f>
        <v>0</v>
      </c>
      <c r="J64" s="25">
        <f t="shared" si="1"/>
        <v>65</v>
      </c>
      <c r="K64" s="27">
        <f t="shared" ref="K64:K67" si="14">IF(($C$74+$C$75)&lt;=D64, 0, E64*(($C$74+$C$75)-D64))</f>
        <v>0</v>
      </c>
      <c r="L64" s="32">
        <f t="shared" si="3"/>
        <v>8.4027813543010517</v>
      </c>
      <c r="M64" s="27">
        <f t="shared" si="2"/>
        <v>73.402781354301055</v>
      </c>
      <c r="N64" s="263">
        <f t="shared" si="4"/>
        <v>2137.7963930894712</v>
      </c>
      <c r="O64" s="30">
        <f t="shared" si="5"/>
        <v>3.4335721395909902E-2</v>
      </c>
      <c r="P64" s="30" t="s">
        <v>172</v>
      </c>
    </row>
    <row r="65" spans="2:17" s="13" customFormat="1">
      <c r="B65" s="269" t="str">
        <f>'Terminal offers'!$A25</f>
        <v>First Data</v>
      </c>
      <c r="C65" s="262">
        <f>'Terminal offers'!$C25</f>
        <v>95</v>
      </c>
      <c r="D65" s="22">
        <f>'Terminal offers'!$D25</f>
        <v>8000</v>
      </c>
      <c r="E65" s="353">
        <f>'Terminal offers'!$E25</f>
        <v>1.7500000000000002E-2</v>
      </c>
      <c r="F65" s="354"/>
      <c r="G65" s="24">
        <f>IF('Terminal offers'!$G25&gt;0,'Terminal offers'!$G25,'Terminal offers'!$G$68)</f>
        <v>2.3276000000000005E-2</v>
      </c>
      <c r="H65" s="272">
        <f>IF('Terminal offers'!$H25&gt;0,'Terminal offers'!$H25,'Terminal offers'!$H$68)</f>
        <v>2.9711000000000001E-2</v>
      </c>
      <c r="I65" s="26">
        <f>'Terminal offers'!$J25</f>
        <v>0</v>
      </c>
      <c r="J65" s="25">
        <f t="shared" si="1"/>
        <v>95</v>
      </c>
      <c r="K65" s="27">
        <f t="shared" si="14"/>
        <v>0</v>
      </c>
      <c r="L65" s="32">
        <f t="shared" si="3"/>
        <v>8.4027813543010517</v>
      </c>
      <c r="M65" s="27">
        <f t="shared" si="2"/>
        <v>103.40278135430106</v>
      </c>
      <c r="N65" s="263">
        <f t="shared" si="4"/>
        <v>2137.7963930894712</v>
      </c>
      <c r="O65" s="30">
        <f t="shared" si="5"/>
        <v>4.8368863231575965E-2</v>
      </c>
      <c r="P65" s="30" t="s">
        <v>173</v>
      </c>
    </row>
    <row r="66" spans="2:17" s="13" customFormat="1">
      <c r="B66" s="269" t="str">
        <f>'Terminal offers'!$A26</f>
        <v>First Data</v>
      </c>
      <c r="C66" s="262">
        <f>'Terminal offers'!$C26</f>
        <v>125</v>
      </c>
      <c r="D66" s="22">
        <f>'Terminal offers'!$D26</f>
        <v>10500</v>
      </c>
      <c r="E66" s="353">
        <f>'Terminal offers'!$E26</f>
        <v>1.7500000000000002E-2</v>
      </c>
      <c r="F66" s="354"/>
      <c r="G66" s="24">
        <f>IF('Terminal offers'!$G26&gt;0,'Terminal offers'!$G26,'Terminal offers'!$G$68)</f>
        <v>2.3276000000000005E-2</v>
      </c>
      <c r="H66" s="272">
        <f>IF('Terminal offers'!$H26&gt;0,'Terminal offers'!$H26,'Terminal offers'!$H$68)</f>
        <v>2.9711000000000001E-2</v>
      </c>
      <c r="I66" s="26">
        <f>'Terminal offers'!$J26</f>
        <v>0</v>
      </c>
      <c r="J66" s="25">
        <f t="shared" si="1"/>
        <v>125</v>
      </c>
      <c r="K66" s="27">
        <f t="shared" si="14"/>
        <v>0</v>
      </c>
      <c r="L66" s="32">
        <f t="shared" si="3"/>
        <v>8.4027813543010517</v>
      </c>
      <c r="M66" s="27">
        <f t="shared" si="2"/>
        <v>133.40278135430106</v>
      </c>
      <c r="N66" s="263">
        <f t="shared" si="4"/>
        <v>2137.7963930894712</v>
      </c>
      <c r="O66" s="30">
        <f t="shared" si="5"/>
        <v>6.240200506724225E-2</v>
      </c>
      <c r="P66" s="30" t="s">
        <v>174</v>
      </c>
    </row>
    <row r="67" spans="2:17" s="13" customFormat="1">
      <c r="B67" s="270" t="str">
        <f>'Terminal offers'!$A27</f>
        <v>First Data</v>
      </c>
      <c r="C67" s="264">
        <f>'Terminal offers'!$C27</f>
        <v>170</v>
      </c>
      <c r="D67" s="255">
        <f>'Terminal offers'!$D27</f>
        <v>14500</v>
      </c>
      <c r="E67" s="367">
        <f>'Terminal offers'!$E27</f>
        <v>1.7500000000000002E-2</v>
      </c>
      <c r="F67" s="368"/>
      <c r="G67" s="256">
        <f>IF('Terminal offers'!$G27&gt;0,'Terminal offers'!$G27,'Terminal offers'!$G$68)</f>
        <v>2.3276000000000005E-2</v>
      </c>
      <c r="H67" s="273">
        <f>IF('Terminal offers'!$H27&gt;0,'Terminal offers'!$H27,'Terminal offers'!$H$68)</f>
        <v>2.9711000000000001E-2</v>
      </c>
      <c r="I67" s="26">
        <f>'Terminal offers'!$J27</f>
        <v>0</v>
      </c>
      <c r="J67" s="257">
        <f t="shared" si="1"/>
        <v>170</v>
      </c>
      <c r="K67" s="35">
        <f t="shared" si="14"/>
        <v>0</v>
      </c>
      <c r="L67" s="259">
        <f t="shared" si="3"/>
        <v>8.4027813543010517</v>
      </c>
      <c r="M67" s="35">
        <f t="shared" si="2"/>
        <v>178.40278135430106</v>
      </c>
      <c r="N67" s="265">
        <f t="shared" si="4"/>
        <v>2137.7963930894712</v>
      </c>
      <c r="O67" s="38">
        <f t="shared" si="5"/>
        <v>8.3451717820741234E-2</v>
      </c>
      <c r="P67" s="38" t="s">
        <v>175</v>
      </c>
    </row>
    <row r="68" spans="2:17" s="13" customFormat="1">
      <c r="B68" s="289" t="str">
        <f>'Terminal offers'!$A34</f>
        <v>Mint</v>
      </c>
      <c r="C68" s="290">
        <f>'Terminal offers'!$C$34</f>
        <v>39</v>
      </c>
      <c r="D68" s="291">
        <f>'Terminal offers'!$D$34</f>
        <v>0</v>
      </c>
      <c r="E68" s="292">
        <f>'Terminal offers'!$E$34</f>
        <v>0.25</v>
      </c>
      <c r="F68" s="293">
        <f>'Terminal offers'!$F$34</f>
        <v>1.2500000000000001E-2</v>
      </c>
      <c r="G68" s="294">
        <f>IF('Terminal offers'!$G$34&gt;0,'Terminal offers'!$G$34,'Terminal offers'!$G$68)</f>
        <v>2.3276000000000005E-2</v>
      </c>
      <c r="H68" s="301">
        <f>IF('Terminal offers'!$H$34&gt;0,'Terminal offers'!$H$34,'Terminal offers'!$H$68)</f>
        <v>2.9711000000000001E-2</v>
      </c>
      <c r="I68" s="296">
        <f>'Terminal offers'!$J$34</f>
        <v>0</v>
      </c>
      <c r="J68" s="295">
        <f t="shared" si="1"/>
        <v>39</v>
      </c>
      <c r="K68" s="298">
        <f>($C$79*E68)+($C$75*F68)</f>
        <v>21.979553541317941</v>
      </c>
      <c r="L68" s="297">
        <f t="shared" si="3"/>
        <v>8.4027813543010517</v>
      </c>
      <c r="M68" s="298">
        <f t="shared" si="2"/>
        <v>69.382334895618996</v>
      </c>
      <c r="N68" s="302">
        <f t="shared" si="4"/>
        <v>2137.7963930894712</v>
      </c>
      <c r="O68" s="300">
        <f t="shared" si="5"/>
        <v>3.2455071549330139E-2</v>
      </c>
      <c r="P68" s="300" t="s">
        <v>176</v>
      </c>
    </row>
    <row r="69" spans="2:17" s="13" customFormat="1">
      <c r="B69" s="15"/>
      <c r="C69" s="16"/>
      <c r="D69" s="16"/>
      <c r="E69" s="16"/>
      <c r="F69" s="16"/>
      <c r="G69" s="16"/>
      <c r="H69" s="16"/>
      <c r="I69" s="15"/>
      <c r="J69" s="15"/>
      <c r="K69" s="15"/>
      <c r="L69" s="15"/>
      <c r="M69" s="15"/>
      <c r="N69" s="195"/>
      <c r="O69" s="274"/>
      <c r="P69" s="274"/>
      <c r="Q69" s="39"/>
    </row>
    <row r="70" spans="2:17" s="13" customFormat="1">
      <c r="B70" s="40" t="s">
        <v>108</v>
      </c>
      <c r="C70" s="41"/>
      <c r="D70" s="16"/>
      <c r="E70" s="16"/>
      <c r="F70" s="16"/>
      <c r="G70" s="16"/>
      <c r="H70" s="16"/>
      <c r="I70" s="15"/>
      <c r="J70" s="15"/>
      <c r="K70" s="15"/>
      <c r="L70" s="15"/>
      <c r="M70" s="15"/>
      <c r="N70" s="275"/>
      <c r="O70" s="274"/>
      <c r="P70" s="274"/>
      <c r="Q70" s="39"/>
    </row>
    <row r="71" spans="2:17" s="13" customFormat="1">
      <c r="B71" s="42" t="s">
        <v>33</v>
      </c>
      <c r="C71" s="43">
        <f>'1. Monthly revenue &amp; trips '!C6</f>
        <v>2137.7963930894712</v>
      </c>
      <c r="D71" s="16"/>
      <c r="E71" s="16"/>
      <c r="F71" s="16"/>
      <c r="G71" s="16"/>
      <c r="H71" s="16"/>
      <c r="I71" s="15"/>
      <c r="J71" s="15"/>
      <c r="K71" s="15"/>
      <c r="L71" s="15"/>
      <c r="M71" s="15"/>
      <c r="N71" s="195"/>
      <c r="O71" s="274"/>
      <c r="P71" s="274"/>
      <c r="Q71" s="39"/>
    </row>
    <row r="72" spans="2:17" s="13" customFormat="1">
      <c r="B72" s="42" t="s">
        <v>21</v>
      </c>
      <c r="C72" s="45">
        <f>'1. Monthly revenue &amp; trips '!C4</f>
        <v>28.489485170139162</v>
      </c>
      <c r="D72" s="251"/>
      <c r="E72" s="251"/>
      <c r="F72" s="251"/>
      <c r="G72" s="251"/>
      <c r="H72" s="251"/>
      <c r="I72" s="251"/>
      <c r="J72" s="251"/>
      <c r="K72" s="251"/>
      <c r="L72" s="251"/>
      <c r="M72" s="251"/>
      <c r="N72" s="251"/>
      <c r="O72" s="15"/>
      <c r="P72" s="15"/>
    </row>
    <row r="73" spans="2:17" s="13" customFormat="1">
      <c r="B73" s="42"/>
      <c r="C73" s="45"/>
      <c r="D73" s="251"/>
      <c r="E73" s="251"/>
      <c r="F73" s="251"/>
      <c r="G73" s="251"/>
      <c r="H73" s="251"/>
      <c r="I73" s="251"/>
      <c r="J73" s="251"/>
      <c r="K73" s="251"/>
      <c r="L73" s="251"/>
      <c r="M73" s="251"/>
      <c r="N73" s="251"/>
      <c r="O73" s="15"/>
      <c r="P73" s="15"/>
    </row>
    <row r="74" spans="2:17" s="13" customFormat="1">
      <c r="B74" s="42" t="s">
        <v>34</v>
      </c>
      <c r="C74" s="46">
        <f>'1. Monthly revenue &amp; trips '!C7</f>
        <v>89.115489170208349</v>
      </c>
      <c r="D74" s="251"/>
      <c r="E74" s="251"/>
      <c r="F74" s="251"/>
      <c r="G74" s="251"/>
      <c r="H74" s="251"/>
      <c r="I74" s="251"/>
      <c r="J74" s="251"/>
      <c r="K74" s="251"/>
      <c r="L74" s="251"/>
      <c r="M74" s="251"/>
      <c r="N74" s="251"/>
      <c r="O74" s="15"/>
      <c r="P74" s="15"/>
    </row>
    <row r="75" spans="2:17" s="13" customFormat="1" ht="12.75" customHeight="1">
      <c r="B75" s="42" t="s">
        <v>197</v>
      </c>
      <c r="C75" s="46">
        <f>'1. Monthly revenue &amp; trips '!C8</f>
        <v>1695.8040168506286</v>
      </c>
      <c r="D75" s="251"/>
      <c r="E75" s="251"/>
      <c r="F75" s="251"/>
      <c r="G75" s="251"/>
      <c r="H75" s="251"/>
      <c r="I75" s="251"/>
      <c r="J75" s="251"/>
      <c r="K75" s="251"/>
      <c r="L75" s="251"/>
      <c r="M75" s="251"/>
      <c r="N75" s="251"/>
      <c r="O75" s="15"/>
      <c r="P75" s="15"/>
    </row>
    <row r="76" spans="2:17" s="13" customFormat="1" ht="12.75" customHeight="1">
      <c r="B76" s="42" t="s">
        <v>39</v>
      </c>
      <c r="C76" s="46">
        <f>'1. Monthly revenue &amp; trips '!C9</f>
        <v>323.47223580343899</v>
      </c>
      <c r="D76" s="251"/>
      <c r="E76" s="251"/>
      <c r="F76" s="251"/>
      <c r="G76" s="251"/>
      <c r="H76" s="251"/>
      <c r="I76" s="251"/>
      <c r="J76" s="251"/>
      <c r="K76" s="251"/>
      <c r="L76" s="251"/>
      <c r="M76" s="251"/>
      <c r="N76" s="251"/>
      <c r="O76" s="15"/>
      <c r="P76" s="15"/>
    </row>
    <row r="77" spans="2:17" s="13" customFormat="1" ht="12.75" customHeight="1">
      <c r="B77" s="42" t="s">
        <v>114</v>
      </c>
      <c r="C77" s="46">
        <f>'1. Monthly revenue &amp; trips '!C10</f>
        <v>29.40465126519484</v>
      </c>
      <c r="D77" s="251"/>
      <c r="E77" s="251"/>
      <c r="F77" s="251"/>
      <c r="G77" s="251"/>
      <c r="H77" s="251"/>
      <c r="I77" s="251"/>
      <c r="J77" s="251"/>
      <c r="K77" s="251"/>
      <c r="L77" s="251"/>
      <c r="M77" s="251"/>
      <c r="N77" s="251"/>
      <c r="O77" s="15"/>
      <c r="P77" s="15"/>
    </row>
    <row r="78" spans="2:17" s="13" customFormat="1" ht="12.75" customHeight="1">
      <c r="B78" s="42"/>
      <c r="C78" s="46"/>
      <c r="D78" s="251"/>
      <c r="E78" s="251"/>
      <c r="F78" s="251"/>
      <c r="G78" s="251"/>
      <c r="H78" s="251"/>
      <c r="I78" s="251"/>
      <c r="J78" s="251"/>
      <c r="K78" s="251"/>
      <c r="L78" s="251"/>
      <c r="M78" s="251"/>
      <c r="N78" s="251"/>
      <c r="O78" s="15"/>
      <c r="P78" s="15"/>
    </row>
    <row r="79" spans="2:17" s="13" customFormat="1">
      <c r="B79" s="42" t="s">
        <v>38</v>
      </c>
      <c r="C79" s="51">
        <f>'1. Monthly revenue &amp; trips '!C13</f>
        <v>3.1280133227403297</v>
      </c>
      <c r="D79" s="251"/>
      <c r="E79" s="251"/>
      <c r="F79" s="251"/>
      <c r="G79" s="251"/>
      <c r="H79" s="251"/>
      <c r="I79" s="251"/>
      <c r="J79" s="251"/>
      <c r="K79" s="251"/>
      <c r="L79" s="251"/>
      <c r="M79" s="251"/>
      <c r="N79" s="251"/>
      <c r="O79" s="15"/>
      <c r="P79" s="15"/>
    </row>
    <row r="80" spans="2:17" s="13" customFormat="1">
      <c r="B80" s="42" t="s">
        <v>198</v>
      </c>
      <c r="C80" s="51">
        <f>'1. Monthly revenue &amp; trips '!C14</f>
        <v>59.523856142829175</v>
      </c>
      <c r="D80" s="251"/>
      <c r="E80" s="251"/>
      <c r="F80" s="251"/>
      <c r="G80" s="251"/>
      <c r="H80" s="251"/>
      <c r="I80" s="251"/>
      <c r="J80" s="251"/>
      <c r="K80" s="251"/>
      <c r="L80" s="251"/>
      <c r="M80" s="251"/>
      <c r="N80" s="251"/>
      <c r="O80" s="15"/>
      <c r="P80" s="15"/>
    </row>
    <row r="81" spans="2:16" s="13" customFormat="1">
      <c r="B81" s="42" t="s">
        <v>41</v>
      </c>
      <c r="C81" s="51">
        <f>'1. Monthly revenue &amp; trips '!C15</f>
        <v>11.35409200523152</v>
      </c>
      <c r="D81" s="251"/>
      <c r="E81" s="251"/>
      <c r="F81" s="251"/>
      <c r="G81" s="251"/>
      <c r="H81" s="251"/>
      <c r="I81" s="251"/>
      <c r="J81" s="251"/>
      <c r="K81" s="251"/>
      <c r="L81" s="251"/>
      <c r="M81" s="251"/>
      <c r="N81" s="251"/>
      <c r="O81" s="15"/>
      <c r="P81" s="15"/>
    </row>
    <row r="82" spans="2:16" s="13" customFormat="1">
      <c r="B82" s="44" t="s">
        <v>113</v>
      </c>
      <c r="C82" s="54">
        <f>'1. Monthly revenue &amp; trips '!C16</f>
        <v>1.032122942537933</v>
      </c>
      <c r="D82" s="251"/>
      <c r="E82" s="251"/>
      <c r="F82" s="251"/>
      <c r="G82" s="251"/>
      <c r="H82" s="251"/>
      <c r="I82" s="251"/>
      <c r="J82" s="251"/>
      <c r="K82" s="251"/>
      <c r="L82" s="251"/>
      <c r="M82" s="251"/>
      <c r="N82" s="251"/>
      <c r="O82" s="15"/>
      <c r="P82" s="15"/>
    </row>
    <row r="83" spans="2:16" s="13" customFormat="1">
      <c r="C83" s="14"/>
      <c r="D83" s="251"/>
      <c r="E83" s="251"/>
      <c r="F83" s="251"/>
      <c r="G83" s="251"/>
      <c r="H83" s="251"/>
      <c r="I83" s="251"/>
      <c r="J83" s="251"/>
      <c r="K83" s="251"/>
      <c r="L83" s="251"/>
      <c r="M83" s="251"/>
      <c r="N83" s="251"/>
    </row>
  </sheetData>
  <mergeCells count="49">
    <mergeCell ref="E67:F67"/>
    <mergeCell ref="E55:F55"/>
    <mergeCell ref="E56:F56"/>
    <mergeCell ref="E57:F57"/>
    <mergeCell ref="E58:F58"/>
    <mergeCell ref="E59:F59"/>
    <mergeCell ref="E60:F60"/>
    <mergeCell ref="E62:F62"/>
    <mergeCell ref="E63:F63"/>
    <mergeCell ref="E64:F64"/>
    <mergeCell ref="E65:F65"/>
    <mergeCell ref="E66:F66"/>
    <mergeCell ref="E54:F54"/>
    <mergeCell ref="E42:F42"/>
    <mergeCell ref="E43:F43"/>
    <mergeCell ref="E44:F44"/>
    <mergeCell ref="E45:F45"/>
    <mergeCell ref="E47:F47"/>
    <mergeCell ref="E48:F48"/>
    <mergeCell ref="E49:F49"/>
    <mergeCell ref="E50:F50"/>
    <mergeCell ref="E51:F51"/>
    <mergeCell ref="E52:F52"/>
    <mergeCell ref="E53:F53"/>
    <mergeCell ref="E41:F41"/>
    <mergeCell ref="E30:F30"/>
    <mergeCell ref="E31:F31"/>
    <mergeCell ref="E32:F32"/>
    <mergeCell ref="E33:F33"/>
    <mergeCell ref="E34:F34"/>
    <mergeCell ref="E35:F35"/>
    <mergeCell ref="E36:F36"/>
    <mergeCell ref="E37:F37"/>
    <mergeCell ref="E38:F38"/>
    <mergeCell ref="E39:F39"/>
    <mergeCell ref="E40:F40"/>
    <mergeCell ref="P19:P20"/>
    <mergeCell ref="E29:F29"/>
    <mergeCell ref="B2:O2"/>
    <mergeCell ref="C19:I19"/>
    <mergeCell ref="J19:M19"/>
    <mergeCell ref="O19:O20"/>
    <mergeCell ref="E22:F22"/>
    <mergeCell ref="E23:F23"/>
    <mergeCell ref="E24:F24"/>
    <mergeCell ref="E25:F25"/>
    <mergeCell ref="E26:F26"/>
    <mergeCell ref="E27:F27"/>
    <mergeCell ref="E28:F28"/>
  </mergeCells>
  <pageMargins left="0.7" right="0.7" top="0.75" bottom="0.75" header="0.3" footer="0.3"/>
  <pageSetup paperSize="8" scale="75" orientation="landscape" r:id="rId1"/>
  <ignoredErrors>
    <ignoredError sqref="K46"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W34"/>
  <sheetViews>
    <sheetView zoomScale="85" zoomScaleNormal="85" workbookViewId="0"/>
  </sheetViews>
  <sheetFormatPr defaultColWidth="0" defaultRowHeight="12" zeroHeight="1"/>
  <cols>
    <col min="1" max="1" width="2.85546875" style="2" customWidth="1"/>
    <col min="2" max="2" width="30.28515625" style="2" customWidth="1"/>
    <col min="3" max="8" width="17" style="1" customWidth="1"/>
    <col min="9" max="15" width="17" style="2" customWidth="1"/>
    <col min="16" max="16" width="2.85546875" style="2" customWidth="1"/>
    <col min="17" max="17" width="22.42578125" style="2" hidden="1" customWidth="1"/>
    <col min="18" max="18" width="11.5703125" style="2" hidden="1" customWidth="1"/>
    <col min="19" max="19" width="16" style="2" hidden="1" customWidth="1"/>
    <col min="20" max="21" width="9.140625" style="2" hidden="1" customWidth="1"/>
    <col min="22" max="22" width="21.7109375" style="2" hidden="1" customWidth="1"/>
    <col min="23" max="23" width="19.28515625" style="2" hidden="1" customWidth="1"/>
    <col min="24" max="16384" width="9.140625" style="2" hidden="1"/>
  </cols>
  <sheetData>
    <row r="1" spans="2:15" s="13" customFormat="1">
      <c r="C1" s="14"/>
      <c r="D1" s="14"/>
      <c r="E1" s="14"/>
      <c r="F1" s="14"/>
      <c r="G1" s="14"/>
      <c r="H1" s="14"/>
    </row>
    <row r="2" spans="2:15" s="13" customFormat="1" ht="28.5" customHeight="1">
      <c r="B2" s="355" t="s">
        <v>92</v>
      </c>
      <c r="C2" s="356"/>
      <c r="D2" s="356"/>
      <c r="E2" s="356"/>
      <c r="F2" s="356"/>
      <c r="G2" s="356"/>
      <c r="H2" s="356"/>
      <c r="I2" s="356"/>
      <c r="J2" s="356"/>
      <c r="K2" s="356"/>
      <c r="L2" s="356"/>
      <c r="M2" s="356"/>
      <c r="N2" s="356"/>
      <c r="O2" s="357"/>
    </row>
    <row r="3" spans="2:15" s="13" customFormat="1">
      <c r="B3" s="15"/>
      <c r="C3" s="16"/>
      <c r="D3" s="16"/>
      <c r="E3" s="16"/>
      <c r="F3" s="16"/>
      <c r="G3" s="16"/>
      <c r="H3" s="16"/>
      <c r="I3" s="15"/>
      <c r="J3" s="15"/>
      <c r="K3" s="15"/>
      <c r="L3" s="15"/>
      <c r="M3" s="15"/>
      <c r="N3" s="15"/>
      <c r="O3" s="15"/>
    </row>
    <row r="4" spans="2:15" s="13" customFormat="1" ht="12" customHeight="1">
      <c r="B4" s="17"/>
      <c r="C4" s="358" t="s">
        <v>10</v>
      </c>
      <c r="D4" s="359"/>
      <c r="E4" s="359"/>
      <c r="F4" s="359"/>
      <c r="G4" s="359"/>
      <c r="H4" s="359"/>
      <c r="I4" s="360"/>
      <c r="J4" s="361" t="s">
        <v>101</v>
      </c>
      <c r="K4" s="362"/>
      <c r="L4" s="362"/>
      <c r="M4" s="363"/>
      <c r="N4" s="18" t="s">
        <v>8</v>
      </c>
      <c r="O4" s="351" t="s">
        <v>104</v>
      </c>
    </row>
    <row r="5" spans="2:15" s="13" customFormat="1" ht="33.75">
      <c r="B5" s="73" t="s">
        <v>25</v>
      </c>
      <c r="C5" s="20" t="s">
        <v>20</v>
      </c>
      <c r="D5" s="20" t="s">
        <v>19</v>
      </c>
      <c r="E5" s="20" t="s">
        <v>94</v>
      </c>
      <c r="F5" s="72" t="s">
        <v>102</v>
      </c>
      <c r="G5" s="20" t="s">
        <v>95</v>
      </c>
      <c r="H5" s="20" t="s">
        <v>96</v>
      </c>
      <c r="I5" s="71" t="s">
        <v>14</v>
      </c>
      <c r="J5" s="20" t="s">
        <v>16</v>
      </c>
      <c r="K5" s="20" t="s">
        <v>103</v>
      </c>
      <c r="L5" s="20" t="s">
        <v>99</v>
      </c>
      <c r="M5" s="72" t="s">
        <v>15</v>
      </c>
      <c r="N5" s="20" t="s">
        <v>100</v>
      </c>
      <c r="O5" s="352"/>
    </row>
    <row r="6" spans="2:15" s="13" customFormat="1">
      <c r="B6" s="21" t="str">
        <f>'Terminal offers'!$A$3</f>
        <v>ANZ</v>
      </c>
      <c r="C6" s="22">
        <f>'Terminal offers'!$C$3</f>
        <v>40</v>
      </c>
      <c r="D6" s="22">
        <f>'Terminal offers'!$D$3</f>
        <v>0</v>
      </c>
      <c r="E6" s="225">
        <f>'Terminal offers'!$E$3</f>
        <v>0.25</v>
      </c>
      <c r="F6" s="23">
        <f>'Terminal offers'!$F$3</f>
        <v>8.0000000000000002E-3</v>
      </c>
      <c r="G6" s="24">
        <f>IF('Terminal offers'!$G$3&gt;0,'Terminal offers'!$G$3,'Terminal offers'!$G$68)</f>
        <v>2.3276000000000005E-2</v>
      </c>
      <c r="H6" s="24">
        <f>IF('Terminal offers'!$H$3&gt;0,'Terminal offers'!$H$3,'Terminal offers'!$H$68)</f>
        <v>2.9711000000000001E-2</v>
      </c>
      <c r="I6" s="25">
        <f>'Terminal offers'!$J$3</f>
        <v>0</v>
      </c>
      <c r="J6" s="26">
        <f>C6+I6</f>
        <v>40</v>
      </c>
      <c r="K6" s="27">
        <f>MAX((E6*C30)+(F6*C26), 'Terminal offers'!I3)</f>
        <v>29</v>
      </c>
      <c r="L6" s="27">
        <f>(G6*C27)+(H6*C28)</f>
        <v>8.4027813543010517</v>
      </c>
      <c r="M6" s="28">
        <f>SUM(J6:L6)</f>
        <v>77.402781354301055</v>
      </c>
      <c r="N6" s="29">
        <f>$C$22</f>
        <v>2137.7963930894712</v>
      </c>
      <c r="O6" s="30">
        <f>(N6+M6)/N6-1</f>
        <v>3.6206806973998695E-2</v>
      </c>
    </row>
    <row r="7" spans="2:15" s="13" customFormat="1">
      <c r="B7" s="118" t="str">
        <f>'Terminal offers'!$A$19</f>
        <v>Commonwealth Bank</v>
      </c>
      <c r="C7" s="123">
        <f>'Terminal offers'!$C$19</f>
        <v>60</v>
      </c>
      <c r="D7" s="123">
        <f>'Terminal offers'!$D$19</f>
        <v>3000</v>
      </c>
      <c r="E7" s="371">
        <f>'Terminal offers'!$E$19</f>
        <v>1.4999999999999999E-2</v>
      </c>
      <c r="F7" s="372"/>
      <c r="G7" s="115">
        <f>IF('Terminal offers'!$G$19&gt;0,'Terminal offers'!$G$19,'Terminal offers'!$G$68)</f>
        <v>2.3276000000000005E-2</v>
      </c>
      <c r="H7" s="115">
        <f>IF('Terminal offers'!$H$19&gt;0,'Terminal offers'!$H$19,'Terminal offers'!$H$68)</f>
        <v>2.9711000000000001E-2</v>
      </c>
      <c r="I7" s="121">
        <f>'Terminal offers'!$J$19</f>
        <v>0</v>
      </c>
      <c r="J7" s="120">
        <f t="shared" ref="J7:J19" si="0">C7+I7</f>
        <v>60</v>
      </c>
      <c r="K7" s="122">
        <f>IF((C25+C26)&lt;=D7, 0, E7*((C25+C26)-D7))</f>
        <v>0</v>
      </c>
      <c r="L7" s="122">
        <f>(G7*C27)+(H7*C28)</f>
        <v>8.4027813543010517</v>
      </c>
      <c r="M7" s="117">
        <f>SUM(J7:L7)</f>
        <v>68.402781354301055</v>
      </c>
      <c r="N7" s="124">
        <f t="shared" ref="N7:N19" si="1">$C$22</f>
        <v>2137.7963930894712</v>
      </c>
      <c r="O7" s="141">
        <f>(N7+M7)/N7-1</f>
        <v>3.1996864423298854E-2</v>
      </c>
    </row>
    <row r="8" spans="2:15" s="13" customFormat="1">
      <c r="B8" s="31" t="str">
        <f>'Terminal offers'!$A$35</f>
        <v>NAB</v>
      </c>
      <c r="C8" s="22">
        <f>'Terminal offers'!$C$35</f>
        <v>40</v>
      </c>
      <c r="D8" s="22">
        <f>'Terminal offers'!$D$35</f>
        <v>1500</v>
      </c>
      <c r="E8" s="353">
        <f>'Terminal offers'!$E$35</f>
        <v>1.4999999999999999E-2</v>
      </c>
      <c r="F8" s="354"/>
      <c r="G8" s="24">
        <f>IF('Terminal offers'!$G$35&gt;0,'Terminal offers'!$G$35,'Terminal offers'!$G$68)</f>
        <v>2.3276000000000005E-2</v>
      </c>
      <c r="H8" s="24">
        <f>IF('Terminal offers'!$H$35&gt;0,'Terminal offers'!$H$35,'Terminal offers'!$H$68)</f>
        <v>2.9711000000000001E-2</v>
      </c>
      <c r="I8" s="25">
        <f>'Terminal offers'!$J$35</f>
        <v>0</v>
      </c>
      <c r="J8" s="26">
        <f t="shared" si="0"/>
        <v>40</v>
      </c>
      <c r="K8" s="33">
        <f>IF((C25+C26)&lt;=D8, 0, E8*((C25+C26)-D8))</f>
        <v>4.2737925903125538</v>
      </c>
      <c r="L8" s="27">
        <f>(G8*C27)+(H8*C28)</f>
        <v>8.4027813543010517</v>
      </c>
      <c r="M8" s="28">
        <f t="shared" ref="M8:M19" si="2">SUM(J8:L8)</f>
        <v>52.676573944613608</v>
      </c>
      <c r="N8" s="29">
        <f t="shared" si="1"/>
        <v>2137.7963930894712</v>
      </c>
      <c r="O8" s="30">
        <f t="shared" ref="O8:O18" si="3">(N8+M8)/N8-1</f>
        <v>2.464059445272393E-2</v>
      </c>
    </row>
    <row r="9" spans="2:15" s="13" customFormat="1">
      <c r="B9" s="112" t="str">
        <f>'Terminal offers'!$A$51</f>
        <v>Westpac</v>
      </c>
      <c r="C9" s="123">
        <f>'Terminal offers'!$C$51</f>
        <v>55</v>
      </c>
      <c r="D9" s="123">
        <f>'Terminal offers'!$D$51</f>
        <v>3500</v>
      </c>
      <c r="E9" s="371">
        <f>'Terminal offers'!$E$51</f>
        <v>1.4999999999999999E-2</v>
      </c>
      <c r="F9" s="372"/>
      <c r="G9" s="115">
        <f>IF('Terminal offers'!$G$51&gt;0,'Terminal offers'!$G$51,'Terminal offers'!$G$68)</f>
        <v>2.3276000000000005E-2</v>
      </c>
      <c r="H9" s="115">
        <f>IF('Terminal offers'!$H$51&gt;0,'Terminal offers'!$H$51,'Terminal offers'!$H$68)</f>
        <v>2.9711000000000001E-2</v>
      </c>
      <c r="I9" s="119">
        <f>'Terminal offers'!$J$51</f>
        <v>0</v>
      </c>
      <c r="J9" s="120">
        <f t="shared" si="0"/>
        <v>55</v>
      </c>
      <c r="K9" s="122">
        <f>IF((C25+C26)&lt;=D9, 0, E9*((C25+C26)-D9))</f>
        <v>0</v>
      </c>
      <c r="L9" s="122">
        <f>(G9*C27)+(H9*C28)</f>
        <v>8.4027813543010517</v>
      </c>
      <c r="M9" s="117">
        <f t="shared" si="2"/>
        <v>63.402781354301055</v>
      </c>
      <c r="N9" s="124">
        <f t="shared" si="1"/>
        <v>2137.7963930894712</v>
      </c>
      <c r="O9" s="141">
        <f t="shared" si="3"/>
        <v>2.9658007450687807E-2</v>
      </c>
    </row>
    <row r="10" spans="2:15" s="13" customFormat="1">
      <c r="B10" s="21" t="str">
        <f>'Terminal offers'!$A$4</f>
        <v>Bank of Melbourne</v>
      </c>
      <c r="C10" s="22">
        <f>'Terminal offers'!$C$4</f>
        <v>55</v>
      </c>
      <c r="D10" s="22">
        <f>'Terminal offers'!$D$4</f>
        <v>3500</v>
      </c>
      <c r="E10" s="353">
        <f>'Terminal offers'!$E$4</f>
        <v>1.4999999999999999E-2</v>
      </c>
      <c r="F10" s="354"/>
      <c r="G10" s="24">
        <f>IF('Terminal offers'!$G$4&gt;0,'Terminal offers'!$G$4,'Terminal offers'!$G$68)</f>
        <v>2.3276000000000005E-2</v>
      </c>
      <c r="H10" s="24">
        <f>IF('Terminal offers'!$H$4&gt;0,'Terminal offers'!$H$4,'Terminal offers'!$H$68)</f>
        <v>2.9711000000000001E-2</v>
      </c>
      <c r="I10" s="25">
        <f>'Terminal offers'!$J$4</f>
        <v>10</v>
      </c>
      <c r="J10" s="26">
        <f>C10+I10</f>
        <v>65</v>
      </c>
      <c r="K10" s="27">
        <f>IF((C25+C26)&lt;=D10, 0, E10*((C25+C26)-D10))</f>
        <v>0</v>
      </c>
      <c r="L10" s="27">
        <f>(G10*C27)+(H10*C28)</f>
        <v>8.4027813543010517</v>
      </c>
      <c r="M10" s="28">
        <f t="shared" si="2"/>
        <v>73.402781354301055</v>
      </c>
      <c r="N10" s="29">
        <f t="shared" si="1"/>
        <v>2137.7963930894712</v>
      </c>
      <c r="O10" s="30">
        <f t="shared" si="3"/>
        <v>3.4335721395909902E-2</v>
      </c>
    </row>
    <row r="11" spans="2:15" s="13" customFormat="1">
      <c r="B11" s="112" t="str">
        <f>'Terminal offers'!$A$9</f>
        <v>Bank SA</v>
      </c>
      <c r="C11" s="123">
        <f>'Terminal offers'!$C$9</f>
        <v>55</v>
      </c>
      <c r="D11" s="123">
        <f>'Terminal offers'!$D$9</f>
        <v>3500</v>
      </c>
      <c r="E11" s="371">
        <f>'Terminal offers'!$E$9</f>
        <v>1.4999999999999999E-2</v>
      </c>
      <c r="F11" s="372"/>
      <c r="G11" s="115">
        <f>IF('Terminal offers'!$G$9&gt;0,'Terminal offers'!$G$9,'Terminal offers'!$G$68)</f>
        <v>2.3276000000000005E-2</v>
      </c>
      <c r="H11" s="115">
        <f>IF('Terminal offers'!$H$9&gt;0,'Terminal offers'!$H$9,'Terminal offers'!$H$68)</f>
        <v>2.9711000000000001E-2</v>
      </c>
      <c r="I11" s="119">
        <f>'Terminal offers'!$J$9</f>
        <v>10</v>
      </c>
      <c r="J11" s="120">
        <f t="shared" si="0"/>
        <v>65</v>
      </c>
      <c r="K11" s="122">
        <f>IF((C25+C26)&lt;=D11, 0, E11*((C25+C26)-D11))</f>
        <v>0</v>
      </c>
      <c r="L11" s="122">
        <f>(G11*C27)+(H11*C28)</f>
        <v>8.4027813543010517</v>
      </c>
      <c r="M11" s="117">
        <f t="shared" si="2"/>
        <v>73.402781354301055</v>
      </c>
      <c r="N11" s="124">
        <f t="shared" si="1"/>
        <v>2137.7963930894712</v>
      </c>
      <c r="O11" s="141">
        <f t="shared" si="3"/>
        <v>3.4335721395909902E-2</v>
      </c>
    </row>
    <row r="12" spans="2:15" s="13" customFormat="1">
      <c r="B12" s="21" t="str">
        <f>'Terminal offers'!$A$18</f>
        <v>Bendigo Bank</v>
      </c>
      <c r="C12" s="22">
        <f>'Terminal offers'!$C$18</f>
        <v>33</v>
      </c>
      <c r="D12" s="22">
        <f>'Terminal offers'!$D$18</f>
        <v>0</v>
      </c>
      <c r="E12" s="226">
        <f>'Terminal offers'!$E$18</f>
        <v>0.27500000000000002</v>
      </c>
      <c r="F12" s="23">
        <f>'Terminal offers'!$F$18</f>
        <v>1.3750000000000002E-2</v>
      </c>
      <c r="G12" s="24">
        <f>IF('Terminal offers'!$G$18&gt;0,'Terminal offers'!$G$18,'Terminal offers'!$G$68)</f>
        <v>2.3276000000000005E-2</v>
      </c>
      <c r="H12" s="24">
        <f>IF('Terminal offers'!$H$18&gt;0,'Terminal offers'!$H$18,'Terminal offers'!$H$68)</f>
        <v>2.9711000000000001E-2</v>
      </c>
      <c r="I12" s="32">
        <f>'Terminal offers'!$J$18</f>
        <v>0</v>
      </c>
      <c r="J12" s="26">
        <f t="shared" si="0"/>
        <v>33</v>
      </c>
      <c r="K12" s="26">
        <f>(C30*E12)+(C26*F12)</f>
        <v>24.177508895449737</v>
      </c>
      <c r="L12" s="27">
        <f>(G12*C27)+(H12*C28)</f>
        <v>8.4027813543010517</v>
      </c>
      <c r="M12" s="28">
        <f t="shared" si="2"/>
        <v>65.580290249750789</v>
      </c>
      <c r="N12" s="29">
        <f t="shared" si="1"/>
        <v>2137.7963930894712</v>
      </c>
      <c r="O12" s="30">
        <f t="shared" si="3"/>
        <v>3.0676583823296744E-2</v>
      </c>
    </row>
    <row r="13" spans="2:15" s="13" customFormat="1">
      <c r="B13" s="112" t="str">
        <f>'Terminal offers'!$A$14</f>
        <v>Bankwest</v>
      </c>
      <c r="C13" s="123">
        <f>'Terminal offers'!$C$14</f>
        <v>60</v>
      </c>
      <c r="D13" s="123">
        <f>'Terminal offers'!$D$14</f>
        <v>3000</v>
      </c>
      <c r="E13" s="371">
        <f>'Terminal offers'!$E$14</f>
        <v>1.4999999999999999E-2</v>
      </c>
      <c r="F13" s="372"/>
      <c r="G13" s="115">
        <f>IF('Terminal offers'!$G$14&gt;0,'Terminal offers'!$G$14,'Terminal offers'!$G$68)</f>
        <v>2.3276000000000005E-2</v>
      </c>
      <c r="H13" s="115">
        <f>IF('Terminal offers'!$H$14&gt;0,'Terminal offers'!$H$14,'Terminal offers'!$H$68)</f>
        <v>2.9711000000000001E-2</v>
      </c>
      <c r="I13" s="119">
        <f>'Terminal offers'!$J$14</f>
        <v>0</v>
      </c>
      <c r="J13" s="120">
        <f t="shared" si="0"/>
        <v>60</v>
      </c>
      <c r="K13" s="122">
        <f>IF((C25+C26)&lt;=D13, 0, E13*((C25+C26)-D13))</f>
        <v>0</v>
      </c>
      <c r="L13" s="122">
        <f>(G13*C27)+(H13*C28)</f>
        <v>8.4027813543010517</v>
      </c>
      <c r="M13" s="117">
        <f t="shared" si="2"/>
        <v>68.402781354301055</v>
      </c>
      <c r="N13" s="124">
        <f t="shared" si="1"/>
        <v>2137.7963930894712</v>
      </c>
      <c r="O13" s="141">
        <f t="shared" si="3"/>
        <v>3.1996864423298854E-2</v>
      </c>
    </row>
    <row r="14" spans="2:15" s="13" customFormat="1">
      <c r="B14" s="31" t="str">
        <f>'Terminal offers'!$A$28</f>
        <v>Hume Bank</v>
      </c>
      <c r="C14" s="22">
        <f>'Terminal offers'!$C$28</f>
        <v>40</v>
      </c>
      <c r="D14" s="22">
        <f>'Terminal offers'!$D$28</f>
        <v>1500</v>
      </c>
      <c r="E14" s="353">
        <f>'Terminal offers'!$E$28</f>
        <v>1.4999999999999999E-2</v>
      </c>
      <c r="F14" s="354"/>
      <c r="G14" s="24">
        <f>IF('Terminal offers'!$G$28&gt;0,'Terminal offers'!$G$28,'Terminal offers'!$G$68)</f>
        <v>2.3276000000000005E-2</v>
      </c>
      <c r="H14" s="24">
        <f>IF('Terminal offers'!$H$28&gt;0,'Terminal offers'!$H$28,'Terminal offers'!$H$68)</f>
        <v>2.9711000000000001E-2</v>
      </c>
      <c r="I14" s="25">
        <f>'Terminal offers'!$J$28</f>
        <v>0</v>
      </c>
      <c r="J14" s="26">
        <f t="shared" si="0"/>
        <v>40</v>
      </c>
      <c r="K14" s="26">
        <f>IF((C25+C26)&lt;=D14, 0, E14*((C25+C26)-D14))</f>
        <v>4.2737925903125538</v>
      </c>
      <c r="L14" s="27">
        <f>(G14*C27)+(H14*C28)</f>
        <v>8.4027813543010517</v>
      </c>
      <c r="M14" s="28">
        <f t="shared" si="2"/>
        <v>52.676573944613608</v>
      </c>
      <c r="N14" s="29">
        <f t="shared" si="1"/>
        <v>2137.7963930894712</v>
      </c>
      <c r="O14" s="30">
        <f t="shared" si="3"/>
        <v>2.464059445272393E-2</v>
      </c>
    </row>
    <row r="15" spans="2:15" s="13" customFormat="1">
      <c r="B15" s="112" t="str">
        <f>'Terminal offers'!$A$45</f>
        <v>St George</v>
      </c>
      <c r="C15" s="123">
        <f>'Terminal offers'!$C$45</f>
        <v>55</v>
      </c>
      <c r="D15" s="123">
        <f>'Terminal offers'!$D$45</f>
        <v>3500</v>
      </c>
      <c r="E15" s="371">
        <f>'Terminal offers'!$E$45</f>
        <v>1.4999999999999999E-2</v>
      </c>
      <c r="F15" s="372"/>
      <c r="G15" s="115">
        <f>IF('Terminal offers'!$G$45&gt;0,'Terminal offers'!$G$45,'Terminal offers'!$G$68)</f>
        <v>2.3276000000000005E-2</v>
      </c>
      <c r="H15" s="115">
        <f>IF('Terminal offers'!$H$45&gt;0,'Terminal offers'!$H$45,'Terminal offers'!$H$68)</f>
        <v>2.9711000000000001E-2</v>
      </c>
      <c r="I15" s="119">
        <f>'Terminal offers'!$J$45</f>
        <v>10</v>
      </c>
      <c r="J15" s="120">
        <f t="shared" si="0"/>
        <v>65</v>
      </c>
      <c r="K15" s="122">
        <f>IF((C25+C26)&lt;=D15, 0, E15*((C25+C26)-D15))</f>
        <v>0</v>
      </c>
      <c r="L15" s="122">
        <f>(G15*C27)+(H15*C28)</f>
        <v>8.4027813543010517</v>
      </c>
      <c r="M15" s="117">
        <f t="shared" si="2"/>
        <v>73.402781354301055</v>
      </c>
      <c r="N15" s="124">
        <f t="shared" si="1"/>
        <v>2137.7963930894712</v>
      </c>
      <c r="O15" s="141">
        <f t="shared" si="3"/>
        <v>3.4335721395909902E-2</v>
      </c>
    </row>
    <row r="16" spans="2:15" s="13" customFormat="1">
      <c r="B16" s="21" t="str">
        <f>'Terminal offers'!$A$33</f>
        <v>Live eftpos</v>
      </c>
      <c r="C16" s="22">
        <f>'Terminal offers'!$C$33</f>
        <v>28.996000000000002</v>
      </c>
      <c r="D16" s="22">
        <f>'Terminal offers'!$D$33</f>
        <v>0</v>
      </c>
      <c r="E16" s="226">
        <f>'Terminal offers'!$E$33</f>
        <v>0.35200000000000004</v>
      </c>
      <c r="F16" s="23">
        <f>'Terminal offers'!$F$33</f>
        <v>1.7600000000000001E-2</v>
      </c>
      <c r="G16" s="24">
        <f>IF('Terminal offers'!$G$33&gt;0,'Terminal offers'!$G$33,'Terminal offers'!$G$68)</f>
        <v>1.7600000000000001E-2</v>
      </c>
      <c r="H16" s="24">
        <f>IF('Terminal offers'!$H$33&gt;0,'Terminal offers'!$H$33,'Terminal offers'!$H$68)</f>
        <v>1.7600000000000001E-2</v>
      </c>
      <c r="I16" s="25">
        <f>'Terminal offers'!$J$33</f>
        <v>0</v>
      </c>
      <c r="J16" s="26">
        <f t="shared" si="0"/>
        <v>28.996000000000002</v>
      </c>
      <c r="K16" s="26">
        <f>(C30*E16)+(C26*F16)</f>
        <v>30.947211386175663</v>
      </c>
      <c r="L16" s="27">
        <f>(G16*C27)+(H16*C28)</f>
        <v>6.2106332124079557</v>
      </c>
      <c r="M16" s="28">
        <f t="shared" si="2"/>
        <v>66.153844598583618</v>
      </c>
      <c r="N16" s="29">
        <f t="shared" si="1"/>
        <v>2137.7963930894712</v>
      </c>
      <c r="O16" s="30">
        <f t="shared" si="3"/>
        <v>3.0944876140884592E-2</v>
      </c>
    </row>
    <row r="17" spans="1:16" s="13" customFormat="1">
      <c r="B17" s="112" t="str">
        <f>'Terminal offers'!$A$50</f>
        <v>Tyro</v>
      </c>
      <c r="C17" s="123">
        <f>'Terminal offers'!$C$50</f>
        <v>42.900000000000006</v>
      </c>
      <c r="D17" s="123">
        <f>'Terminal offers'!$D$50</f>
        <v>0</v>
      </c>
      <c r="E17" s="373">
        <f>'Terminal offers'!$E$50</f>
        <v>1.2100000000000001E-2</v>
      </c>
      <c r="F17" s="374"/>
      <c r="G17" s="115">
        <f>IF('Terminal offers'!$G$50&gt;0,'Terminal offers'!$G$50,'Terminal offers'!$G$68)</f>
        <v>2.3276000000000005E-2</v>
      </c>
      <c r="H17" s="115">
        <f>IF('Terminal offers'!$H$50&gt;0,'Terminal offers'!$H$50,'Terminal offers'!$H$68)</f>
        <v>2.9711000000000001E-2</v>
      </c>
      <c r="I17" s="119">
        <f>'Terminal offers'!$J$50</f>
        <v>0</v>
      </c>
      <c r="J17" s="120">
        <f t="shared" si="0"/>
        <v>42.900000000000006</v>
      </c>
      <c r="K17" s="120">
        <f>E17*(C25+C26)</f>
        <v>21.597526022852129</v>
      </c>
      <c r="L17" s="122">
        <f>(G17*C27)+(H17*C28)</f>
        <v>8.4027813543010517</v>
      </c>
      <c r="M17" s="117">
        <f>SUM(J17:L17)</f>
        <v>72.900307377153183</v>
      </c>
      <c r="N17" s="124">
        <f t="shared" si="1"/>
        <v>2137.7963930894712</v>
      </c>
      <c r="O17" s="141">
        <f t="shared" si="3"/>
        <v>3.4100678442908317E-2</v>
      </c>
    </row>
    <row r="18" spans="1:16" s="13" customFormat="1">
      <c r="B18" s="21" t="str">
        <f>'Terminal offers'!$A$23</f>
        <v>First Data</v>
      </c>
      <c r="C18" s="22">
        <f>'Terminal offers'!$C$23</f>
        <v>45</v>
      </c>
      <c r="D18" s="22">
        <f>'Terminal offers'!$D$23</f>
        <v>2500</v>
      </c>
      <c r="E18" s="353">
        <f>'Terminal offers'!$E$23</f>
        <v>1.7500000000000002E-2</v>
      </c>
      <c r="F18" s="354"/>
      <c r="G18" s="24">
        <f>IF('Terminal offers'!$G$23&gt;0,'Terminal offers'!$G$23,'Terminal offers'!$G$68)</f>
        <v>2.3276000000000005E-2</v>
      </c>
      <c r="H18" s="24">
        <f>IF('Terminal offers'!$H$23&gt;0,'Terminal offers'!$H$23,'Terminal offers'!$H$68)</f>
        <v>2.9711000000000001E-2</v>
      </c>
      <c r="I18" s="25">
        <f>'Terminal offers'!$J$23</f>
        <v>0</v>
      </c>
      <c r="J18" s="26">
        <f t="shared" si="0"/>
        <v>45</v>
      </c>
      <c r="K18" s="27">
        <f>IF((C25+C26)&lt;=D18, 0, E18*((C25+C26)-D18))</f>
        <v>0</v>
      </c>
      <c r="L18" s="27">
        <f>(G18*C27)+(H18*C28)</f>
        <v>8.4027813543010517</v>
      </c>
      <c r="M18" s="28">
        <f t="shared" si="2"/>
        <v>53.402781354301055</v>
      </c>
      <c r="N18" s="29">
        <f t="shared" si="1"/>
        <v>2137.7963930894712</v>
      </c>
      <c r="O18" s="30">
        <f t="shared" si="3"/>
        <v>2.4980293505465712E-2</v>
      </c>
    </row>
    <row r="19" spans="1:16" s="13" customFormat="1">
      <c r="B19" s="125" t="str">
        <f>'Terminal offers'!$A$34</f>
        <v>Mint</v>
      </c>
      <c r="C19" s="126">
        <f>'Terminal offers'!$C$34</f>
        <v>39</v>
      </c>
      <c r="D19" s="126">
        <f>'Terminal offers'!$D$34</f>
        <v>0</v>
      </c>
      <c r="E19" s="227">
        <f>'Terminal offers'!$E$34</f>
        <v>0.25</v>
      </c>
      <c r="F19" s="127">
        <f>'Terminal offers'!$F$34</f>
        <v>1.2500000000000001E-2</v>
      </c>
      <c r="G19" s="128">
        <f>IF('Terminal offers'!$G$34&gt;0,'Terminal offers'!$G$34,'Terminal offers'!$G$68)</f>
        <v>2.3276000000000005E-2</v>
      </c>
      <c r="H19" s="128">
        <f>IF('Terminal offers'!$H$34&gt;0,'Terminal offers'!$H$34,'Terminal offers'!$H$68)</f>
        <v>2.9711000000000001E-2</v>
      </c>
      <c r="I19" s="129">
        <f>'Terminal offers'!$J$34</f>
        <v>0</v>
      </c>
      <c r="J19" s="130">
        <f t="shared" si="0"/>
        <v>39</v>
      </c>
      <c r="K19" s="131">
        <f>(E19*C30)+(F19*C26)</f>
        <v>21.979553541317941</v>
      </c>
      <c r="L19" s="131">
        <f>(G19*C27)+(H19*C28)</f>
        <v>8.4027813543010517</v>
      </c>
      <c r="M19" s="132">
        <f t="shared" si="2"/>
        <v>69.382334895618996</v>
      </c>
      <c r="N19" s="133">
        <f t="shared" si="1"/>
        <v>2137.7963930894712</v>
      </c>
      <c r="O19" s="142">
        <f>(N19+M19)/N19-1</f>
        <v>3.2455071549330139E-2</v>
      </c>
    </row>
    <row r="20" spans="1:16" s="13" customFormat="1">
      <c r="B20" s="15"/>
      <c r="C20" s="16"/>
      <c r="D20" s="16"/>
      <c r="E20" s="16"/>
      <c r="F20" s="16"/>
      <c r="G20" s="16"/>
      <c r="H20" s="16"/>
      <c r="I20" s="15"/>
      <c r="J20" s="15"/>
      <c r="K20" s="15"/>
      <c r="L20" s="15"/>
      <c r="M20" s="15"/>
      <c r="N20" s="134" t="s">
        <v>13</v>
      </c>
      <c r="O20" s="144">
        <f>AVERAGE(O6:O19)</f>
        <v>3.1093171416167662E-2</v>
      </c>
      <c r="P20" s="39"/>
    </row>
    <row r="21" spans="1:16" s="13" customFormat="1">
      <c r="B21" s="40" t="s">
        <v>108</v>
      </c>
      <c r="C21" s="41"/>
      <c r="D21" s="16"/>
      <c r="E21" s="16"/>
      <c r="F21" s="16"/>
      <c r="G21" s="16"/>
      <c r="H21" s="16"/>
      <c r="I21" s="15"/>
      <c r="J21" s="15"/>
      <c r="K21" s="15"/>
      <c r="L21" s="15"/>
      <c r="M21" s="15"/>
      <c r="N21" s="135" t="s">
        <v>17</v>
      </c>
      <c r="O21" s="145">
        <f>MIN(O6:O19)</f>
        <v>2.464059445272393E-2</v>
      </c>
      <c r="P21" s="39"/>
    </row>
    <row r="22" spans="1:16" s="13" customFormat="1">
      <c r="B22" s="42" t="s">
        <v>33</v>
      </c>
      <c r="C22" s="43">
        <f>'1. Monthly revenue &amp; trips '!C6</f>
        <v>2137.7963930894712</v>
      </c>
      <c r="D22" s="16"/>
      <c r="E22" s="16"/>
      <c r="F22" s="16"/>
      <c r="G22" s="16"/>
      <c r="H22" s="16"/>
      <c r="I22" s="15"/>
      <c r="J22" s="15"/>
      <c r="K22" s="15"/>
      <c r="L22" s="15"/>
      <c r="M22" s="15"/>
      <c r="N22" s="136" t="s">
        <v>18</v>
      </c>
      <c r="O22" s="146">
        <f>MAX(O6:O19)</f>
        <v>3.6206806973998695E-2</v>
      </c>
      <c r="P22" s="39"/>
    </row>
    <row r="23" spans="1:16" s="13" customFormat="1">
      <c r="B23" s="42" t="s">
        <v>21</v>
      </c>
      <c r="C23" s="45">
        <f>'1. Monthly revenue &amp; trips '!C4</f>
        <v>28.489485170139162</v>
      </c>
      <c r="D23" s="16"/>
      <c r="E23" s="16"/>
      <c r="F23" s="16"/>
      <c r="G23" s="16"/>
      <c r="H23" s="16"/>
      <c r="I23" s="15"/>
      <c r="J23" s="15"/>
      <c r="K23" s="15"/>
      <c r="L23" s="15"/>
      <c r="M23" s="15"/>
      <c r="N23" s="15"/>
      <c r="O23" s="15"/>
    </row>
    <row r="24" spans="1:16" s="13" customFormat="1">
      <c r="B24" s="42"/>
      <c r="C24" s="45"/>
      <c r="D24" s="16"/>
      <c r="E24" s="16"/>
      <c r="F24" s="16"/>
      <c r="G24" s="16"/>
      <c r="H24" s="16"/>
      <c r="I24" s="15"/>
      <c r="J24" s="15"/>
      <c r="K24" s="15"/>
      <c r="L24" s="15"/>
      <c r="M24" s="15"/>
      <c r="N24" s="15"/>
      <c r="O24" s="15"/>
    </row>
    <row r="25" spans="1:16" s="13" customFormat="1">
      <c r="B25" s="42" t="s">
        <v>34</v>
      </c>
      <c r="C25" s="46">
        <f>'1. Monthly revenue &amp; trips '!C7</f>
        <v>89.115489170208349</v>
      </c>
      <c r="D25" s="16"/>
      <c r="E25" s="47"/>
      <c r="F25" s="16"/>
      <c r="G25" s="16"/>
      <c r="H25" s="16"/>
      <c r="I25" s="15"/>
      <c r="J25" s="15"/>
      <c r="K25" s="15"/>
      <c r="L25" s="15"/>
      <c r="M25" s="15"/>
      <c r="N25" s="15"/>
      <c r="O25" s="15"/>
    </row>
    <row r="26" spans="1:16" ht="12.75" customHeight="1">
      <c r="A26" s="13"/>
      <c r="B26" s="42" t="s">
        <v>197</v>
      </c>
      <c r="C26" s="46">
        <f>'1. Monthly revenue &amp; trips '!C8</f>
        <v>1695.8040168506286</v>
      </c>
      <c r="D26" s="16"/>
      <c r="E26" s="16"/>
      <c r="F26" s="16"/>
      <c r="G26" s="16"/>
      <c r="H26" s="16"/>
      <c r="I26" s="15"/>
      <c r="J26" s="48"/>
      <c r="K26" s="15"/>
      <c r="L26" s="15"/>
      <c r="M26" s="15"/>
      <c r="N26" s="15"/>
      <c r="O26" s="15"/>
      <c r="P26" s="13"/>
    </row>
    <row r="27" spans="1:16" ht="12.75" customHeight="1">
      <c r="A27" s="13"/>
      <c r="B27" s="42" t="s">
        <v>39</v>
      </c>
      <c r="C27" s="46">
        <f>'1. Monthly revenue &amp; trips '!C9</f>
        <v>323.47223580343899</v>
      </c>
      <c r="D27" s="16"/>
      <c r="E27" s="16"/>
      <c r="F27" s="16"/>
      <c r="G27" s="16"/>
      <c r="H27" s="49"/>
      <c r="I27" s="15"/>
      <c r="J27" s="48"/>
      <c r="K27" s="15"/>
      <c r="L27" s="15"/>
      <c r="M27" s="15"/>
      <c r="N27" s="15"/>
      <c r="O27" s="15"/>
      <c r="P27" s="13"/>
    </row>
    <row r="28" spans="1:16" ht="12.75" customHeight="1">
      <c r="A28" s="13"/>
      <c r="B28" s="42" t="s">
        <v>114</v>
      </c>
      <c r="C28" s="46">
        <f>'1. Monthly revenue &amp; trips '!C10</f>
        <v>29.40465126519484</v>
      </c>
      <c r="D28" s="16"/>
      <c r="E28" s="16"/>
      <c r="F28" s="16"/>
      <c r="G28" s="16"/>
      <c r="H28" s="50"/>
      <c r="I28" s="15"/>
      <c r="J28" s="48"/>
      <c r="K28" s="15"/>
      <c r="L28" s="15"/>
      <c r="M28" s="15"/>
      <c r="N28" s="15"/>
      <c r="O28" s="15"/>
      <c r="P28" s="13"/>
    </row>
    <row r="29" spans="1:16" ht="12.75" customHeight="1">
      <c r="A29" s="13"/>
      <c r="B29" s="42"/>
      <c r="C29" s="46"/>
      <c r="D29" s="16"/>
      <c r="E29" s="16"/>
      <c r="F29" s="16"/>
      <c r="G29" s="16"/>
      <c r="H29" s="50"/>
      <c r="I29" s="15"/>
      <c r="J29" s="48"/>
      <c r="K29" s="15"/>
      <c r="L29" s="15"/>
      <c r="M29" s="15"/>
      <c r="N29" s="15"/>
      <c r="O29" s="15"/>
      <c r="P29" s="13"/>
    </row>
    <row r="30" spans="1:16">
      <c r="A30" s="13"/>
      <c r="B30" s="42" t="s">
        <v>38</v>
      </c>
      <c r="C30" s="51">
        <f>'1. Monthly revenue &amp; trips '!C13</f>
        <v>3.1280133227403297</v>
      </c>
      <c r="D30" s="16"/>
      <c r="E30" s="16"/>
      <c r="F30" s="16"/>
      <c r="G30" s="16"/>
      <c r="H30" s="16"/>
      <c r="I30" s="15"/>
      <c r="J30" s="15"/>
      <c r="K30" s="15"/>
      <c r="L30" s="15"/>
      <c r="M30" s="15"/>
      <c r="N30" s="15"/>
      <c r="O30" s="15"/>
      <c r="P30" s="13"/>
    </row>
    <row r="31" spans="1:16">
      <c r="A31" s="13"/>
      <c r="B31" s="42" t="s">
        <v>198</v>
      </c>
      <c r="C31" s="51">
        <f>'1. Monthly revenue &amp; trips '!C14</f>
        <v>59.523856142829175</v>
      </c>
      <c r="D31" s="16"/>
      <c r="E31" s="52"/>
      <c r="F31" s="16"/>
      <c r="G31" s="16"/>
      <c r="H31" s="16"/>
      <c r="I31" s="15"/>
      <c r="J31" s="15"/>
      <c r="K31" s="15"/>
      <c r="L31" s="15"/>
      <c r="M31" s="15"/>
      <c r="N31" s="15"/>
      <c r="O31" s="15"/>
      <c r="P31" s="13"/>
    </row>
    <row r="32" spans="1:16">
      <c r="A32" s="13"/>
      <c r="B32" s="42" t="s">
        <v>41</v>
      </c>
      <c r="C32" s="51">
        <f>'1. Monthly revenue &amp; trips '!C15</f>
        <v>11.35409200523152</v>
      </c>
      <c r="D32" s="16"/>
      <c r="E32" s="52"/>
      <c r="F32" s="16"/>
      <c r="G32" s="16"/>
      <c r="H32" s="16"/>
      <c r="I32" s="15"/>
      <c r="J32" s="15"/>
      <c r="K32" s="53"/>
      <c r="L32" s="15"/>
      <c r="M32" s="15"/>
      <c r="N32" s="15"/>
      <c r="O32" s="15"/>
      <c r="P32" s="13"/>
    </row>
    <row r="33" spans="1:16">
      <c r="A33" s="13"/>
      <c r="B33" s="44" t="s">
        <v>113</v>
      </c>
      <c r="C33" s="54">
        <f>'1. Monthly revenue &amp; trips '!C16</f>
        <v>1.032122942537933</v>
      </c>
      <c r="D33" s="16"/>
      <c r="E33" s="55"/>
      <c r="F33" s="16"/>
      <c r="G33" s="16"/>
      <c r="H33" s="16"/>
      <c r="I33" s="15"/>
      <c r="J33" s="15"/>
      <c r="K33" s="53"/>
      <c r="L33" s="15"/>
      <c r="M33" s="15"/>
      <c r="N33" s="15"/>
      <c r="O33" s="15"/>
      <c r="P33" s="13"/>
    </row>
    <row r="34" spans="1:16">
      <c r="A34" s="13"/>
      <c r="B34" s="13"/>
      <c r="C34" s="14"/>
      <c r="D34" s="14"/>
      <c r="E34" s="14"/>
      <c r="F34" s="14"/>
      <c r="G34" s="14"/>
      <c r="H34" s="14"/>
      <c r="I34" s="13"/>
      <c r="J34" s="13"/>
      <c r="K34" s="13"/>
      <c r="L34" s="13"/>
      <c r="M34" s="13"/>
      <c r="N34" s="13"/>
      <c r="O34" s="13"/>
      <c r="P34" s="13"/>
    </row>
  </sheetData>
  <mergeCells count="14">
    <mergeCell ref="E18:F18"/>
    <mergeCell ref="E10:F10"/>
    <mergeCell ref="E11:F11"/>
    <mergeCell ref="E13:F13"/>
    <mergeCell ref="E14:F14"/>
    <mergeCell ref="E15:F15"/>
    <mergeCell ref="E17:F17"/>
    <mergeCell ref="E9:F9"/>
    <mergeCell ref="B2:O2"/>
    <mergeCell ref="C4:I4"/>
    <mergeCell ref="J4:M4"/>
    <mergeCell ref="O4:O5"/>
    <mergeCell ref="E7:F7"/>
    <mergeCell ref="E8:F8"/>
  </mergeCells>
  <pageMargins left="0.7" right="0.7" top="0.75" bottom="0.75" header="0.3" footer="0.3"/>
  <pageSetup paperSize="8" scale="7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Z31"/>
  <sheetViews>
    <sheetView zoomScale="85" zoomScaleNormal="85" workbookViewId="0"/>
  </sheetViews>
  <sheetFormatPr defaultColWidth="0" defaultRowHeight="12" zeroHeight="1"/>
  <cols>
    <col min="1" max="1" width="2.85546875" style="2" customWidth="1"/>
    <col min="2" max="2" width="30.28515625" style="2" customWidth="1"/>
    <col min="3" max="3" width="17" style="2" customWidth="1"/>
    <col min="4" max="9" width="17" style="1" customWidth="1"/>
    <col min="10" max="17" width="17" style="2" customWidth="1"/>
    <col min="18" max="18" width="2.85546875" style="2" customWidth="1"/>
    <col min="19" max="19" width="22.42578125" style="2" hidden="1" customWidth="1"/>
    <col min="20" max="20" width="11.5703125" style="2" hidden="1" customWidth="1"/>
    <col min="21" max="21" width="16" style="2" hidden="1" customWidth="1"/>
    <col min="22" max="23" width="9.140625" style="2" hidden="1" customWidth="1"/>
    <col min="24" max="24" width="21.7109375" style="2" hidden="1" customWidth="1"/>
    <col min="25" max="26" width="19.28515625" style="2" hidden="1" customWidth="1"/>
    <col min="27" max="16384" width="9.140625" style="2" hidden="1"/>
  </cols>
  <sheetData>
    <row r="1" spans="1:18">
      <c r="A1" s="13"/>
      <c r="B1" s="13"/>
      <c r="C1" s="13"/>
      <c r="D1" s="14"/>
      <c r="E1" s="14"/>
      <c r="F1" s="14"/>
      <c r="G1" s="14"/>
      <c r="H1" s="14"/>
      <c r="I1" s="14"/>
      <c r="J1" s="13"/>
      <c r="K1" s="13"/>
      <c r="L1" s="13"/>
      <c r="M1" s="13"/>
      <c r="N1" s="13"/>
      <c r="O1" s="13"/>
      <c r="P1" s="13"/>
      <c r="Q1" s="13"/>
      <c r="R1" s="13"/>
    </row>
    <row r="2" spans="1:18" s="13" customFormat="1" ht="27" customHeight="1">
      <c r="B2" s="355" t="s">
        <v>115</v>
      </c>
      <c r="C2" s="356"/>
      <c r="D2" s="356"/>
      <c r="E2" s="356"/>
      <c r="F2" s="356"/>
      <c r="G2" s="356"/>
      <c r="H2" s="356"/>
      <c r="I2" s="356"/>
      <c r="J2" s="356"/>
      <c r="K2" s="356"/>
      <c r="L2" s="356"/>
      <c r="M2" s="356"/>
      <c r="N2" s="356"/>
      <c r="O2" s="356"/>
      <c r="P2" s="356"/>
      <c r="Q2" s="357"/>
    </row>
    <row r="3" spans="1:18" s="13" customFormat="1">
      <c r="D3" s="14"/>
      <c r="E3" s="14"/>
      <c r="F3" s="14"/>
      <c r="G3" s="14"/>
      <c r="H3" s="14"/>
      <c r="I3" s="14"/>
    </row>
    <row r="4" spans="1:18" s="13" customFormat="1" ht="12" customHeight="1">
      <c r="B4" s="17"/>
      <c r="C4" s="358" t="s">
        <v>10</v>
      </c>
      <c r="D4" s="359"/>
      <c r="E4" s="359"/>
      <c r="F4" s="359"/>
      <c r="G4" s="359"/>
      <c r="H4" s="359"/>
      <c r="I4" s="359"/>
      <c r="J4" s="359"/>
      <c r="K4" s="361" t="s">
        <v>101</v>
      </c>
      <c r="L4" s="362"/>
      <c r="M4" s="362"/>
      <c r="N4" s="362"/>
      <c r="O4" s="363"/>
      <c r="P4" s="18" t="s">
        <v>8</v>
      </c>
      <c r="Q4" s="351" t="s">
        <v>104</v>
      </c>
    </row>
    <row r="5" spans="1:18" s="13" customFormat="1" ht="33.75">
      <c r="B5" s="73" t="s">
        <v>25</v>
      </c>
      <c r="C5" s="20" t="s">
        <v>27</v>
      </c>
      <c r="D5" s="20" t="s">
        <v>20</v>
      </c>
      <c r="E5" s="20" t="s">
        <v>19</v>
      </c>
      <c r="F5" s="20" t="s">
        <v>94</v>
      </c>
      <c r="G5" s="72" t="s">
        <v>102</v>
      </c>
      <c r="H5" s="20" t="s">
        <v>95</v>
      </c>
      <c r="I5" s="20" t="s">
        <v>96</v>
      </c>
      <c r="J5" s="71" t="s">
        <v>14</v>
      </c>
      <c r="K5" s="20" t="s">
        <v>97</v>
      </c>
      <c r="L5" s="20" t="s">
        <v>16</v>
      </c>
      <c r="M5" s="61" t="s">
        <v>98</v>
      </c>
      <c r="N5" s="20" t="s">
        <v>99</v>
      </c>
      <c r="O5" s="75" t="s">
        <v>15</v>
      </c>
      <c r="P5" s="74" t="s">
        <v>100</v>
      </c>
      <c r="Q5" s="352"/>
    </row>
    <row r="6" spans="1:18" s="13" customFormat="1">
      <c r="B6" s="21" t="str">
        <f>'Terminal offers'!$A$57</f>
        <v>ANZ Fastpay</v>
      </c>
      <c r="C6" s="65">
        <f>'Terminal offers'!$B$57</f>
        <v>0</v>
      </c>
      <c r="D6" s="62">
        <f>'Terminal offers'!$C$57</f>
        <v>5</v>
      </c>
      <c r="E6" s="62">
        <f>'Terminal offers'!$D$57</f>
        <v>0</v>
      </c>
      <c r="F6" s="228">
        <f>'Terminal offers'!$E$57</f>
        <v>0.3</v>
      </c>
      <c r="G6" s="23">
        <f>'Terminal offers'!$F$57</f>
        <v>2.3E-2</v>
      </c>
      <c r="H6" s="109">
        <f>IF('Terminal offers'!$G$57&gt;0,'Terminal offers'!G57,'Terminal offers'!$G$68)</f>
        <v>2.3276000000000005E-2</v>
      </c>
      <c r="I6" s="109">
        <f>IF('Terminal offers'!$H$57&gt;0,'Terminal offers'!$H$57,'Terminal offers'!$H$68)</f>
        <v>2.9711000000000001E-2</v>
      </c>
      <c r="J6" s="63">
        <f>'Terminal offers'!$J$57</f>
        <v>0</v>
      </c>
      <c r="K6" s="223">
        <f>C6/36</f>
        <v>0</v>
      </c>
      <c r="L6" s="62">
        <f>D6+J6</f>
        <v>5</v>
      </c>
      <c r="M6" s="64">
        <f>(F6*C26)+MAX((G6*C22),'Terminal offers'!$I$57)</f>
        <v>39.941896384386553</v>
      </c>
      <c r="N6" s="65">
        <f>(H6*C23)+(I6*C24)</f>
        <v>8.4027813543010517</v>
      </c>
      <c r="O6" s="28">
        <f t="shared" ref="O6:O15" si="0">SUM(K6:N6)</f>
        <v>53.344677738687608</v>
      </c>
      <c r="P6" s="62">
        <f t="shared" ref="P6:P15" si="1">$C$18</f>
        <v>2137.7963930894712</v>
      </c>
      <c r="Q6" s="149">
        <f>(P6+O6)/P6-1</f>
        <v>2.4953114296163426E-2</v>
      </c>
    </row>
    <row r="7" spans="1:18" s="13" customFormat="1">
      <c r="B7" s="118" t="str">
        <f>'Terminal offers'!$A$59</f>
        <v>Commonwealth Bank Emmy</v>
      </c>
      <c r="C7" s="222">
        <f>'Terminal offers'!$B$59</f>
        <v>0</v>
      </c>
      <c r="D7" s="113">
        <f>'Terminal offers'!$C$59</f>
        <v>30</v>
      </c>
      <c r="E7" s="113">
        <f>'Terminal offers'!$D$59</f>
        <v>1500</v>
      </c>
      <c r="F7" s="371">
        <f>'Terminal offers'!$E$59</f>
        <v>1.4999999999999999E-2</v>
      </c>
      <c r="G7" s="372"/>
      <c r="H7" s="115">
        <f>IF('Terminal offers'!$G$59&gt;0,'Terminal offers'!$G$59,'Terminal offers'!$G$68)</f>
        <v>2.3276000000000005E-2</v>
      </c>
      <c r="I7" s="115">
        <f>IF('Terminal offers'!$H$59&gt;0,'Terminal offers'!$H$59,'Terminal offers'!$H$68)</f>
        <v>2.9711000000000001E-2</v>
      </c>
      <c r="J7" s="121">
        <f>'Terminal offers'!$J$59</f>
        <v>0</v>
      </c>
      <c r="K7" s="122">
        <f t="shared" ref="K7:K15" si="2">C7/36</f>
        <v>0</v>
      </c>
      <c r="L7" s="120">
        <f t="shared" ref="L7:L15" si="3">D7+J7</f>
        <v>30</v>
      </c>
      <c r="M7" s="121">
        <f>IF((C21+C22)&lt;=E7,0,F7*((C21+C22)-E7))</f>
        <v>4.2737925903125538</v>
      </c>
      <c r="N7" s="116">
        <f>(H7*C23)+(I7*C24)</f>
        <v>8.4027813543010517</v>
      </c>
      <c r="O7" s="117">
        <f t="shared" si="0"/>
        <v>42.676573944613608</v>
      </c>
      <c r="P7" s="113">
        <f t="shared" si="1"/>
        <v>2137.7963930894712</v>
      </c>
      <c r="Q7" s="150">
        <f>(P7+O7)/P7-1</f>
        <v>1.9962880507501835E-2</v>
      </c>
    </row>
    <row r="8" spans="1:18" s="13" customFormat="1">
      <c r="B8" s="31" t="str">
        <f>'Terminal offers'!$A$61</f>
        <v>NAB Now</v>
      </c>
      <c r="C8" s="62">
        <f>'Terminal offers'!$B$61</f>
        <v>135</v>
      </c>
      <c r="D8" s="62">
        <f>'Terminal offers'!$C$61</f>
        <v>10</v>
      </c>
      <c r="E8" s="62">
        <f>'Terminal offers'!$D$61</f>
        <v>0</v>
      </c>
      <c r="F8" s="229">
        <f>'Terminal offers'!$E$61</f>
        <v>0.3</v>
      </c>
      <c r="G8" s="23">
        <f>'Terminal offers'!$F$61</f>
        <v>1.7000000000000001E-2</v>
      </c>
      <c r="H8" s="24">
        <f>IF('Terminal offers'!$G$61&gt;0,'Terminal offers'!$G$61,'Terminal offers'!$G$68)</f>
        <v>2.3276000000000005E-2</v>
      </c>
      <c r="I8" s="24">
        <f>IF('Terminal offers'!$H$61&gt;0,'Terminal offers'!$H$61,'Terminal offers'!$H$68)</f>
        <v>2.9711000000000001E-2</v>
      </c>
      <c r="J8" s="25">
        <f>'Terminal offers'!$J$61</f>
        <v>0</v>
      </c>
      <c r="K8" s="65">
        <f t="shared" si="2"/>
        <v>3.75</v>
      </c>
      <c r="L8" s="26">
        <f t="shared" si="3"/>
        <v>10</v>
      </c>
      <c r="M8" s="66">
        <f>MAX((F8*C26)+(G8*C22), 'Terminal offers'!$I$61)</f>
        <v>29.76707228328279</v>
      </c>
      <c r="N8" s="65">
        <f>(H8*C23)+(I8*C24)</f>
        <v>8.4027813543010517</v>
      </c>
      <c r="O8" s="28">
        <f t="shared" si="0"/>
        <v>51.919853637583842</v>
      </c>
      <c r="P8" s="62">
        <f t="shared" si="1"/>
        <v>2137.7963930894712</v>
      </c>
      <c r="Q8" s="151">
        <f t="shared" ref="Q8:Q13" si="4">(P8+O8)/P8-1</f>
        <v>2.4286622339441344E-2</v>
      </c>
    </row>
    <row r="9" spans="1:18" s="13" customFormat="1">
      <c r="B9" s="118" t="str">
        <f>'Terminal offers'!$A$66</f>
        <v>Westpac Genie</v>
      </c>
      <c r="C9" s="122">
        <f>'Terminal offers'!$B$66</f>
        <v>100</v>
      </c>
      <c r="D9" s="113">
        <f>'Terminal offers'!$C$66</f>
        <v>0</v>
      </c>
      <c r="E9" s="113">
        <f>'Terminal offers'!$D$66</f>
        <v>0</v>
      </c>
      <c r="F9" s="371">
        <f>'Terminal offers'!$E$66</f>
        <v>1.95E-2</v>
      </c>
      <c r="G9" s="372"/>
      <c r="H9" s="115">
        <f>IF('Terminal offers'!$G$66&gt;0,'Terminal offers'!$G$66,'Terminal offers'!$G$68)</f>
        <v>2.3276000000000005E-2</v>
      </c>
      <c r="I9" s="115">
        <f>IF('Terminal offers'!$H$66&gt;0,'Terminal offers'!$H$66,'Terminal offers'!$H$68)</f>
        <v>2.9711000000000001E-2</v>
      </c>
      <c r="J9" s="119">
        <f>'Terminal offers'!$J$66</f>
        <v>0</v>
      </c>
      <c r="K9" s="122">
        <f t="shared" si="2"/>
        <v>2.7777777777777777</v>
      </c>
      <c r="L9" s="120">
        <f t="shared" si="3"/>
        <v>0</v>
      </c>
      <c r="M9" s="121">
        <f>F9*(C21+C22)</f>
        <v>34.805930367406319</v>
      </c>
      <c r="N9" s="116">
        <f>(H9*C23)+(I9*C24)</f>
        <v>8.4027813543010517</v>
      </c>
      <c r="O9" s="117">
        <f t="shared" si="0"/>
        <v>45.986489499485145</v>
      </c>
      <c r="P9" s="113">
        <f t="shared" si="1"/>
        <v>2137.7963930894712</v>
      </c>
      <c r="Q9" s="150">
        <f t="shared" si="4"/>
        <v>2.1511164322354892E-2</v>
      </c>
    </row>
    <row r="10" spans="1:18" s="13" customFormat="1">
      <c r="B10" s="31" t="str">
        <f>'Terminal offers'!$A$58</f>
        <v>Bendigo Bank GoPOS Lite</v>
      </c>
      <c r="C10" s="224">
        <f>'Terminal offers'!$B$58</f>
        <v>0</v>
      </c>
      <c r="D10" s="62">
        <f>'Terminal offers'!$C$58</f>
        <v>13.200000000000001</v>
      </c>
      <c r="E10" s="62">
        <f>'Terminal offers'!$D$58</f>
        <v>0</v>
      </c>
      <c r="F10" s="226">
        <f>'Terminal offers'!$E$58</f>
        <v>0.27500000000000002</v>
      </c>
      <c r="G10" s="23">
        <f>'Terminal offers'!$F$58</f>
        <v>2.0900000000000002E-2</v>
      </c>
      <c r="H10" s="24">
        <f>IF('Terminal offers'!$G$58&gt;0,'Terminal offers'!$G$58,'Terminal offers'!$G$68)</f>
        <v>2.3276000000000005E-2</v>
      </c>
      <c r="I10" s="24">
        <f>IF('Terminal offers'!$H$58&gt;0,'Terminal offers'!$H$58,'Terminal offers'!$H$68)</f>
        <v>2.9711000000000001E-2</v>
      </c>
      <c r="J10" s="32">
        <f>'Terminal offers'!$J$58</f>
        <v>0</v>
      </c>
      <c r="K10" s="65">
        <f t="shared" si="2"/>
        <v>0</v>
      </c>
      <c r="L10" s="26">
        <f t="shared" si="3"/>
        <v>13.200000000000001</v>
      </c>
      <c r="M10" s="25">
        <f>(C26*F10)+(G10*C22)</f>
        <v>36.302507615931731</v>
      </c>
      <c r="N10" s="65">
        <f>(H10*C23)+(I10*C24)</f>
        <v>8.4027813543010517</v>
      </c>
      <c r="O10" s="28">
        <f t="shared" si="0"/>
        <v>57.905288970232789</v>
      </c>
      <c r="P10" s="62">
        <f t="shared" si="1"/>
        <v>2137.7963930894712</v>
      </c>
      <c r="Q10" s="151">
        <f t="shared" si="4"/>
        <v>2.7086437771817184E-2</v>
      </c>
    </row>
    <row r="11" spans="1:18" s="13" customFormat="1">
      <c r="B11" s="118" t="str">
        <f>'Terminal offers'!$A$65</f>
        <v>St George Mobile PayWay</v>
      </c>
      <c r="C11" s="122">
        <f>'Terminal offers'!$B$65</f>
        <v>100</v>
      </c>
      <c r="D11" s="113">
        <f>'Terminal offers'!$C$65</f>
        <v>0</v>
      </c>
      <c r="E11" s="113">
        <f>'Terminal offers'!$D$65</f>
        <v>0</v>
      </c>
      <c r="F11" s="230">
        <f>'Terminal offers'!$E$65</f>
        <v>0.3</v>
      </c>
      <c r="G11" s="114">
        <f>'Terminal offers'!$F$65</f>
        <v>2.4E-2</v>
      </c>
      <c r="H11" s="115">
        <f>IF('Terminal offers'!$G$65&gt;0,'Terminal offers'!$G$65,'Terminal offers'!$G$68)</f>
        <v>2.3276000000000005E-2</v>
      </c>
      <c r="I11" s="115">
        <f>IF('Terminal offers'!$H$65&gt;0,'Terminal offers'!$H$65,'Terminal offers'!$H$68)</f>
        <v>2.9711000000000001E-2</v>
      </c>
      <c r="J11" s="119">
        <f>'Terminal offers'!$J$65</f>
        <v>0</v>
      </c>
      <c r="K11" s="122">
        <f t="shared" si="2"/>
        <v>2.7777777777777777</v>
      </c>
      <c r="L11" s="120">
        <f t="shared" si="3"/>
        <v>0</v>
      </c>
      <c r="M11" s="121">
        <f>(F11*C26)+(G11*C22)</f>
        <v>41.637700401237183</v>
      </c>
      <c r="N11" s="116">
        <f>(H11*C23)+(I11*C24)</f>
        <v>8.4027813543010517</v>
      </c>
      <c r="O11" s="117">
        <f t="shared" si="0"/>
        <v>52.818259533316009</v>
      </c>
      <c r="P11" s="113">
        <f t="shared" si="1"/>
        <v>2137.7963930894712</v>
      </c>
      <c r="Q11" s="150">
        <f t="shared" si="4"/>
        <v>2.4706870918134838E-2</v>
      </c>
    </row>
    <row r="12" spans="1:18" s="13" customFormat="1">
      <c r="B12" s="31" t="str">
        <f>'Terminal offers'!$A$60</f>
        <v>Mint mPOS</v>
      </c>
      <c r="C12" s="27">
        <f>'Terminal offers'!$B$60</f>
        <v>0</v>
      </c>
      <c r="D12" s="27">
        <f>IF(C18&gt;2000,0,10)</f>
        <v>0</v>
      </c>
      <c r="E12" s="62">
        <f>'Terminal offers'!$D$60</f>
        <v>0</v>
      </c>
      <c r="F12" s="226">
        <f>'Terminal offers'!$E$60</f>
        <v>0.25</v>
      </c>
      <c r="G12" s="23">
        <f>'Terminal offers'!$F$60</f>
        <v>1.6899999999999998E-2</v>
      </c>
      <c r="H12" s="24">
        <f>IF('Terminal offers'!$G$60&gt;0,'Terminal offers'!$G$60,'Terminal offers'!$G$68)</f>
        <v>2.3276000000000005E-2</v>
      </c>
      <c r="I12" s="24">
        <f>IF('Terminal offers'!$H$60&gt;0,'Terminal offers'!$H$60,'Terminal offers'!$H$68)</f>
        <v>2.9711000000000001E-2</v>
      </c>
      <c r="J12" s="25">
        <f>'Terminal offers'!$J$60</f>
        <v>0</v>
      </c>
      <c r="K12" s="65">
        <f t="shared" si="2"/>
        <v>0</v>
      </c>
      <c r="L12" s="26">
        <f t="shared" si="3"/>
        <v>0</v>
      </c>
      <c r="M12" s="32">
        <f>(F12*C26)+(G12*C22)</f>
        <v>29.441091215460702</v>
      </c>
      <c r="N12" s="65">
        <f>(H12*C23)+(I12*C24)</f>
        <v>8.4027813543010517</v>
      </c>
      <c r="O12" s="28">
        <f t="shared" si="0"/>
        <v>37.843872569761757</v>
      </c>
      <c r="P12" s="62">
        <f t="shared" si="1"/>
        <v>2137.7963930894712</v>
      </c>
      <c r="Q12" s="151">
        <f t="shared" si="4"/>
        <v>1.7702281046078072E-2</v>
      </c>
    </row>
    <row r="13" spans="1:18" s="13" customFormat="1">
      <c r="B13" s="118" t="str">
        <f>'Terminal offers'!$A$62</f>
        <v>PayPal Here</v>
      </c>
      <c r="C13" s="122">
        <f>'Terminal offers'!$B$62</f>
        <v>99</v>
      </c>
      <c r="D13" s="122">
        <f>'Terminal offers'!$C$62</f>
        <v>0</v>
      </c>
      <c r="E13" s="113">
        <f>'Terminal offers'!$D$62</f>
        <v>0</v>
      </c>
      <c r="F13" s="371">
        <f>'Terminal offers'!$E$62</f>
        <v>1.95E-2</v>
      </c>
      <c r="G13" s="372"/>
      <c r="H13" s="115">
        <f>IF('Terminal offers'!$G$62&gt;0,'Terminal offers'!$G$62,'Terminal offers'!$G$68)</f>
        <v>1.95E-2</v>
      </c>
      <c r="I13" s="115">
        <f>IF('Terminal offers'!$H$62&gt;0,'Terminal offers'!$H$62,'Terminal offers'!$H$68)</f>
        <v>2.9711000000000001E-2</v>
      </c>
      <c r="J13" s="119">
        <f>'Terminal offers'!$J$62</f>
        <v>0</v>
      </c>
      <c r="K13" s="122">
        <f t="shared" si="2"/>
        <v>2.75</v>
      </c>
      <c r="L13" s="120">
        <f t="shared" si="3"/>
        <v>0</v>
      </c>
      <c r="M13" s="121">
        <f>F13*(C21+C22)</f>
        <v>34.805930367406319</v>
      </c>
      <c r="N13" s="116">
        <f>(H13*C23)+(I13*C24)</f>
        <v>7.1813501919072644</v>
      </c>
      <c r="O13" s="117">
        <f t="shared" si="0"/>
        <v>44.737280559313582</v>
      </c>
      <c r="P13" s="113">
        <f t="shared" si="1"/>
        <v>2137.7963930894712</v>
      </c>
      <c r="Q13" s="150">
        <f t="shared" si="4"/>
        <v>2.0926820114361311E-2</v>
      </c>
    </row>
    <row r="14" spans="1:18" s="13" customFormat="1">
      <c r="B14" s="31" t="str">
        <f>'Terminal offers'!$A$64</f>
        <v>Square</v>
      </c>
      <c r="C14" s="27">
        <f>'Terminal offers'!$B$64</f>
        <v>59</v>
      </c>
      <c r="D14" s="62">
        <f>'Terminal offers'!$C$64</f>
        <v>0</v>
      </c>
      <c r="E14" s="62">
        <f>'Terminal offers'!$D$64</f>
        <v>0</v>
      </c>
      <c r="F14" s="353">
        <f>'Terminal offers'!$E$64</f>
        <v>1.9E-2</v>
      </c>
      <c r="G14" s="354"/>
      <c r="H14" s="24">
        <f>IF('Terminal offers'!$G$64&gt;0,'Terminal offers'!$G$64,'Terminal offers'!$G$68)</f>
        <v>1.9E-2</v>
      </c>
      <c r="I14" s="24">
        <f>IF('Terminal offers'!$H$64&gt;0,'Terminal offers'!$H$64,'Terminal offers'!$H$68)</f>
        <v>2.9711000000000001E-2</v>
      </c>
      <c r="J14" s="25">
        <f>'Terminal offers'!$J$64</f>
        <v>0</v>
      </c>
      <c r="K14" s="65">
        <f t="shared" si="2"/>
        <v>1.6388888888888888</v>
      </c>
      <c r="L14" s="26">
        <f t="shared" si="3"/>
        <v>0</v>
      </c>
      <c r="M14" s="25">
        <f>F14*(C21+C22)</f>
        <v>33.913470614395898</v>
      </c>
      <c r="N14" s="65">
        <f>(H14*C23)+(I14*C24)</f>
        <v>7.0196140740055446</v>
      </c>
      <c r="O14" s="28">
        <f t="shared" si="0"/>
        <v>42.571973577290329</v>
      </c>
      <c r="P14" s="62">
        <f t="shared" si="1"/>
        <v>2137.7963930894712</v>
      </c>
      <c r="Q14" s="151">
        <f>(P14+O14)/P14-1</f>
        <v>1.9913951447811495E-2</v>
      </c>
    </row>
    <row r="15" spans="1:18" s="13" customFormat="1">
      <c r="B15" s="137" t="str">
        <f>'Terminal offers'!$A$63</f>
        <v>Quest PocketPay</v>
      </c>
      <c r="C15" s="131">
        <f>'Terminal offers'!$B$63</f>
        <v>0</v>
      </c>
      <c r="D15" s="131">
        <f>'Terminal offers'!$C$63</f>
        <v>25.3</v>
      </c>
      <c r="E15" s="140">
        <f>'Terminal offers'!$D$63</f>
        <v>0</v>
      </c>
      <c r="F15" s="231">
        <f>'Terminal offers'!$E$63</f>
        <v>0.30800000000000005</v>
      </c>
      <c r="G15" s="232">
        <f>'Terminal offers'!$F$63</f>
        <v>2.0020000000000003E-2</v>
      </c>
      <c r="H15" s="128">
        <f>IF('Terminal offers'!$G$63&gt;0,'Terminal offers'!$G$63,'Terminal offers'!$G$68)</f>
        <v>2.3276000000000005E-2</v>
      </c>
      <c r="I15" s="128">
        <f>IF('Terminal offers'!$H$63&gt;0,'Terminal offers'!$H$63,'Terminal offers'!$H$68)</f>
        <v>2.9711000000000001E-2</v>
      </c>
      <c r="J15" s="129">
        <f>'Terminal offers'!$J$63</f>
        <v>0</v>
      </c>
      <c r="K15" s="131">
        <f t="shared" si="2"/>
        <v>0</v>
      </c>
      <c r="L15" s="130">
        <f t="shared" si="3"/>
        <v>25.3</v>
      </c>
      <c r="M15" s="138">
        <f>((F15*C26)+(G15*C22))</f>
        <v>34.913424520753608</v>
      </c>
      <c r="N15" s="139">
        <f>(H15*C23)+(I15*C24)</f>
        <v>8.4027813543010517</v>
      </c>
      <c r="O15" s="132">
        <f t="shared" si="0"/>
        <v>68.616205875054661</v>
      </c>
      <c r="P15" s="140">
        <f t="shared" si="1"/>
        <v>2137.7963930894712</v>
      </c>
      <c r="Q15" s="152">
        <f>(P15+O15)/P15-1</f>
        <v>3.2096698308996974E-2</v>
      </c>
    </row>
    <row r="16" spans="1:18" s="13" customFormat="1">
      <c r="B16" s="67"/>
      <c r="C16" s="15"/>
      <c r="D16" s="16"/>
      <c r="E16" s="16"/>
      <c r="F16" s="16"/>
      <c r="G16" s="16"/>
      <c r="H16" s="16"/>
      <c r="I16" s="16"/>
      <c r="J16" s="15"/>
      <c r="K16" s="15"/>
      <c r="L16" s="15"/>
      <c r="M16" s="15"/>
      <c r="N16" s="15"/>
      <c r="O16" s="15"/>
      <c r="P16" s="134" t="s">
        <v>13</v>
      </c>
      <c r="Q16" s="144">
        <f>AVERAGE(Q6:Q15)</f>
        <v>2.3314684107266136E-2</v>
      </c>
    </row>
    <row r="17" spans="1:18" s="13" customFormat="1">
      <c r="B17" s="40" t="s">
        <v>108</v>
      </c>
      <c r="C17" s="41"/>
      <c r="D17" s="16"/>
      <c r="E17" s="16"/>
      <c r="F17" s="16"/>
      <c r="G17" s="16"/>
      <c r="H17" s="16"/>
      <c r="I17" s="16"/>
      <c r="J17" s="15"/>
      <c r="K17" s="15"/>
      <c r="L17" s="15"/>
      <c r="M17" s="15"/>
      <c r="N17" s="15"/>
      <c r="O17" s="15"/>
      <c r="P17" s="135" t="s">
        <v>17</v>
      </c>
      <c r="Q17" s="145">
        <f>MIN(Q6:Q15)</f>
        <v>1.7702281046078072E-2</v>
      </c>
    </row>
    <row r="18" spans="1:18" s="13" customFormat="1">
      <c r="B18" s="42" t="s">
        <v>33</v>
      </c>
      <c r="C18" s="43">
        <f>'1. Monthly revenue &amp; trips '!C6</f>
        <v>2137.7963930894712</v>
      </c>
      <c r="D18" s="16"/>
      <c r="E18" s="16"/>
      <c r="F18" s="16"/>
      <c r="G18" s="16"/>
      <c r="H18" s="16"/>
      <c r="I18" s="16"/>
      <c r="J18" s="15"/>
      <c r="K18" s="15"/>
      <c r="L18" s="15"/>
      <c r="M18" s="15"/>
      <c r="N18" s="15"/>
      <c r="O18" s="15"/>
      <c r="P18" s="136" t="s">
        <v>18</v>
      </c>
      <c r="Q18" s="146">
        <f>MAX(Q6:Q15)</f>
        <v>3.2096698308996974E-2</v>
      </c>
    </row>
    <row r="19" spans="1:18" s="13" customFormat="1">
      <c r="B19" s="42" t="s">
        <v>21</v>
      </c>
      <c r="C19" s="45">
        <f>'1. Monthly revenue &amp; trips '!C4</f>
        <v>28.489485170139162</v>
      </c>
      <c r="D19" s="16"/>
      <c r="E19" s="50"/>
      <c r="F19" s="68"/>
      <c r="G19" s="16"/>
      <c r="H19" s="16"/>
      <c r="I19" s="16"/>
      <c r="J19" s="15"/>
      <c r="K19" s="15"/>
      <c r="L19" s="15"/>
      <c r="M19" s="15"/>
      <c r="N19" s="15"/>
      <c r="O19" s="15"/>
      <c r="P19" s="15"/>
      <c r="Q19" s="15"/>
    </row>
    <row r="20" spans="1:18">
      <c r="A20" s="13"/>
      <c r="B20" s="42"/>
      <c r="C20" s="45"/>
      <c r="D20" s="16"/>
      <c r="E20" s="50"/>
      <c r="F20" s="68"/>
      <c r="G20" s="16"/>
      <c r="H20" s="16"/>
      <c r="I20" s="16"/>
      <c r="J20" s="15"/>
      <c r="K20" s="15"/>
      <c r="L20" s="15"/>
      <c r="M20" s="15"/>
      <c r="N20" s="15"/>
      <c r="O20" s="15"/>
      <c r="P20" s="15"/>
      <c r="Q20" s="15"/>
      <c r="R20" s="13"/>
    </row>
    <row r="21" spans="1:18">
      <c r="A21" s="13"/>
      <c r="B21" s="42" t="s">
        <v>34</v>
      </c>
      <c r="C21" s="46">
        <f>'1. Monthly revenue &amp; trips '!C7</f>
        <v>89.115489170208349</v>
      </c>
      <c r="D21" s="15"/>
      <c r="E21" s="15"/>
      <c r="F21" s="16"/>
      <c r="G21" s="15"/>
      <c r="H21" s="15"/>
      <c r="I21" s="15"/>
      <c r="J21" s="15"/>
      <c r="K21" s="15"/>
      <c r="L21" s="15"/>
      <c r="M21" s="15"/>
      <c r="N21" s="15"/>
      <c r="O21" s="15"/>
      <c r="P21" s="15"/>
      <c r="Q21" s="15"/>
      <c r="R21" s="13"/>
    </row>
    <row r="22" spans="1:18">
      <c r="A22" s="13"/>
      <c r="B22" s="42" t="s">
        <v>197</v>
      </c>
      <c r="C22" s="46">
        <f>'1. Monthly revenue &amp; trips '!C8</f>
        <v>1695.8040168506286</v>
      </c>
      <c r="D22" s="15"/>
      <c r="E22" s="15"/>
      <c r="F22" s="16"/>
      <c r="G22" s="16"/>
      <c r="H22" s="16"/>
      <c r="I22" s="16"/>
      <c r="J22" s="15"/>
      <c r="K22" s="15"/>
      <c r="L22" s="15"/>
      <c r="M22" s="15"/>
      <c r="N22" s="15"/>
      <c r="O22" s="15"/>
      <c r="P22" s="15"/>
      <c r="Q22" s="15"/>
      <c r="R22" s="13"/>
    </row>
    <row r="23" spans="1:18">
      <c r="A23" s="13"/>
      <c r="B23" s="42" t="s">
        <v>39</v>
      </c>
      <c r="C23" s="46">
        <f>'1. Monthly revenue &amp; trips '!C9</f>
        <v>323.47223580343899</v>
      </c>
      <c r="D23" s="15"/>
      <c r="E23" s="15"/>
      <c r="F23" s="16"/>
      <c r="G23" s="16"/>
      <c r="H23" s="16"/>
      <c r="I23" s="16"/>
      <c r="J23" s="15"/>
      <c r="K23" s="15"/>
      <c r="L23" s="15"/>
      <c r="M23" s="15"/>
      <c r="N23" s="15"/>
      <c r="O23" s="15"/>
      <c r="P23" s="15"/>
      <c r="Q23" s="15"/>
      <c r="R23" s="13"/>
    </row>
    <row r="24" spans="1:18">
      <c r="A24" s="13"/>
      <c r="B24" s="42" t="s">
        <v>114</v>
      </c>
      <c r="C24" s="46">
        <f>'1. Monthly revenue &amp; trips '!C10</f>
        <v>29.40465126519484</v>
      </c>
      <c r="D24" s="15"/>
      <c r="E24" s="15"/>
      <c r="F24" s="16"/>
      <c r="G24" s="16"/>
      <c r="H24" s="16"/>
      <c r="I24" s="16"/>
      <c r="J24" s="15"/>
      <c r="K24" s="15"/>
      <c r="L24" s="15"/>
      <c r="M24" s="15"/>
      <c r="N24" s="15"/>
      <c r="O24" s="15"/>
      <c r="P24" s="15"/>
      <c r="Q24" s="15"/>
      <c r="R24" s="13"/>
    </row>
    <row r="25" spans="1:18">
      <c r="A25" s="13"/>
      <c r="B25" s="42"/>
      <c r="C25" s="46"/>
      <c r="D25" s="15"/>
      <c r="E25" s="15"/>
      <c r="F25" s="16"/>
      <c r="G25" s="16"/>
      <c r="H25" s="16"/>
      <c r="I25" s="16"/>
      <c r="J25" s="15"/>
      <c r="K25" s="15"/>
      <c r="L25" s="15"/>
      <c r="M25" s="15"/>
      <c r="N25" s="15"/>
      <c r="O25" s="15"/>
      <c r="P25" s="15"/>
      <c r="Q25" s="15"/>
      <c r="R25" s="13"/>
    </row>
    <row r="26" spans="1:18">
      <c r="A26" s="13"/>
      <c r="B26" s="42" t="s">
        <v>38</v>
      </c>
      <c r="C26" s="51">
        <f>'1. Monthly revenue &amp; trips '!C13</f>
        <v>3.1280133227403297</v>
      </c>
      <c r="D26" s="16"/>
      <c r="E26" s="16"/>
      <c r="F26" s="16"/>
      <c r="G26" s="16"/>
      <c r="H26" s="16"/>
      <c r="I26" s="16"/>
      <c r="J26" s="15"/>
      <c r="K26" s="15"/>
      <c r="L26" s="15"/>
      <c r="M26" s="15"/>
      <c r="N26" s="15"/>
      <c r="O26" s="15"/>
      <c r="P26" s="15"/>
      <c r="Q26" s="15"/>
      <c r="R26" s="13"/>
    </row>
    <row r="27" spans="1:18">
      <c r="A27" s="13"/>
      <c r="B27" s="42" t="s">
        <v>198</v>
      </c>
      <c r="C27" s="51">
        <f>'1. Monthly revenue &amp; trips '!C14</f>
        <v>59.523856142829175</v>
      </c>
      <c r="D27" s="15"/>
      <c r="E27" s="15"/>
      <c r="F27" s="15"/>
      <c r="G27" s="15"/>
      <c r="H27" s="15"/>
      <c r="I27" s="15"/>
      <c r="J27" s="15"/>
      <c r="K27" s="15"/>
      <c r="L27" s="15"/>
      <c r="M27" s="15"/>
      <c r="N27" s="15"/>
      <c r="O27" s="15"/>
      <c r="P27" s="15"/>
      <c r="Q27" s="15"/>
      <c r="R27" s="13"/>
    </row>
    <row r="28" spans="1:18">
      <c r="A28" s="13"/>
      <c r="B28" s="42" t="s">
        <v>41</v>
      </c>
      <c r="C28" s="51">
        <f>'1. Monthly revenue &amp; trips '!C15</f>
        <v>11.35409200523152</v>
      </c>
      <c r="D28" s="15"/>
      <c r="E28" s="15"/>
      <c r="F28" s="16"/>
      <c r="G28" s="15"/>
      <c r="H28" s="15"/>
      <c r="I28" s="15"/>
      <c r="J28" s="15"/>
      <c r="K28" s="15"/>
      <c r="L28" s="15"/>
      <c r="M28" s="15"/>
      <c r="N28" s="15"/>
      <c r="O28" s="15"/>
      <c r="P28" s="15"/>
      <c r="Q28" s="15"/>
      <c r="R28" s="13"/>
    </row>
    <row r="29" spans="1:18" ht="12.75" customHeight="1">
      <c r="A29" s="13"/>
      <c r="B29" s="44" t="s">
        <v>113</v>
      </c>
      <c r="C29" s="54">
        <f>'1. Monthly revenue &amp; trips '!C16</f>
        <v>1.032122942537933</v>
      </c>
      <c r="D29" s="15"/>
      <c r="E29" s="15"/>
      <c r="F29" s="16"/>
      <c r="G29" s="15"/>
      <c r="H29" s="15"/>
      <c r="I29" s="15"/>
      <c r="J29" s="15"/>
      <c r="K29" s="15"/>
      <c r="L29" s="15"/>
      <c r="M29" s="15"/>
      <c r="N29" s="15"/>
      <c r="O29" s="15"/>
      <c r="P29" s="15"/>
      <c r="Q29" s="15"/>
      <c r="R29" s="13"/>
    </row>
    <row r="30" spans="1:18">
      <c r="A30" s="13"/>
      <c r="B30" s="13"/>
      <c r="C30" s="13"/>
      <c r="D30" s="14"/>
      <c r="E30" s="14"/>
      <c r="F30" s="14"/>
      <c r="G30" s="14"/>
      <c r="H30" s="14"/>
      <c r="I30" s="14"/>
      <c r="J30" s="13"/>
      <c r="K30" s="13"/>
      <c r="L30" s="13"/>
      <c r="M30" s="13"/>
      <c r="N30" s="13"/>
      <c r="O30" s="13"/>
      <c r="P30" s="13"/>
      <c r="Q30" s="13"/>
      <c r="R30" s="13"/>
    </row>
    <row r="31" spans="1:18">
      <c r="A31" s="13"/>
      <c r="B31" s="13"/>
      <c r="C31" s="13"/>
      <c r="D31" s="14"/>
      <c r="E31" s="14"/>
      <c r="F31" s="14"/>
      <c r="G31" s="14"/>
      <c r="H31" s="14"/>
      <c r="I31" s="14"/>
      <c r="J31" s="13"/>
      <c r="K31" s="13"/>
      <c r="L31" s="13"/>
      <c r="M31" s="13"/>
      <c r="N31" s="13"/>
      <c r="O31" s="13"/>
      <c r="P31" s="13"/>
      <c r="Q31" s="13"/>
      <c r="R31" s="13"/>
    </row>
  </sheetData>
  <mergeCells count="8">
    <mergeCell ref="B2:Q2"/>
    <mergeCell ref="F14:G14"/>
    <mergeCell ref="C4:J4"/>
    <mergeCell ref="K4:O4"/>
    <mergeCell ref="Q4:Q5"/>
    <mergeCell ref="F7:G7"/>
    <mergeCell ref="F9:G9"/>
    <mergeCell ref="F13:G13"/>
  </mergeCells>
  <pageMargins left="0.7" right="0.7" top="0.75" bottom="0.75" header="0.3" footer="0.3"/>
  <pageSetup paperSize="8" scale="66"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W138"/>
  <sheetViews>
    <sheetView zoomScale="85" zoomScaleNormal="85" workbookViewId="0"/>
  </sheetViews>
  <sheetFormatPr defaultColWidth="0" defaultRowHeight="12" zeroHeight="1"/>
  <cols>
    <col min="1" max="1" width="3.7109375" style="13" customWidth="1"/>
    <col min="2" max="2" width="30.28515625" style="2" customWidth="1"/>
    <col min="3" max="8" width="17" style="1" customWidth="1"/>
    <col min="9" max="15" width="17" style="2" customWidth="1"/>
    <col min="16" max="16" width="3.7109375" style="13" customWidth="1"/>
    <col min="17" max="17" width="22.42578125" style="2" hidden="1" customWidth="1"/>
    <col min="18" max="18" width="11.5703125" style="2" hidden="1" customWidth="1"/>
    <col min="19" max="19" width="16" style="2" hidden="1" customWidth="1"/>
    <col min="20" max="21" width="9.140625" style="2" hidden="1" customWidth="1"/>
    <col min="22" max="22" width="21.7109375" style="2" hidden="1" customWidth="1"/>
    <col min="23" max="23" width="19.28515625" style="2" hidden="1" customWidth="1"/>
    <col min="24" max="16384" width="9.140625" style="2" hidden="1"/>
  </cols>
  <sheetData>
    <row r="1" spans="2:18">
      <c r="B1" s="13"/>
      <c r="C1" s="14"/>
      <c r="D1" s="14"/>
      <c r="E1" s="14"/>
      <c r="F1" s="14"/>
      <c r="G1" s="14"/>
      <c r="H1" s="14"/>
      <c r="I1" s="13"/>
      <c r="J1" s="13"/>
      <c r="K1" s="13"/>
      <c r="L1" s="13"/>
      <c r="M1" s="13"/>
      <c r="N1" s="13"/>
      <c r="O1" s="13"/>
    </row>
    <row r="2" spans="2:18" ht="28.5" customHeight="1">
      <c r="B2" s="355" t="s">
        <v>93</v>
      </c>
      <c r="C2" s="356"/>
      <c r="D2" s="356"/>
      <c r="E2" s="356"/>
      <c r="F2" s="356"/>
      <c r="G2" s="356"/>
      <c r="H2" s="356"/>
      <c r="I2" s="356"/>
      <c r="J2" s="356"/>
      <c r="K2" s="356"/>
      <c r="L2" s="356"/>
      <c r="M2" s="356"/>
      <c r="N2" s="356"/>
      <c r="O2" s="357"/>
    </row>
    <row r="3" spans="2:18">
      <c r="B3" s="15"/>
      <c r="C3" s="16"/>
      <c r="D3" s="16"/>
      <c r="E3" s="16"/>
      <c r="F3" s="16"/>
      <c r="G3" s="16"/>
      <c r="H3" s="16"/>
      <c r="I3" s="15"/>
      <c r="J3" s="15"/>
      <c r="K3" s="15"/>
      <c r="L3" s="15"/>
      <c r="M3" s="15"/>
      <c r="N3" s="15"/>
      <c r="O3" s="15"/>
    </row>
    <row r="4" spans="2:18" ht="28.5" customHeight="1">
      <c r="B4" s="375" t="s">
        <v>109</v>
      </c>
      <c r="C4" s="376"/>
      <c r="D4" s="376"/>
      <c r="E4" s="376"/>
      <c r="F4" s="376"/>
      <c r="G4" s="376"/>
      <c r="H4" s="376"/>
      <c r="I4" s="376"/>
      <c r="J4" s="376"/>
      <c r="K4" s="376"/>
      <c r="L4" s="376"/>
      <c r="M4" s="376"/>
      <c r="N4" s="376"/>
      <c r="O4" s="377"/>
    </row>
    <row r="5" spans="2:18">
      <c r="B5" s="15"/>
      <c r="C5" s="16"/>
      <c r="D5" s="16"/>
      <c r="E5" s="16"/>
      <c r="F5" s="16"/>
      <c r="G5" s="16"/>
      <c r="H5" s="16"/>
      <c r="I5" s="15"/>
      <c r="J5" s="15"/>
      <c r="K5" s="15"/>
      <c r="L5" s="15"/>
      <c r="M5" s="15"/>
      <c r="N5" s="15"/>
      <c r="O5" s="15"/>
    </row>
    <row r="6" spans="2:18" ht="12" customHeight="1">
      <c r="B6" s="17"/>
      <c r="C6" s="358" t="s">
        <v>10</v>
      </c>
      <c r="D6" s="359"/>
      <c r="E6" s="359"/>
      <c r="F6" s="359"/>
      <c r="G6" s="359"/>
      <c r="H6" s="359"/>
      <c r="I6" s="360"/>
      <c r="J6" s="361" t="s">
        <v>101</v>
      </c>
      <c r="K6" s="362"/>
      <c r="L6" s="362"/>
      <c r="M6" s="363"/>
      <c r="N6" s="18" t="s">
        <v>8</v>
      </c>
      <c r="O6" s="351" t="s">
        <v>104</v>
      </c>
    </row>
    <row r="7" spans="2:18" ht="33.75">
      <c r="B7" s="19" t="s">
        <v>25</v>
      </c>
      <c r="C7" s="20" t="s">
        <v>20</v>
      </c>
      <c r="D7" s="20" t="s">
        <v>19</v>
      </c>
      <c r="E7" s="20" t="s">
        <v>94</v>
      </c>
      <c r="F7" s="72" t="s">
        <v>102</v>
      </c>
      <c r="G7" s="20" t="s">
        <v>95</v>
      </c>
      <c r="H7" s="20" t="s">
        <v>96</v>
      </c>
      <c r="I7" s="71" t="s">
        <v>14</v>
      </c>
      <c r="J7" s="20" t="s">
        <v>16</v>
      </c>
      <c r="K7" s="20" t="s">
        <v>103</v>
      </c>
      <c r="L7" s="20" t="s">
        <v>99</v>
      </c>
      <c r="M7" s="72" t="s">
        <v>15</v>
      </c>
      <c r="N7" s="20" t="s">
        <v>100</v>
      </c>
      <c r="O7" s="352"/>
      <c r="Q7" s="3"/>
      <c r="R7" s="3"/>
    </row>
    <row r="8" spans="2:18" ht="12" customHeight="1">
      <c r="B8" s="21" t="str">
        <f>'Terminal offers'!$A$3</f>
        <v>ANZ</v>
      </c>
      <c r="C8" s="22">
        <f>'Terminal offers'!$C$3</f>
        <v>40</v>
      </c>
      <c r="D8" s="22">
        <f>'Terminal offers'!$D$3</f>
        <v>0</v>
      </c>
      <c r="E8" s="225">
        <f>'Terminal offers'!$E$3</f>
        <v>0.25</v>
      </c>
      <c r="F8" s="23">
        <f>'Terminal offers'!$F$3</f>
        <v>8.0000000000000002E-3</v>
      </c>
      <c r="G8" s="24">
        <f>IF('Terminal offers'!$G$3&gt;0,'Terminal offers'!$G$3,'Terminal offers'!$G$68)</f>
        <v>2.3276000000000005E-2</v>
      </c>
      <c r="H8" s="24">
        <f>IF('Terminal offers'!$H$3&gt;0,'Terminal offers'!$H$3,'Terminal offers'!$H$68)</f>
        <v>2.9711000000000001E-2</v>
      </c>
      <c r="I8" s="25">
        <f>'Terminal offers'!$J$3</f>
        <v>0</v>
      </c>
      <c r="J8" s="26">
        <f t="shared" ref="J8:J21" si="0">C8+I8</f>
        <v>40</v>
      </c>
      <c r="K8" s="27">
        <f>MAX((E8*C32)+(F8*C28),'Terminal offers'!I3)</f>
        <v>29</v>
      </c>
      <c r="L8" s="27">
        <f>(G8*C29)+(H8*C30)</f>
        <v>8.8229204220161055</v>
      </c>
      <c r="M8" s="28">
        <f>SUM(J8:L8)</f>
        <v>77.822920422016111</v>
      </c>
      <c r="N8" s="29">
        <f>$C$24</f>
        <v>2244.6862127439449</v>
      </c>
      <c r="O8" s="30">
        <f>(N8+M8)/N8-1</f>
        <v>3.4669843820568591E-2</v>
      </c>
    </row>
    <row r="9" spans="2:18" ht="12" customHeight="1">
      <c r="B9" s="118" t="str">
        <f>'Terminal offers'!$A$19</f>
        <v>Commonwealth Bank</v>
      </c>
      <c r="C9" s="123">
        <f>'Terminal offers'!$C$19</f>
        <v>60</v>
      </c>
      <c r="D9" s="123">
        <f>'Terminal offers'!$D$19</f>
        <v>3000</v>
      </c>
      <c r="E9" s="371">
        <f>'Terminal offers'!$E$19</f>
        <v>1.4999999999999999E-2</v>
      </c>
      <c r="F9" s="372"/>
      <c r="G9" s="115">
        <f>IF('Terminal offers'!$G$19&gt;0,'Terminal offers'!$G$19,'Terminal offers'!$G$68)</f>
        <v>2.3276000000000005E-2</v>
      </c>
      <c r="H9" s="115">
        <f>IF('Terminal offers'!$H$19&gt;0,'Terminal offers'!$H$19,'Terminal offers'!$H$68)</f>
        <v>2.9711000000000001E-2</v>
      </c>
      <c r="I9" s="121">
        <f>'Terminal offers'!$J$19</f>
        <v>0</v>
      </c>
      <c r="J9" s="120">
        <f t="shared" si="0"/>
        <v>60</v>
      </c>
      <c r="K9" s="122">
        <f>IF((C27+C28)&lt;=D9, 0, E9*((C27+C28)-D9))</f>
        <v>0</v>
      </c>
      <c r="L9" s="122">
        <f>(G9*C29)+(H9*C30)</f>
        <v>8.8229204220161055</v>
      </c>
      <c r="M9" s="117">
        <f>SUM(J9:L9)</f>
        <v>68.822920422016111</v>
      </c>
      <c r="N9" s="124">
        <f t="shared" ref="N9:N21" si="1">$C$24</f>
        <v>2244.6862127439449</v>
      </c>
      <c r="O9" s="141">
        <f>(N9+M9)/N9-1</f>
        <v>3.0660374724663875E-2</v>
      </c>
    </row>
    <row r="10" spans="2:18" ht="12" customHeight="1">
      <c r="B10" s="31" t="str">
        <f>'Terminal offers'!$A$35</f>
        <v>NAB</v>
      </c>
      <c r="C10" s="22">
        <f>'Terminal offers'!$C$35</f>
        <v>40</v>
      </c>
      <c r="D10" s="22">
        <f>'Terminal offers'!$D$35</f>
        <v>1500</v>
      </c>
      <c r="E10" s="353">
        <f>'Terminal offers'!$E$35</f>
        <v>1.4999999999999999E-2</v>
      </c>
      <c r="F10" s="354"/>
      <c r="G10" s="24">
        <f>IF('Terminal offers'!$G$35&gt;0,'Terminal offers'!$G$35,'Terminal offers'!$G$68)</f>
        <v>2.3276000000000005E-2</v>
      </c>
      <c r="H10" s="24">
        <f>IF('Terminal offers'!$H$35&gt;0,'Terminal offers'!$H$35,'Terminal offers'!$H$68)</f>
        <v>2.9711000000000001E-2</v>
      </c>
      <c r="I10" s="25">
        <f>'Terminal offers'!$J$35</f>
        <v>0</v>
      </c>
      <c r="J10" s="26">
        <f t="shared" si="0"/>
        <v>40</v>
      </c>
      <c r="K10" s="33">
        <f>IF((C27+C28)&lt;=D10, 0, E10*((C27+C28)-D10))</f>
        <v>5.6124822198281858</v>
      </c>
      <c r="L10" s="27">
        <f>(G10*C29)+(H10*C30)</f>
        <v>8.8229204220161055</v>
      </c>
      <c r="M10" s="28">
        <f t="shared" ref="M10:M21" si="2">SUM(J10:L10)</f>
        <v>54.435402641844291</v>
      </c>
      <c r="N10" s="29">
        <f t="shared" si="1"/>
        <v>2244.6862127439449</v>
      </c>
      <c r="O10" s="30">
        <f t="shared" ref="O10:O20" si="3">(N10+M10)/N10-1</f>
        <v>2.4250784957288607E-2</v>
      </c>
    </row>
    <row r="11" spans="2:18" ht="12" customHeight="1">
      <c r="B11" s="112" t="str">
        <f>'Terminal offers'!$A$51</f>
        <v>Westpac</v>
      </c>
      <c r="C11" s="123">
        <f>'Terminal offers'!$C$51</f>
        <v>55</v>
      </c>
      <c r="D11" s="123">
        <f>'Terminal offers'!$D$51</f>
        <v>3500</v>
      </c>
      <c r="E11" s="371">
        <f>'Terminal offers'!$E$51</f>
        <v>1.4999999999999999E-2</v>
      </c>
      <c r="F11" s="372"/>
      <c r="G11" s="115">
        <f>IF('Terminal offers'!$G$51&gt;0,'Terminal offers'!$G$51,'Terminal offers'!$G$68)</f>
        <v>2.3276000000000005E-2</v>
      </c>
      <c r="H11" s="115">
        <f>IF('Terminal offers'!$H$51&gt;0,'Terminal offers'!$H$51,'Terminal offers'!$H$68)</f>
        <v>2.9711000000000001E-2</v>
      </c>
      <c r="I11" s="119">
        <f>'Terminal offers'!$J$51</f>
        <v>0</v>
      </c>
      <c r="J11" s="120">
        <f t="shared" si="0"/>
        <v>55</v>
      </c>
      <c r="K11" s="122">
        <f>IF((C27+C28)&lt;=D11, 0, E11*((C27+C28)-D11))</f>
        <v>0</v>
      </c>
      <c r="L11" s="122">
        <f>(G11*C29)+(H11*C30)</f>
        <v>8.8229204220161055</v>
      </c>
      <c r="M11" s="117">
        <f t="shared" si="2"/>
        <v>63.822920422016104</v>
      </c>
      <c r="N11" s="124">
        <f t="shared" si="1"/>
        <v>2244.6862127439449</v>
      </c>
      <c r="O11" s="141">
        <f t="shared" si="3"/>
        <v>2.8432891893605872E-2</v>
      </c>
    </row>
    <row r="12" spans="2:18">
      <c r="B12" s="21" t="str">
        <f>'Terminal offers'!$A$4</f>
        <v>Bank of Melbourne</v>
      </c>
      <c r="C12" s="22">
        <f>'Terminal offers'!$C$4</f>
        <v>55</v>
      </c>
      <c r="D12" s="22">
        <f>'Terminal offers'!$D$4</f>
        <v>3500</v>
      </c>
      <c r="E12" s="353">
        <f>'Terminal offers'!$E$4</f>
        <v>1.4999999999999999E-2</v>
      </c>
      <c r="F12" s="354"/>
      <c r="G12" s="24">
        <f>IF('Terminal offers'!$G$4&gt;0,'Terminal offers'!$G$4,'Terminal offers'!$G$68)</f>
        <v>2.3276000000000005E-2</v>
      </c>
      <c r="H12" s="24">
        <f>IF('Terminal offers'!$H$4&gt;0,'Terminal offers'!$H$4,'Terminal offers'!$H$68)</f>
        <v>2.9711000000000001E-2</v>
      </c>
      <c r="I12" s="25">
        <f>'Terminal offers'!$J$4</f>
        <v>10</v>
      </c>
      <c r="J12" s="26">
        <f>C12+I12</f>
        <v>65</v>
      </c>
      <c r="K12" s="27">
        <f>IF((C27+C28)&lt;=D12, 0, E12*((C27+C28)-D12))</f>
        <v>0</v>
      </c>
      <c r="L12" s="27">
        <f>(G12*C29)+(H12*C30)</f>
        <v>8.8229204220161055</v>
      </c>
      <c r="M12" s="28">
        <f t="shared" si="2"/>
        <v>73.822920422016111</v>
      </c>
      <c r="N12" s="29">
        <f t="shared" si="1"/>
        <v>2244.6862127439449</v>
      </c>
      <c r="O12" s="30">
        <f t="shared" si="3"/>
        <v>3.28878575557221E-2</v>
      </c>
    </row>
    <row r="13" spans="2:18">
      <c r="B13" s="112" t="str">
        <f>'Terminal offers'!$A$9</f>
        <v>Bank SA</v>
      </c>
      <c r="C13" s="123">
        <f>'Terminal offers'!$C$9</f>
        <v>55</v>
      </c>
      <c r="D13" s="123">
        <f>'Terminal offers'!$D$9</f>
        <v>3500</v>
      </c>
      <c r="E13" s="371">
        <f>'Terminal offers'!$E$9</f>
        <v>1.4999999999999999E-2</v>
      </c>
      <c r="F13" s="372"/>
      <c r="G13" s="115">
        <f>IF('Terminal offers'!$G$9&gt;0,'Terminal offers'!$G$9,'Terminal offers'!$G$68)</f>
        <v>2.3276000000000005E-2</v>
      </c>
      <c r="H13" s="115">
        <f>IF('Terminal offers'!$H$9&gt;0,'Terminal offers'!$H$9,'Terminal offers'!$H$68)</f>
        <v>2.9711000000000001E-2</v>
      </c>
      <c r="I13" s="119">
        <f>'Terminal offers'!$J$9</f>
        <v>10</v>
      </c>
      <c r="J13" s="120">
        <f t="shared" si="0"/>
        <v>65</v>
      </c>
      <c r="K13" s="122">
        <f>IF((C27+C28)&lt;=D13, 0, E13*((C27+C28)-D13))</f>
        <v>0</v>
      </c>
      <c r="L13" s="122">
        <f>(G13*C29)+(H13*C30)</f>
        <v>8.8229204220161055</v>
      </c>
      <c r="M13" s="117">
        <f t="shared" si="2"/>
        <v>73.822920422016111</v>
      </c>
      <c r="N13" s="124">
        <f t="shared" si="1"/>
        <v>2244.6862127439449</v>
      </c>
      <c r="O13" s="141">
        <f t="shared" si="3"/>
        <v>3.28878575557221E-2</v>
      </c>
    </row>
    <row r="14" spans="2:18">
      <c r="B14" s="21" t="str">
        <f>'Terminal offers'!$A$18</f>
        <v>Bendigo Bank</v>
      </c>
      <c r="C14" s="22">
        <f>'Terminal offers'!$C$18</f>
        <v>33</v>
      </c>
      <c r="D14" s="22">
        <f>'Terminal offers'!$D$18</f>
        <v>0</v>
      </c>
      <c r="E14" s="226">
        <f>'Terminal offers'!$E$18</f>
        <v>0.27500000000000002</v>
      </c>
      <c r="F14" s="23">
        <f>'Terminal offers'!$F$18</f>
        <v>1.3750000000000002E-2</v>
      </c>
      <c r="G14" s="24">
        <f>IF('Terminal offers'!$G$18&gt;0,'Terminal offers'!$G$18,'Terminal offers'!$G$68)</f>
        <v>2.3276000000000005E-2</v>
      </c>
      <c r="H14" s="24">
        <f>IF('Terminal offers'!$H$18&gt;0,'Terminal offers'!$H$18,'Terminal offers'!$H$68)</f>
        <v>2.9711000000000001E-2</v>
      </c>
      <c r="I14" s="32">
        <f>'Terminal offers'!$J$18</f>
        <v>0</v>
      </c>
      <c r="J14" s="26">
        <f t="shared" si="0"/>
        <v>33</v>
      </c>
      <c r="K14" s="26">
        <f>(C32*E14)+(C28*F14)</f>
        <v>25.386384340222229</v>
      </c>
      <c r="L14" s="27">
        <f>(G14*C29)+(H14*C30)</f>
        <v>8.8229204220161055</v>
      </c>
      <c r="M14" s="28">
        <f t="shared" si="2"/>
        <v>67.209304762238332</v>
      </c>
      <c r="N14" s="29">
        <f t="shared" si="1"/>
        <v>2244.6862127439449</v>
      </c>
      <c r="O14" s="30">
        <f t="shared" si="3"/>
        <v>2.9941514489047583E-2</v>
      </c>
    </row>
    <row r="15" spans="2:18">
      <c r="B15" s="112" t="str">
        <f>'Terminal offers'!$A$14</f>
        <v>Bankwest</v>
      </c>
      <c r="C15" s="123">
        <f>'Terminal offers'!$C$14</f>
        <v>60</v>
      </c>
      <c r="D15" s="123">
        <f>'Terminal offers'!$D$14</f>
        <v>3000</v>
      </c>
      <c r="E15" s="371">
        <f>'Terminal offers'!$E$14</f>
        <v>1.4999999999999999E-2</v>
      </c>
      <c r="F15" s="372"/>
      <c r="G15" s="115">
        <f>IF('Terminal offers'!$G$14&gt;0,'Terminal offers'!$G$14,'Terminal offers'!$G$68)</f>
        <v>2.3276000000000005E-2</v>
      </c>
      <c r="H15" s="115">
        <f>IF('Terminal offers'!$H$14&gt;0,'Terminal offers'!$H$14,'Terminal offers'!$H$68)</f>
        <v>2.9711000000000001E-2</v>
      </c>
      <c r="I15" s="119">
        <f>'Terminal offers'!$J$14</f>
        <v>0</v>
      </c>
      <c r="J15" s="120">
        <f t="shared" si="0"/>
        <v>60</v>
      </c>
      <c r="K15" s="122">
        <f>IF((C27+C28)&lt;=D15, 0, E15*((C27+C28)-D15))</f>
        <v>0</v>
      </c>
      <c r="L15" s="122">
        <f>(G15*C29)+(H15*C30)</f>
        <v>8.8229204220161055</v>
      </c>
      <c r="M15" s="117">
        <f t="shared" si="2"/>
        <v>68.822920422016111</v>
      </c>
      <c r="N15" s="124">
        <f t="shared" si="1"/>
        <v>2244.6862127439449</v>
      </c>
      <c r="O15" s="141">
        <f t="shared" si="3"/>
        <v>3.0660374724663875E-2</v>
      </c>
    </row>
    <row r="16" spans="2:18">
      <c r="B16" s="31" t="str">
        <f>'Terminal offers'!$A$28</f>
        <v>Hume Bank</v>
      </c>
      <c r="C16" s="22">
        <f>'Terminal offers'!$C$28</f>
        <v>40</v>
      </c>
      <c r="D16" s="22">
        <f>'Terminal offers'!$D$28</f>
        <v>1500</v>
      </c>
      <c r="E16" s="353">
        <f>'Terminal offers'!$E$28</f>
        <v>1.4999999999999999E-2</v>
      </c>
      <c r="F16" s="354"/>
      <c r="G16" s="24">
        <f>IF('Terminal offers'!$G$28&gt;0,'Terminal offers'!$G$28,'Terminal offers'!$G$68)</f>
        <v>2.3276000000000005E-2</v>
      </c>
      <c r="H16" s="24">
        <f>IF('Terminal offers'!$H$28&gt;0,'Terminal offers'!$H$28,'Terminal offers'!$H$68)</f>
        <v>2.9711000000000001E-2</v>
      </c>
      <c r="I16" s="25">
        <f>'Terminal offers'!$J$28</f>
        <v>0</v>
      </c>
      <c r="J16" s="26">
        <f t="shared" si="0"/>
        <v>40</v>
      </c>
      <c r="K16" s="26">
        <f>IF((C27+C28)&lt;=D16, 0, E16*((C27+C28)-D16))</f>
        <v>5.6124822198281858</v>
      </c>
      <c r="L16" s="27">
        <f>(G16*C29)+(H16*C30)</f>
        <v>8.8229204220161055</v>
      </c>
      <c r="M16" s="28">
        <f t="shared" si="2"/>
        <v>54.435402641844291</v>
      </c>
      <c r="N16" s="29">
        <f t="shared" si="1"/>
        <v>2244.6862127439449</v>
      </c>
      <c r="O16" s="30">
        <f t="shared" si="3"/>
        <v>2.4250784957288607E-2</v>
      </c>
    </row>
    <row r="17" spans="2:16">
      <c r="B17" s="112" t="str">
        <f>'Terminal offers'!$A$45</f>
        <v>St George</v>
      </c>
      <c r="C17" s="123">
        <f>'Terminal offers'!$C$45</f>
        <v>55</v>
      </c>
      <c r="D17" s="123">
        <f>'Terminal offers'!$D$45</f>
        <v>3500</v>
      </c>
      <c r="E17" s="371">
        <f>'Terminal offers'!$E$45</f>
        <v>1.4999999999999999E-2</v>
      </c>
      <c r="F17" s="372"/>
      <c r="G17" s="115">
        <f>IF('Terminal offers'!$G$45&gt;0,'Terminal offers'!$G$45,'Terminal offers'!$G$68)</f>
        <v>2.3276000000000005E-2</v>
      </c>
      <c r="H17" s="115">
        <f>IF('Terminal offers'!$H$45&gt;0,'Terminal offers'!$H$45,'Terminal offers'!$H$68)</f>
        <v>2.9711000000000001E-2</v>
      </c>
      <c r="I17" s="119">
        <f>'Terminal offers'!$J$45</f>
        <v>10</v>
      </c>
      <c r="J17" s="120">
        <f t="shared" si="0"/>
        <v>65</v>
      </c>
      <c r="K17" s="122">
        <f>IF((C27+C28)&lt;=D17, 0, E17*((C27+C28)-D17))</f>
        <v>0</v>
      </c>
      <c r="L17" s="122">
        <f>(G17*C29)+(H17*C30)</f>
        <v>8.8229204220161055</v>
      </c>
      <c r="M17" s="117">
        <f t="shared" si="2"/>
        <v>73.822920422016111</v>
      </c>
      <c r="N17" s="124">
        <f t="shared" si="1"/>
        <v>2244.6862127439449</v>
      </c>
      <c r="O17" s="141">
        <f t="shared" si="3"/>
        <v>3.28878575557221E-2</v>
      </c>
    </row>
    <row r="18" spans="2:16">
      <c r="B18" s="21" t="str">
        <f>'Terminal offers'!$A$33</f>
        <v>Live eftpos</v>
      </c>
      <c r="C18" s="22">
        <f>'Terminal offers'!$C$33</f>
        <v>28.996000000000002</v>
      </c>
      <c r="D18" s="22">
        <f>'Terminal offers'!$D$33</f>
        <v>0</v>
      </c>
      <c r="E18" s="226">
        <f>'Terminal offers'!$E$33</f>
        <v>0.35200000000000004</v>
      </c>
      <c r="F18" s="23">
        <f>'Terminal offers'!$F$33</f>
        <v>1.7600000000000001E-2</v>
      </c>
      <c r="G18" s="24">
        <f>IF('Terminal offers'!$G$33&gt;0,'Terminal offers'!$G$33,'Terminal offers'!$G$68)</f>
        <v>1.7600000000000001E-2</v>
      </c>
      <c r="H18" s="24">
        <f>IF('Terminal offers'!$H$33&gt;0,'Terminal offers'!$H$33,'Terminal offers'!$H$68)</f>
        <v>1.7600000000000001E-2</v>
      </c>
      <c r="I18" s="25">
        <f>'Terminal offers'!$J$33</f>
        <v>0</v>
      </c>
      <c r="J18" s="26">
        <f t="shared" si="0"/>
        <v>28.996000000000002</v>
      </c>
      <c r="K18" s="26">
        <f>(C32*E18)+(C28*F18)</f>
        <v>32.494571955484453</v>
      </c>
      <c r="L18" s="27">
        <f>(G18*C29)+(H18*C30)</f>
        <v>6.5211648730283551</v>
      </c>
      <c r="M18" s="28">
        <f t="shared" si="2"/>
        <v>68.011736828512809</v>
      </c>
      <c r="N18" s="29">
        <f t="shared" si="1"/>
        <v>2244.6862127439449</v>
      </c>
      <c r="O18" s="30">
        <f t="shared" si="3"/>
        <v>3.0298995219190994E-2</v>
      </c>
    </row>
    <row r="19" spans="2:16">
      <c r="B19" s="112" t="str">
        <f>'Terminal offers'!$A$50</f>
        <v>Tyro</v>
      </c>
      <c r="C19" s="123">
        <f>'Terminal offers'!$C$50</f>
        <v>42.900000000000006</v>
      </c>
      <c r="D19" s="123">
        <f>'Terminal offers'!$D$50</f>
        <v>0</v>
      </c>
      <c r="E19" s="373">
        <f>'Terminal offers'!$E$50</f>
        <v>1.2100000000000001E-2</v>
      </c>
      <c r="F19" s="374"/>
      <c r="G19" s="115">
        <f>IF('Terminal offers'!$G$50&gt;0,'Terminal offers'!$G$50,'Terminal offers'!$G$68)</f>
        <v>2.3276000000000005E-2</v>
      </c>
      <c r="H19" s="115">
        <f>IF('Terminal offers'!$H$50&gt;0,'Terminal offers'!$H$50,'Terminal offers'!$H$68)</f>
        <v>2.9711000000000001E-2</v>
      </c>
      <c r="I19" s="119">
        <f>'Terminal offers'!$J$50</f>
        <v>0</v>
      </c>
      <c r="J19" s="120">
        <f t="shared" si="0"/>
        <v>42.900000000000006</v>
      </c>
      <c r="K19" s="120">
        <f>E19*(C27+C28)</f>
        <v>22.677402323994738</v>
      </c>
      <c r="L19" s="122">
        <f>(G19*C29)+(H19*C30)</f>
        <v>8.8229204220161055</v>
      </c>
      <c r="M19" s="117">
        <f>SUM(J19:L19)</f>
        <v>74.400322746010858</v>
      </c>
      <c r="N19" s="124">
        <f t="shared" si="1"/>
        <v>2244.6862127439449</v>
      </c>
      <c r="O19" s="141">
        <f t="shared" si="3"/>
        <v>3.3145088308384363E-2</v>
      </c>
    </row>
    <row r="20" spans="2:16">
      <c r="B20" s="21" t="str">
        <f>'Terminal offers'!$A$23</f>
        <v>First Data</v>
      </c>
      <c r="C20" s="22">
        <f>'Terminal offers'!$C$23</f>
        <v>45</v>
      </c>
      <c r="D20" s="22">
        <f>'Terminal offers'!$D$23</f>
        <v>2500</v>
      </c>
      <c r="E20" s="353">
        <f>'Terminal offers'!$E$23</f>
        <v>1.7500000000000002E-2</v>
      </c>
      <c r="F20" s="354"/>
      <c r="G20" s="24">
        <f>IF('Terminal offers'!$G$23&gt;0,'Terminal offers'!$G$23,'Terminal offers'!$G$68)</f>
        <v>2.3276000000000005E-2</v>
      </c>
      <c r="H20" s="24">
        <f>IF('Terminal offers'!$H$23&gt;0,'Terminal offers'!$H$23,'Terminal offers'!$H$68)</f>
        <v>2.9711000000000001E-2</v>
      </c>
      <c r="I20" s="25">
        <f>'Terminal offers'!$J$23</f>
        <v>0</v>
      </c>
      <c r="J20" s="26">
        <f t="shared" si="0"/>
        <v>45</v>
      </c>
      <c r="K20" s="27">
        <f>IF((C27+C28)&lt;=D20, 0, E20*((C27+C28)-D20))</f>
        <v>0</v>
      </c>
      <c r="L20" s="27">
        <f>(G20*C29)+(H20*C30)</f>
        <v>8.8229204220161055</v>
      </c>
      <c r="M20" s="28">
        <f t="shared" si="2"/>
        <v>53.822920422016104</v>
      </c>
      <c r="N20" s="29">
        <f t="shared" si="1"/>
        <v>2244.6862127439449</v>
      </c>
      <c r="O20" s="30">
        <f t="shared" si="3"/>
        <v>2.3977926231489644E-2</v>
      </c>
    </row>
    <row r="21" spans="2:16">
      <c r="B21" s="125" t="str">
        <f>'Terminal offers'!$A$34</f>
        <v>Mint</v>
      </c>
      <c r="C21" s="126">
        <f>'Terminal offers'!$C$34</f>
        <v>39</v>
      </c>
      <c r="D21" s="126">
        <f>'Terminal offers'!$D$34</f>
        <v>0</v>
      </c>
      <c r="E21" s="227">
        <f>'Terminal offers'!$E$34</f>
        <v>0.25</v>
      </c>
      <c r="F21" s="127">
        <f>'Terminal offers'!$F$34</f>
        <v>1.2500000000000001E-2</v>
      </c>
      <c r="G21" s="128">
        <f>IF('Terminal offers'!$G$34&gt;0,'Terminal offers'!$G$34,'Terminal offers'!$G$68)</f>
        <v>2.3276000000000005E-2</v>
      </c>
      <c r="H21" s="128">
        <f>IF('Terminal offers'!$H$34&gt;0,'Terminal offers'!$H$34,'Terminal offers'!$H$68)</f>
        <v>2.9711000000000001E-2</v>
      </c>
      <c r="I21" s="129">
        <f>'Terminal offers'!$J$34</f>
        <v>0</v>
      </c>
      <c r="J21" s="130">
        <f t="shared" si="0"/>
        <v>39</v>
      </c>
      <c r="K21" s="131">
        <f>(E21*C32)+(F21*C28)</f>
        <v>23.078531218383841</v>
      </c>
      <c r="L21" s="131">
        <f>(G21*C29)+(H21*C30)</f>
        <v>8.8229204220161055</v>
      </c>
      <c r="M21" s="132">
        <f t="shared" si="2"/>
        <v>70.901451640399955</v>
      </c>
      <c r="N21" s="133">
        <f t="shared" si="1"/>
        <v>2244.6862127439449</v>
      </c>
      <c r="O21" s="142">
        <f>(N21+M21)/N21-1</f>
        <v>3.1586353245217635E-2</v>
      </c>
    </row>
    <row r="22" spans="2:16">
      <c r="B22" s="15"/>
      <c r="C22" s="16"/>
      <c r="D22" s="16"/>
      <c r="E22" s="16"/>
      <c r="F22" s="16"/>
      <c r="G22" s="16"/>
      <c r="H22" s="16"/>
      <c r="I22" s="15"/>
      <c r="J22" s="15"/>
      <c r="K22" s="15"/>
      <c r="L22" s="15"/>
      <c r="M22" s="15"/>
      <c r="N22" s="134" t="s">
        <v>13</v>
      </c>
      <c r="O22" s="144">
        <f>AVERAGE(O8:O21)</f>
        <v>3.0038464659898283E-2</v>
      </c>
      <c r="P22" s="39"/>
    </row>
    <row r="23" spans="2:16">
      <c r="B23" s="40" t="s">
        <v>108</v>
      </c>
      <c r="C23" s="41"/>
      <c r="D23" s="251"/>
      <c r="E23" s="251"/>
      <c r="F23" s="251"/>
      <c r="G23" s="251"/>
      <c r="H23" s="251"/>
      <c r="I23" s="251"/>
      <c r="J23" s="251"/>
      <c r="K23" s="251"/>
      <c r="L23" s="251"/>
      <c r="M23" s="251"/>
      <c r="N23" s="135" t="s">
        <v>17</v>
      </c>
      <c r="O23" s="145">
        <f>MIN(O8:O21)</f>
        <v>2.3977926231489644E-2</v>
      </c>
      <c r="P23" s="39"/>
    </row>
    <row r="24" spans="2:16">
      <c r="B24" s="42" t="s">
        <v>33</v>
      </c>
      <c r="C24" s="43">
        <f>'1. Monthly revenue &amp; trips '!C6*1.05</f>
        <v>2244.6862127439449</v>
      </c>
      <c r="D24" s="251"/>
      <c r="E24" s="251"/>
      <c r="F24" s="251"/>
      <c r="G24" s="251"/>
      <c r="H24" s="251"/>
      <c r="I24" s="251"/>
      <c r="J24" s="251"/>
      <c r="K24" s="251"/>
      <c r="L24" s="251"/>
      <c r="M24" s="251"/>
      <c r="N24" s="136" t="s">
        <v>18</v>
      </c>
      <c r="O24" s="146">
        <f>MAX(O8:O21)</f>
        <v>3.4669843820568591E-2</v>
      </c>
      <c r="P24" s="39"/>
    </row>
    <row r="25" spans="2:16">
      <c r="B25" s="42" t="s">
        <v>21</v>
      </c>
      <c r="C25" s="45">
        <f>'1. Monthly revenue &amp; trips '!C4</f>
        <v>28.489485170139162</v>
      </c>
      <c r="D25" s="251"/>
      <c r="E25" s="251"/>
      <c r="F25" s="251"/>
      <c r="G25" s="251"/>
      <c r="H25" s="251"/>
      <c r="I25" s="251"/>
      <c r="J25" s="251"/>
      <c r="K25" s="251"/>
      <c r="L25" s="251"/>
      <c r="M25" s="251"/>
      <c r="N25" s="15"/>
      <c r="O25" s="15"/>
    </row>
    <row r="26" spans="2:16">
      <c r="B26" s="42"/>
      <c r="C26" s="45"/>
      <c r="D26" s="251"/>
      <c r="E26" s="251"/>
      <c r="F26" s="251"/>
      <c r="G26" s="251"/>
      <c r="H26" s="251"/>
      <c r="I26" s="251"/>
      <c r="J26" s="251"/>
      <c r="K26" s="251"/>
      <c r="L26" s="251"/>
      <c r="M26" s="251"/>
      <c r="N26" s="15"/>
      <c r="O26" s="15"/>
    </row>
    <row r="27" spans="2:16">
      <c r="B27" s="42" t="s">
        <v>34</v>
      </c>
      <c r="C27" s="46">
        <f>'1. Monthly revenue &amp; trips '!C19*'5. Sensitivity(EFTPOS) '!C24</f>
        <v>93.571263628718768</v>
      </c>
      <c r="D27" s="251"/>
      <c r="E27" s="251"/>
      <c r="F27" s="251"/>
      <c r="G27" s="251"/>
      <c r="H27" s="251"/>
      <c r="I27" s="251"/>
      <c r="J27" s="251"/>
      <c r="K27" s="251"/>
      <c r="L27" s="251"/>
      <c r="M27" s="251"/>
      <c r="N27" s="15"/>
      <c r="O27" s="15"/>
    </row>
    <row r="28" spans="2:16" ht="12.75" customHeight="1">
      <c r="B28" s="42" t="s">
        <v>197</v>
      </c>
      <c r="C28" s="46">
        <f>'1. Monthly revenue &amp; trips '!C20*'5. Sensitivity(EFTPOS) '!C24</f>
        <v>1780.5942176931603</v>
      </c>
      <c r="D28" s="251"/>
      <c r="E28" s="251"/>
      <c r="F28" s="251"/>
      <c r="G28" s="251"/>
      <c r="H28" s="251"/>
      <c r="I28" s="251"/>
      <c r="J28" s="251"/>
      <c r="K28" s="251"/>
      <c r="L28" s="251"/>
      <c r="M28" s="251"/>
      <c r="N28" s="15"/>
      <c r="O28" s="15"/>
    </row>
    <row r="29" spans="2:16" ht="12.75" customHeight="1">
      <c r="B29" s="42" t="s">
        <v>39</v>
      </c>
      <c r="C29" s="46">
        <f>'1. Monthly revenue &amp; trips '!C21*'5. Sensitivity(EFTPOS) '!C24</f>
        <v>339.64584759361099</v>
      </c>
      <c r="D29" s="251"/>
      <c r="E29" s="251"/>
      <c r="F29" s="251"/>
      <c r="G29" s="251"/>
      <c r="H29" s="251"/>
      <c r="I29" s="251"/>
      <c r="J29" s="251"/>
      <c r="K29" s="251"/>
      <c r="L29" s="251"/>
      <c r="M29" s="251"/>
      <c r="N29" s="15"/>
      <c r="O29" s="15"/>
    </row>
    <row r="30" spans="2:16" ht="12.75" customHeight="1">
      <c r="B30" s="42" t="s">
        <v>114</v>
      </c>
      <c r="C30" s="46">
        <f>'1. Monthly revenue &amp; trips '!C22*'5. Sensitivity(EFTPOS) '!C24</f>
        <v>30.874883828454585</v>
      </c>
      <c r="D30" s="251"/>
      <c r="E30" s="251"/>
      <c r="F30" s="251"/>
      <c r="G30" s="251"/>
      <c r="H30" s="251"/>
      <c r="I30" s="251"/>
      <c r="J30" s="251"/>
      <c r="K30" s="251"/>
      <c r="L30" s="251"/>
      <c r="M30" s="251"/>
      <c r="N30" s="15"/>
      <c r="O30" s="15"/>
    </row>
    <row r="31" spans="2:16" ht="12.75" customHeight="1">
      <c r="B31" s="42"/>
      <c r="C31" s="46"/>
      <c r="D31" s="251"/>
      <c r="E31" s="251"/>
      <c r="F31" s="251"/>
      <c r="G31" s="251"/>
      <c r="H31" s="251"/>
      <c r="I31" s="251"/>
      <c r="J31" s="251"/>
      <c r="K31" s="251"/>
      <c r="L31" s="251"/>
      <c r="M31" s="251"/>
      <c r="N31" s="15"/>
      <c r="O31" s="15"/>
    </row>
    <row r="32" spans="2:16">
      <c r="B32" s="42" t="s">
        <v>38</v>
      </c>
      <c r="C32" s="51">
        <f>C27/$C$25</f>
        <v>3.2844139888773465</v>
      </c>
      <c r="D32" s="251"/>
      <c r="E32" s="251"/>
      <c r="F32" s="251"/>
      <c r="G32" s="251"/>
      <c r="H32" s="251"/>
      <c r="I32" s="251"/>
      <c r="J32" s="251"/>
      <c r="K32" s="251"/>
      <c r="L32" s="251"/>
      <c r="M32" s="251"/>
      <c r="N32" s="15"/>
      <c r="O32" s="15"/>
    </row>
    <row r="33" spans="2:15">
      <c r="B33" s="42" t="s">
        <v>198</v>
      </c>
      <c r="C33" s="51">
        <f t="shared" ref="C33:C35" si="4">C28/$C$25</f>
        <v>62.50004894997064</v>
      </c>
      <c r="D33" s="251"/>
      <c r="E33" s="251"/>
      <c r="F33" s="251"/>
      <c r="G33" s="251"/>
      <c r="H33" s="251"/>
      <c r="I33" s="251"/>
      <c r="J33" s="251"/>
      <c r="K33" s="251"/>
      <c r="L33" s="251"/>
      <c r="M33" s="251"/>
      <c r="N33" s="15"/>
      <c r="O33" s="15"/>
    </row>
    <row r="34" spans="2:15">
      <c r="B34" s="42" t="s">
        <v>41</v>
      </c>
      <c r="C34" s="51">
        <f t="shared" si="4"/>
        <v>11.921796605493098</v>
      </c>
      <c r="D34" s="251"/>
      <c r="E34" s="251"/>
      <c r="F34" s="251"/>
      <c r="G34" s="251"/>
      <c r="H34" s="251"/>
      <c r="I34" s="251"/>
      <c r="J34" s="251"/>
      <c r="K34" s="251"/>
      <c r="L34" s="251"/>
      <c r="M34" s="251"/>
      <c r="N34" s="15"/>
      <c r="O34" s="15"/>
    </row>
    <row r="35" spans="2:15">
      <c r="B35" s="44" t="s">
        <v>113</v>
      </c>
      <c r="C35" s="54">
        <f t="shared" si="4"/>
        <v>1.0837290896648299</v>
      </c>
      <c r="D35" s="251"/>
      <c r="E35" s="251"/>
      <c r="F35" s="251"/>
      <c r="G35" s="251"/>
      <c r="H35" s="251"/>
      <c r="I35" s="251"/>
      <c r="J35" s="251"/>
      <c r="K35" s="251"/>
      <c r="L35" s="251"/>
      <c r="M35" s="251"/>
      <c r="N35" s="15"/>
      <c r="O35" s="15"/>
    </row>
    <row r="36" spans="2:15" s="13" customFormat="1">
      <c r="B36" s="195"/>
      <c r="C36" s="196"/>
      <c r="D36" s="16"/>
      <c r="E36" s="55"/>
      <c r="F36" s="16"/>
      <c r="G36" s="16"/>
      <c r="H36" s="16"/>
      <c r="I36" s="15"/>
      <c r="J36" s="15"/>
      <c r="K36" s="53"/>
      <c r="L36" s="15"/>
      <c r="M36" s="15"/>
      <c r="N36" s="15"/>
      <c r="O36" s="15"/>
    </row>
    <row r="37" spans="2:15">
      <c r="B37" s="13"/>
      <c r="C37" s="14"/>
      <c r="D37" s="14"/>
      <c r="E37" s="14"/>
      <c r="F37" s="14"/>
      <c r="G37" s="14"/>
      <c r="H37" s="14"/>
      <c r="I37" s="13"/>
      <c r="J37" s="13"/>
      <c r="K37" s="13"/>
      <c r="L37" s="13"/>
      <c r="M37" s="13"/>
      <c r="N37" s="13"/>
      <c r="O37" s="13"/>
    </row>
    <row r="38" spans="2:15" ht="28.5" customHeight="1">
      <c r="B38" s="375" t="s">
        <v>110</v>
      </c>
      <c r="C38" s="376"/>
      <c r="D38" s="376"/>
      <c r="E38" s="376"/>
      <c r="F38" s="376"/>
      <c r="G38" s="376"/>
      <c r="H38" s="376"/>
      <c r="I38" s="376"/>
      <c r="J38" s="376"/>
      <c r="K38" s="376"/>
      <c r="L38" s="376"/>
      <c r="M38" s="376"/>
      <c r="N38" s="376"/>
      <c r="O38" s="377"/>
    </row>
    <row r="39" spans="2:15">
      <c r="B39" s="13"/>
      <c r="C39" s="14"/>
      <c r="D39" s="14"/>
      <c r="E39" s="14"/>
      <c r="F39" s="14"/>
      <c r="G39" s="14"/>
      <c r="H39" s="14"/>
      <c r="I39" s="13"/>
      <c r="J39" s="13"/>
      <c r="K39" s="13"/>
      <c r="L39" s="13"/>
      <c r="M39" s="13"/>
      <c r="N39" s="13"/>
      <c r="O39" s="13"/>
    </row>
    <row r="40" spans="2:15" ht="12" customHeight="1">
      <c r="B40" s="17"/>
      <c r="C40" s="358" t="s">
        <v>10</v>
      </c>
      <c r="D40" s="359"/>
      <c r="E40" s="359"/>
      <c r="F40" s="359"/>
      <c r="G40" s="359"/>
      <c r="H40" s="359"/>
      <c r="I40" s="360"/>
      <c r="J40" s="361" t="s">
        <v>101</v>
      </c>
      <c r="K40" s="362"/>
      <c r="L40" s="362"/>
      <c r="M40" s="363"/>
      <c r="N40" s="18" t="s">
        <v>8</v>
      </c>
      <c r="O40" s="351" t="s">
        <v>104</v>
      </c>
    </row>
    <row r="41" spans="2:15" ht="33.75">
      <c r="B41" s="73" t="s">
        <v>25</v>
      </c>
      <c r="C41" s="20" t="s">
        <v>20</v>
      </c>
      <c r="D41" s="20" t="s">
        <v>19</v>
      </c>
      <c r="E41" s="20" t="s">
        <v>94</v>
      </c>
      <c r="F41" s="72" t="s">
        <v>102</v>
      </c>
      <c r="G41" s="20" t="s">
        <v>95</v>
      </c>
      <c r="H41" s="20" t="s">
        <v>96</v>
      </c>
      <c r="I41" s="71" t="s">
        <v>14</v>
      </c>
      <c r="J41" s="20" t="s">
        <v>16</v>
      </c>
      <c r="K41" s="20" t="s">
        <v>103</v>
      </c>
      <c r="L41" s="20" t="s">
        <v>99</v>
      </c>
      <c r="M41" s="72" t="s">
        <v>15</v>
      </c>
      <c r="N41" s="20" t="s">
        <v>100</v>
      </c>
      <c r="O41" s="352"/>
    </row>
    <row r="42" spans="2:15">
      <c r="B42" s="21" t="str">
        <f>'Terminal offers'!$A$3</f>
        <v>ANZ</v>
      </c>
      <c r="C42" s="22">
        <f>'Terminal offers'!$C$3</f>
        <v>40</v>
      </c>
      <c r="D42" s="22">
        <f>'Terminal offers'!$D$3</f>
        <v>0</v>
      </c>
      <c r="E42" s="225">
        <f>'Terminal offers'!$E$3</f>
        <v>0.25</v>
      </c>
      <c r="F42" s="23">
        <f>'Terminal offers'!$F$3</f>
        <v>8.0000000000000002E-3</v>
      </c>
      <c r="G42" s="24">
        <f>IF('Terminal offers'!$G$3&gt;0,'Terminal offers'!$G$3,'Terminal offers'!$G$68)</f>
        <v>2.3276000000000005E-2</v>
      </c>
      <c r="H42" s="24">
        <f>IF('Terminal offers'!$H$3&gt;0,'Terminal offers'!$H$3,'Terminal offers'!$H$68)</f>
        <v>2.9711000000000001E-2</v>
      </c>
      <c r="I42" s="25">
        <f>'Terminal offers'!$J$3</f>
        <v>0</v>
      </c>
      <c r="J42" s="26">
        <f t="shared" ref="J42:J45" si="5">C42+I42</f>
        <v>40</v>
      </c>
      <c r="K42" s="27">
        <f>MAX((E42*C66)+(F42*C62),'Terminal offers'!I3)</f>
        <v>29</v>
      </c>
      <c r="L42" s="27">
        <f>(G42*C63)+(H42*C64)</f>
        <v>7.9826422865859987</v>
      </c>
      <c r="M42" s="28">
        <f>SUM(J42:L42)</f>
        <v>76.982642286586</v>
      </c>
      <c r="N42" s="29">
        <f>$C$58</f>
        <v>2030.9065734349974</v>
      </c>
      <c r="O42" s="30">
        <f>(N42+M42)/N42-1</f>
        <v>3.7905555722526518E-2</v>
      </c>
    </row>
    <row r="43" spans="2:15">
      <c r="B43" s="118" t="str">
        <f>'Terminal offers'!$A$19</f>
        <v>Commonwealth Bank</v>
      </c>
      <c r="C43" s="123">
        <f>'Terminal offers'!$C$19</f>
        <v>60</v>
      </c>
      <c r="D43" s="123">
        <f>'Terminal offers'!$D$19</f>
        <v>3000</v>
      </c>
      <c r="E43" s="371">
        <f>'Terminal offers'!$E$19</f>
        <v>1.4999999999999999E-2</v>
      </c>
      <c r="F43" s="372"/>
      <c r="G43" s="115">
        <f>IF('Terminal offers'!$G$19&gt;0,'Terminal offers'!$G$19,'Terminal offers'!$G$68)</f>
        <v>2.3276000000000005E-2</v>
      </c>
      <c r="H43" s="115">
        <f>IF('Terminal offers'!$H$19&gt;0,'Terminal offers'!$H$19,'Terminal offers'!$H$68)</f>
        <v>2.9711000000000001E-2</v>
      </c>
      <c r="I43" s="121">
        <f>'Terminal offers'!$J$19</f>
        <v>0</v>
      </c>
      <c r="J43" s="120">
        <f t="shared" si="5"/>
        <v>60</v>
      </c>
      <c r="K43" s="122">
        <f>IF((C61+C62)&lt;=D43, 0, E43*((C61+C62)-D43))</f>
        <v>0</v>
      </c>
      <c r="L43" s="122">
        <f>(G43*C63)+(H43*C64)</f>
        <v>7.9826422865859987</v>
      </c>
      <c r="M43" s="117">
        <f>SUM(J43:L43)</f>
        <v>67.982642286586</v>
      </c>
      <c r="N43" s="124">
        <f>$C$58</f>
        <v>2030.9065734349974</v>
      </c>
      <c r="O43" s="141">
        <f>(N43+M43)/N43-1</f>
        <v>3.3474037248105715E-2</v>
      </c>
    </row>
    <row r="44" spans="2:15">
      <c r="B44" s="31" t="str">
        <f>'Terminal offers'!$A$35</f>
        <v>NAB</v>
      </c>
      <c r="C44" s="22">
        <f>'Terminal offers'!$C$35</f>
        <v>40</v>
      </c>
      <c r="D44" s="22">
        <f>'Terminal offers'!$D$35</f>
        <v>1500</v>
      </c>
      <c r="E44" s="353">
        <f>'Terminal offers'!$E$35</f>
        <v>1.4999999999999999E-2</v>
      </c>
      <c r="F44" s="354"/>
      <c r="G44" s="24">
        <f>IF('Terminal offers'!$G$35&gt;0,'Terminal offers'!$G$35,'Terminal offers'!$G$68)</f>
        <v>2.3276000000000005E-2</v>
      </c>
      <c r="H44" s="24">
        <f>IF('Terminal offers'!$H$35&gt;0,'Terminal offers'!$H$35,'Terminal offers'!$H$68)</f>
        <v>2.9711000000000001E-2</v>
      </c>
      <c r="I44" s="25">
        <f>'Terminal offers'!$J$35</f>
        <v>0</v>
      </c>
      <c r="J44" s="26">
        <f t="shared" si="5"/>
        <v>40</v>
      </c>
      <c r="K44" s="33">
        <f>IF((C61+C62)&lt;=D44, 0, E44*((C61+C62)-D44))</f>
        <v>2.9351029607969257</v>
      </c>
      <c r="L44" s="27">
        <f>(G44*C63)+(H44*C64)</f>
        <v>7.9826422865859987</v>
      </c>
      <c r="M44" s="28">
        <f t="shared" ref="M44:M52" si="6">SUM(J44:L44)</f>
        <v>50.917745247382925</v>
      </c>
      <c r="N44" s="29">
        <f t="shared" ref="N44:N54" si="7">$C$58</f>
        <v>2030.9065734349974</v>
      </c>
      <c r="O44" s="30">
        <f t="shared" ref="O44:O54" si="8">(N44+M44)/N44-1</f>
        <v>2.5071436526625801E-2</v>
      </c>
    </row>
    <row r="45" spans="2:15">
      <c r="B45" s="112" t="str">
        <f>'Terminal offers'!$A$51</f>
        <v>Westpac</v>
      </c>
      <c r="C45" s="123">
        <f>'Terminal offers'!$C$51</f>
        <v>55</v>
      </c>
      <c r="D45" s="123">
        <f>'Terminal offers'!$D$51</f>
        <v>3500</v>
      </c>
      <c r="E45" s="371">
        <f>'Terminal offers'!$E$51</f>
        <v>1.4999999999999999E-2</v>
      </c>
      <c r="F45" s="372"/>
      <c r="G45" s="115">
        <f>IF('Terminal offers'!$G$51&gt;0,'Terminal offers'!$G$51,'Terminal offers'!$G$68)</f>
        <v>2.3276000000000005E-2</v>
      </c>
      <c r="H45" s="115">
        <f>IF('Terminal offers'!$H$51&gt;0,'Terminal offers'!$H$51,'Terminal offers'!$H$68)</f>
        <v>2.9711000000000001E-2</v>
      </c>
      <c r="I45" s="119">
        <f>'Terminal offers'!$J$51</f>
        <v>0</v>
      </c>
      <c r="J45" s="120">
        <f t="shared" si="5"/>
        <v>55</v>
      </c>
      <c r="K45" s="122">
        <f>IF((C61+C62)&lt;=D45, 0, E45*((C61+C62)-D45))</f>
        <v>0</v>
      </c>
      <c r="L45" s="122">
        <f>(G45*C63)+(H45*C64)</f>
        <v>7.9826422865859987</v>
      </c>
      <c r="M45" s="117">
        <f t="shared" si="6"/>
        <v>62.982642286586</v>
      </c>
      <c r="N45" s="124">
        <f t="shared" si="7"/>
        <v>2030.9065734349974</v>
      </c>
      <c r="O45" s="141">
        <f t="shared" si="8"/>
        <v>3.1012082540094132E-2</v>
      </c>
    </row>
    <row r="46" spans="2:15">
      <c r="B46" s="21" t="str">
        <f>'Terminal offers'!$A$4</f>
        <v>Bank of Melbourne</v>
      </c>
      <c r="C46" s="22">
        <f>'Terminal offers'!$C$4</f>
        <v>55</v>
      </c>
      <c r="D46" s="22">
        <f>'Terminal offers'!$D$4</f>
        <v>3500</v>
      </c>
      <c r="E46" s="353">
        <f>'Terminal offers'!$E$4</f>
        <v>1.4999999999999999E-2</v>
      </c>
      <c r="F46" s="354"/>
      <c r="G46" s="24">
        <f>IF('Terminal offers'!$G$4&gt;0,'Terminal offers'!$G$4,'Terminal offers'!$G$68)</f>
        <v>2.3276000000000005E-2</v>
      </c>
      <c r="H46" s="24">
        <f>IF('Terminal offers'!$H$4&gt;0,'Terminal offers'!$H$4,'Terminal offers'!$H$68)</f>
        <v>2.9711000000000001E-2</v>
      </c>
      <c r="I46" s="25">
        <f>'Terminal offers'!$J$4</f>
        <v>10</v>
      </c>
      <c r="J46" s="26">
        <f>C46+I46</f>
        <v>65</v>
      </c>
      <c r="K46" s="27">
        <f>IF((C61+C62)&lt;=D46, 0, E46*((C61+C62)-D46))</f>
        <v>0</v>
      </c>
      <c r="L46" s="27">
        <f>(G46*C63)+(H46*C64)</f>
        <v>7.9826422865859987</v>
      </c>
      <c r="M46" s="28">
        <f t="shared" si="6"/>
        <v>72.982642286586</v>
      </c>
      <c r="N46" s="29">
        <f t="shared" si="7"/>
        <v>2030.9065734349974</v>
      </c>
      <c r="O46" s="30">
        <f t="shared" si="8"/>
        <v>3.5935991956117297E-2</v>
      </c>
    </row>
    <row r="47" spans="2:15">
      <c r="B47" s="112" t="str">
        <f>'Terminal offers'!$A$9</f>
        <v>Bank SA</v>
      </c>
      <c r="C47" s="123">
        <f>'Terminal offers'!$C$9</f>
        <v>55</v>
      </c>
      <c r="D47" s="123">
        <f>'Terminal offers'!$D$9</f>
        <v>3500</v>
      </c>
      <c r="E47" s="371">
        <f>'Terminal offers'!$E$9</f>
        <v>1.4999999999999999E-2</v>
      </c>
      <c r="F47" s="372"/>
      <c r="G47" s="115">
        <f>IF('Terminal offers'!$G$9&gt;0,'Terminal offers'!$G$9,'Terminal offers'!$G$68)</f>
        <v>2.3276000000000005E-2</v>
      </c>
      <c r="H47" s="115">
        <f>IF('Terminal offers'!$H$9&gt;0,'Terminal offers'!$H$9,'Terminal offers'!$H$68)</f>
        <v>2.9711000000000001E-2</v>
      </c>
      <c r="I47" s="119">
        <f>'Terminal offers'!$J$9</f>
        <v>10</v>
      </c>
      <c r="J47" s="120">
        <f t="shared" ref="J47:J55" si="9">C47+I47</f>
        <v>65</v>
      </c>
      <c r="K47" s="122">
        <f>IF((C61+C62)&lt;=D47, 0, E47*((C61+C62)-D47))</f>
        <v>0</v>
      </c>
      <c r="L47" s="122">
        <f>(G47*C63)+(H47*C64)</f>
        <v>7.9826422865859987</v>
      </c>
      <c r="M47" s="117">
        <f t="shared" si="6"/>
        <v>72.982642286586</v>
      </c>
      <c r="N47" s="124">
        <f t="shared" si="7"/>
        <v>2030.9065734349974</v>
      </c>
      <c r="O47" s="141">
        <f t="shared" si="8"/>
        <v>3.5935991956117297E-2</v>
      </c>
    </row>
    <row r="48" spans="2:15">
      <c r="B48" s="21" t="str">
        <f>'Terminal offers'!$A$18</f>
        <v>Bendigo Bank</v>
      </c>
      <c r="C48" s="22">
        <f>'Terminal offers'!$C$18</f>
        <v>33</v>
      </c>
      <c r="D48" s="22">
        <f>'Terminal offers'!$D$18</f>
        <v>0</v>
      </c>
      <c r="E48" s="226">
        <f>'Terminal offers'!$E$18</f>
        <v>0.27500000000000002</v>
      </c>
      <c r="F48" s="23">
        <f>'Terminal offers'!$F$18</f>
        <v>1.3750000000000002E-2</v>
      </c>
      <c r="G48" s="24">
        <f>IF('Terminal offers'!$G$18&gt;0,'Terminal offers'!$G$18,'Terminal offers'!$G$68)</f>
        <v>2.3276000000000005E-2</v>
      </c>
      <c r="H48" s="24">
        <f>IF('Terminal offers'!$H$18&gt;0,'Terminal offers'!$H$18,'Terminal offers'!$H$68)</f>
        <v>2.9711000000000001E-2</v>
      </c>
      <c r="I48" s="32">
        <f>'Terminal offers'!$J$18</f>
        <v>0</v>
      </c>
      <c r="J48" s="26">
        <f t="shared" si="9"/>
        <v>33</v>
      </c>
      <c r="K48" s="26">
        <f>(C66*E48)+(C62*F48)</f>
        <v>22.968633450677249</v>
      </c>
      <c r="L48" s="27">
        <f>(G48*C63)+(H48*C64)</f>
        <v>7.9826422865859987</v>
      </c>
      <c r="M48" s="28">
        <f t="shared" si="6"/>
        <v>63.951275737263245</v>
      </c>
      <c r="N48" s="29">
        <f t="shared" si="7"/>
        <v>2030.9065734349974</v>
      </c>
      <c r="O48" s="30">
        <f t="shared" si="8"/>
        <v>3.1489028876940717E-2</v>
      </c>
    </row>
    <row r="49" spans="2:15">
      <c r="B49" s="112" t="str">
        <f>'Terminal offers'!$A$14</f>
        <v>Bankwest</v>
      </c>
      <c r="C49" s="123">
        <f>'Terminal offers'!$C$14</f>
        <v>60</v>
      </c>
      <c r="D49" s="123">
        <f>'Terminal offers'!$D$14</f>
        <v>3000</v>
      </c>
      <c r="E49" s="371">
        <f>'Terminal offers'!$E$14</f>
        <v>1.4999999999999999E-2</v>
      </c>
      <c r="F49" s="372"/>
      <c r="G49" s="115">
        <f>IF('Terminal offers'!$G$14&gt;0,'Terminal offers'!$G$14,'Terminal offers'!$G$68)</f>
        <v>2.3276000000000005E-2</v>
      </c>
      <c r="H49" s="115">
        <f>IF('Terminal offers'!$H$14&gt;0,'Terminal offers'!$H$14,'Terminal offers'!$H$68)</f>
        <v>2.9711000000000001E-2</v>
      </c>
      <c r="I49" s="119">
        <f>'Terminal offers'!$J$14</f>
        <v>0</v>
      </c>
      <c r="J49" s="120">
        <f t="shared" si="9"/>
        <v>60</v>
      </c>
      <c r="K49" s="122">
        <f>IF((C61+C62)&lt;=D49, 0, E49*((C61+C62)-D49))</f>
        <v>0</v>
      </c>
      <c r="L49" s="122">
        <f>(G49*C63)+(H49*C64)</f>
        <v>7.9826422865859987</v>
      </c>
      <c r="M49" s="117">
        <f t="shared" si="6"/>
        <v>67.982642286586</v>
      </c>
      <c r="N49" s="124">
        <f t="shared" si="7"/>
        <v>2030.9065734349974</v>
      </c>
      <c r="O49" s="141">
        <f t="shared" si="8"/>
        <v>3.3474037248105715E-2</v>
      </c>
    </row>
    <row r="50" spans="2:15">
      <c r="B50" s="31" t="str">
        <f>'Terminal offers'!$A$28</f>
        <v>Hume Bank</v>
      </c>
      <c r="C50" s="22">
        <f>'Terminal offers'!$C$28</f>
        <v>40</v>
      </c>
      <c r="D50" s="22">
        <f>'Terminal offers'!$D$28</f>
        <v>1500</v>
      </c>
      <c r="E50" s="353">
        <f>'Terminal offers'!$E$28</f>
        <v>1.4999999999999999E-2</v>
      </c>
      <c r="F50" s="354"/>
      <c r="G50" s="24">
        <f>IF('Terminal offers'!$G$28&gt;0,'Terminal offers'!$G$28,'Terminal offers'!$G$68)</f>
        <v>2.3276000000000005E-2</v>
      </c>
      <c r="H50" s="24">
        <f>IF('Terminal offers'!$H$28&gt;0,'Terminal offers'!$H$28,'Terminal offers'!$H$68)</f>
        <v>2.9711000000000001E-2</v>
      </c>
      <c r="I50" s="25">
        <f>'Terminal offers'!$J$28</f>
        <v>0</v>
      </c>
      <c r="J50" s="26">
        <f t="shared" si="9"/>
        <v>40</v>
      </c>
      <c r="K50" s="26">
        <f>IF((C61+C62)&lt;=D50, 0, E50*((C61+C62)-D50))</f>
        <v>2.9351029607969257</v>
      </c>
      <c r="L50" s="27">
        <f>(G50*C63)+(H50*C64)</f>
        <v>7.9826422865859987</v>
      </c>
      <c r="M50" s="28">
        <f t="shared" si="6"/>
        <v>50.917745247382925</v>
      </c>
      <c r="N50" s="29">
        <f t="shared" si="7"/>
        <v>2030.9065734349974</v>
      </c>
      <c r="O50" s="30">
        <f t="shared" si="8"/>
        <v>2.5071436526625801E-2</v>
      </c>
    </row>
    <row r="51" spans="2:15">
      <c r="B51" s="112" t="str">
        <f>'Terminal offers'!$A$45</f>
        <v>St George</v>
      </c>
      <c r="C51" s="123">
        <f>'Terminal offers'!$C$45</f>
        <v>55</v>
      </c>
      <c r="D51" s="123">
        <f>'Terminal offers'!$D$45</f>
        <v>3500</v>
      </c>
      <c r="E51" s="371">
        <f>'Terminal offers'!$E$45</f>
        <v>1.4999999999999999E-2</v>
      </c>
      <c r="F51" s="372"/>
      <c r="G51" s="115">
        <f>IF('Terminal offers'!$G$45&gt;0,'Terminal offers'!$G$45,'Terminal offers'!$G$68)</f>
        <v>2.3276000000000005E-2</v>
      </c>
      <c r="H51" s="115">
        <f>IF('Terminal offers'!$H$45&gt;0,'Terminal offers'!$H$45,'Terminal offers'!$H$68)</f>
        <v>2.9711000000000001E-2</v>
      </c>
      <c r="I51" s="119">
        <f>'Terminal offers'!$J$45</f>
        <v>10</v>
      </c>
      <c r="J51" s="120">
        <f t="shared" si="9"/>
        <v>65</v>
      </c>
      <c r="K51" s="122">
        <f>IF((C61+C62)&lt;=D51, 0, E51*((C61+C62)-D51))</f>
        <v>0</v>
      </c>
      <c r="L51" s="122">
        <f>(G51*C63)+(H51*C64)</f>
        <v>7.9826422865859987</v>
      </c>
      <c r="M51" s="117">
        <f t="shared" si="6"/>
        <v>72.982642286586</v>
      </c>
      <c r="N51" s="124">
        <f t="shared" si="7"/>
        <v>2030.9065734349974</v>
      </c>
      <c r="O51" s="141">
        <f t="shared" si="8"/>
        <v>3.5935991956117297E-2</v>
      </c>
    </row>
    <row r="52" spans="2:15">
      <c r="B52" s="21" t="str">
        <f>'Terminal offers'!$A$33</f>
        <v>Live eftpos</v>
      </c>
      <c r="C52" s="22">
        <f>'Terminal offers'!$C$33</f>
        <v>28.996000000000002</v>
      </c>
      <c r="D52" s="22">
        <f>'Terminal offers'!$D$33</f>
        <v>0</v>
      </c>
      <c r="E52" s="226">
        <f>'Terminal offers'!$E$33</f>
        <v>0.35200000000000004</v>
      </c>
      <c r="F52" s="23">
        <f>'Terminal offers'!$F$33</f>
        <v>1.7600000000000001E-2</v>
      </c>
      <c r="G52" s="24">
        <f>IF('Terminal offers'!$G$33&gt;0,'Terminal offers'!$G$33,'Terminal offers'!$G$68)</f>
        <v>1.7600000000000001E-2</v>
      </c>
      <c r="H52" s="24">
        <f>IF('Terminal offers'!$H$33&gt;0,'Terminal offers'!$H$33,'Terminal offers'!$H$68)</f>
        <v>1.7600000000000001E-2</v>
      </c>
      <c r="I52" s="25">
        <f>'Terminal offers'!$J$33</f>
        <v>0</v>
      </c>
      <c r="J52" s="26">
        <f t="shared" si="9"/>
        <v>28.996000000000002</v>
      </c>
      <c r="K52" s="26">
        <f>(C66*E52)+(C62*F52)</f>
        <v>29.399850816866877</v>
      </c>
      <c r="L52" s="27">
        <f>(G52*C63)+(H52*C64)</f>
        <v>5.9001015517875581</v>
      </c>
      <c r="M52" s="28">
        <f t="shared" si="6"/>
        <v>64.29595236865444</v>
      </c>
      <c r="N52" s="29">
        <f t="shared" si="7"/>
        <v>2030.9065734349974</v>
      </c>
      <c r="O52" s="30">
        <f t="shared" si="8"/>
        <v>3.1658744528019644E-2</v>
      </c>
    </row>
    <row r="53" spans="2:15">
      <c r="B53" s="112" t="str">
        <f>'Terminal offers'!$A$50</f>
        <v>Tyro</v>
      </c>
      <c r="C53" s="123">
        <f>'Terminal offers'!$C$50</f>
        <v>42.900000000000006</v>
      </c>
      <c r="D53" s="123">
        <f>'Terminal offers'!$D$50</f>
        <v>0</v>
      </c>
      <c r="E53" s="373">
        <f>'Terminal offers'!$E$50</f>
        <v>1.2100000000000001E-2</v>
      </c>
      <c r="F53" s="374"/>
      <c r="G53" s="115">
        <f>IF('Terminal offers'!$G$50&gt;0,'Terminal offers'!$G$50,'Terminal offers'!$G$68)</f>
        <v>2.3276000000000005E-2</v>
      </c>
      <c r="H53" s="115">
        <f>IF('Terminal offers'!$H$50&gt;0,'Terminal offers'!$H$50,'Terminal offers'!$H$68)</f>
        <v>2.9711000000000001E-2</v>
      </c>
      <c r="I53" s="119">
        <f>'Terminal offers'!$J$50</f>
        <v>0</v>
      </c>
      <c r="J53" s="120">
        <f t="shared" si="9"/>
        <v>42.900000000000006</v>
      </c>
      <c r="K53" s="120">
        <f>E53*(C61+C62)</f>
        <v>20.517649721709521</v>
      </c>
      <c r="L53" s="122">
        <f>(G53*C63)+(H53*C64)</f>
        <v>7.9826422865859987</v>
      </c>
      <c r="M53" s="117">
        <f>SUM(J53:L53)</f>
        <v>71.400292008295523</v>
      </c>
      <c r="N53" s="124">
        <f t="shared" si="7"/>
        <v>2030.9065734349974</v>
      </c>
      <c r="O53" s="141">
        <f t="shared" si="8"/>
        <v>3.5156857012645037E-2</v>
      </c>
    </row>
    <row r="54" spans="2:15">
      <c r="B54" s="21" t="str">
        <f>'Terminal offers'!$A$23</f>
        <v>First Data</v>
      </c>
      <c r="C54" s="22">
        <f>'Terminal offers'!$C$23</f>
        <v>45</v>
      </c>
      <c r="D54" s="22">
        <f>'Terminal offers'!$D$23</f>
        <v>2500</v>
      </c>
      <c r="E54" s="353">
        <f>'Terminal offers'!$E$23</f>
        <v>1.7500000000000002E-2</v>
      </c>
      <c r="F54" s="354"/>
      <c r="G54" s="24">
        <f>IF('Terminal offers'!$G$23&gt;0,'Terminal offers'!$G$23,'Terminal offers'!$G$68)</f>
        <v>2.3276000000000005E-2</v>
      </c>
      <c r="H54" s="24">
        <f>IF('Terminal offers'!$H$23&gt;0,'Terminal offers'!$H$23,'Terminal offers'!$H$68)</f>
        <v>2.9711000000000001E-2</v>
      </c>
      <c r="I54" s="25">
        <f>'Terminal offers'!$J$23</f>
        <v>0</v>
      </c>
      <c r="J54" s="26">
        <f t="shared" si="9"/>
        <v>45</v>
      </c>
      <c r="K54" s="27">
        <f>IF((C61+C62)&lt;=D54, 0, E54*((C61+C62)-D54))</f>
        <v>0</v>
      </c>
      <c r="L54" s="27">
        <f>(G54*C63)+(H54*C64)</f>
        <v>7.9826422865859987</v>
      </c>
      <c r="M54" s="28">
        <f t="shared" ref="M54:M55" si="10">SUM(J54:L54)</f>
        <v>52.982642286586</v>
      </c>
      <c r="N54" s="29">
        <f t="shared" si="7"/>
        <v>2030.9065734349974</v>
      </c>
      <c r="O54" s="30">
        <f t="shared" si="8"/>
        <v>2.6088173124070968E-2</v>
      </c>
    </row>
    <row r="55" spans="2:15">
      <c r="B55" s="125" t="str">
        <f>'Terminal offers'!$A$34</f>
        <v>Mint</v>
      </c>
      <c r="C55" s="126">
        <f>'Terminal offers'!$C$34</f>
        <v>39</v>
      </c>
      <c r="D55" s="126">
        <f>'Terminal offers'!$D$34</f>
        <v>0</v>
      </c>
      <c r="E55" s="227">
        <f>'Terminal offers'!$E$34</f>
        <v>0.25</v>
      </c>
      <c r="F55" s="127">
        <f>'Terminal offers'!$F$34</f>
        <v>1.2500000000000001E-2</v>
      </c>
      <c r="G55" s="128">
        <f>IF('Terminal offers'!$G$34&gt;0,'Terminal offers'!$G$34,'Terminal offers'!$G$68)</f>
        <v>2.3276000000000005E-2</v>
      </c>
      <c r="H55" s="128">
        <f>IF('Terminal offers'!$H$34&gt;0,'Terminal offers'!$H$34,'Terminal offers'!$H$68)</f>
        <v>2.9711000000000001E-2</v>
      </c>
      <c r="I55" s="129">
        <f>'Terminal offers'!$J$34</f>
        <v>0</v>
      </c>
      <c r="J55" s="130">
        <f t="shared" si="9"/>
        <v>39</v>
      </c>
      <c r="K55" s="131">
        <f>(E55*C66)+(F55*C62)</f>
        <v>20.880575864252044</v>
      </c>
      <c r="L55" s="131">
        <f>(G55*C63)+(H55*C64)</f>
        <v>7.9826422865859987</v>
      </c>
      <c r="M55" s="132">
        <f t="shared" si="10"/>
        <v>67.863218150838037</v>
      </c>
      <c r="N55" s="133">
        <f>$C$58</f>
        <v>2030.9065734349974</v>
      </c>
      <c r="O55" s="142">
        <f>(N55+M55)/N55-1</f>
        <v>3.3415233885454754E-2</v>
      </c>
    </row>
    <row r="56" spans="2:15">
      <c r="B56" s="56"/>
      <c r="C56" s="57"/>
      <c r="D56" s="16"/>
      <c r="E56" s="16"/>
      <c r="F56" s="16"/>
      <c r="G56" s="16"/>
      <c r="H56" s="16"/>
      <c r="I56" s="15"/>
      <c r="J56" s="15"/>
      <c r="K56" s="15"/>
      <c r="L56" s="15"/>
      <c r="M56" s="15"/>
      <c r="N56" s="134" t="s">
        <v>13</v>
      </c>
      <c r="O56" s="144">
        <f>AVERAGE(O42:O55)</f>
        <v>3.2258899936254762E-2</v>
      </c>
    </row>
    <row r="57" spans="2:15">
      <c r="B57" s="40" t="s">
        <v>108</v>
      </c>
      <c r="C57" s="41"/>
      <c r="D57" s="251"/>
      <c r="E57" s="251"/>
      <c r="F57" s="251"/>
      <c r="G57" s="251"/>
      <c r="H57" s="251"/>
      <c r="I57" s="251"/>
      <c r="J57" s="251"/>
      <c r="K57" s="251"/>
      <c r="L57" s="251"/>
      <c r="M57" s="251"/>
      <c r="N57" s="135" t="s">
        <v>17</v>
      </c>
      <c r="O57" s="145">
        <f>MIN(O42:O55)</f>
        <v>2.5071436526625801E-2</v>
      </c>
    </row>
    <row r="58" spans="2:15">
      <c r="B58" s="42" t="s">
        <v>33</v>
      </c>
      <c r="C58" s="43">
        <f>'1. Monthly revenue &amp; trips '!C6*0.95</f>
        <v>2030.9065734349974</v>
      </c>
      <c r="D58" s="251"/>
      <c r="E58" s="251"/>
      <c r="F58" s="251"/>
      <c r="G58" s="251"/>
      <c r="H58" s="251"/>
      <c r="I58" s="251"/>
      <c r="J58" s="251"/>
      <c r="K58" s="251"/>
      <c r="L58" s="251"/>
      <c r="M58" s="251"/>
      <c r="N58" s="136" t="s">
        <v>18</v>
      </c>
      <c r="O58" s="146">
        <f>MAX(O42:O55)</f>
        <v>3.7905555722526518E-2</v>
      </c>
    </row>
    <row r="59" spans="2:15">
      <c r="B59" s="42" t="s">
        <v>21</v>
      </c>
      <c r="C59" s="45">
        <f>'1. Monthly revenue &amp; trips '!C4</f>
        <v>28.489485170139162</v>
      </c>
      <c r="D59" s="251"/>
      <c r="E59" s="251"/>
      <c r="F59" s="251"/>
      <c r="G59" s="251"/>
      <c r="H59" s="251"/>
      <c r="I59" s="251"/>
      <c r="J59" s="251"/>
      <c r="K59" s="251"/>
      <c r="L59" s="251"/>
      <c r="M59" s="251"/>
      <c r="N59" s="15"/>
      <c r="O59" s="15"/>
    </row>
    <row r="60" spans="2:15">
      <c r="B60" s="42"/>
      <c r="C60" s="45"/>
      <c r="D60" s="251"/>
      <c r="E60" s="251"/>
      <c r="F60" s="251"/>
      <c r="G60" s="251"/>
      <c r="H60" s="251"/>
      <c r="I60" s="251"/>
      <c r="J60" s="251"/>
      <c r="K60" s="251"/>
      <c r="L60" s="251"/>
      <c r="M60" s="251"/>
      <c r="N60" s="15"/>
      <c r="O60" s="15"/>
    </row>
    <row r="61" spans="2:15">
      <c r="B61" s="42" t="s">
        <v>34</v>
      </c>
      <c r="C61" s="46">
        <f>'1. Monthly revenue &amp; trips '!C19*'5. Sensitivity(EFTPOS) '!C58</f>
        <v>84.659714711697916</v>
      </c>
      <c r="D61" s="251"/>
      <c r="E61" s="251"/>
      <c r="F61" s="251"/>
      <c r="G61" s="251"/>
      <c r="H61" s="251"/>
      <c r="I61" s="251"/>
      <c r="J61" s="251"/>
      <c r="K61" s="251"/>
      <c r="L61" s="251"/>
      <c r="M61" s="251"/>
      <c r="N61" s="15"/>
      <c r="O61" s="15"/>
    </row>
    <row r="62" spans="2:15">
      <c r="B62" s="42" t="s">
        <v>197</v>
      </c>
      <c r="C62" s="46">
        <f>'1. Monthly revenue &amp; trips '!C20*'5. Sensitivity(EFTPOS) '!C58</f>
        <v>1611.0138160080971</v>
      </c>
      <c r="D62" s="251"/>
      <c r="E62" s="251"/>
      <c r="F62" s="251"/>
      <c r="G62" s="251"/>
      <c r="H62" s="251"/>
      <c r="I62" s="251"/>
      <c r="J62" s="251"/>
      <c r="K62" s="251"/>
      <c r="L62" s="251"/>
      <c r="M62" s="251"/>
      <c r="N62" s="15"/>
      <c r="O62" s="15"/>
    </row>
    <row r="63" spans="2:15">
      <c r="B63" s="42" t="s">
        <v>39</v>
      </c>
      <c r="C63" s="46">
        <f>'1. Monthly revenue &amp; trips '!C21*'5. Sensitivity(EFTPOS) '!C58</f>
        <v>307.29862401326704</v>
      </c>
      <c r="D63" s="251"/>
      <c r="E63" s="251"/>
      <c r="F63" s="251"/>
      <c r="G63" s="251"/>
      <c r="H63" s="251"/>
      <c r="I63" s="251"/>
      <c r="J63" s="251"/>
      <c r="K63" s="251"/>
      <c r="L63" s="251"/>
      <c r="M63" s="251"/>
      <c r="N63" s="15"/>
      <c r="O63" s="15"/>
    </row>
    <row r="64" spans="2:15">
      <c r="B64" s="42" t="s">
        <v>114</v>
      </c>
      <c r="C64" s="46">
        <f>'1. Monthly revenue &amp; trips '!C22*'5. Sensitivity(EFTPOS) '!C58</f>
        <v>27.934418701935098</v>
      </c>
      <c r="D64" s="251"/>
      <c r="E64" s="251"/>
      <c r="F64" s="251"/>
      <c r="G64" s="251"/>
      <c r="H64" s="251"/>
      <c r="I64" s="251"/>
      <c r="J64" s="251"/>
      <c r="K64" s="251"/>
      <c r="L64" s="251"/>
      <c r="M64" s="251"/>
      <c r="N64" s="15"/>
      <c r="O64" s="15"/>
    </row>
    <row r="65" spans="2:15">
      <c r="B65" s="42"/>
      <c r="C65" s="46"/>
      <c r="D65" s="251"/>
      <c r="E65" s="251"/>
      <c r="F65" s="251"/>
      <c r="G65" s="251"/>
      <c r="H65" s="251"/>
      <c r="I65" s="251"/>
      <c r="J65" s="251"/>
      <c r="K65" s="251"/>
      <c r="L65" s="251"/>
      <c r="M65" s="251"/>
      <c r="N65" s="15"/>
      <c r="O65" s="15"/>
    </row>
    <row r="66" spans="2:15">
      <c r="B66" s="42" t="s">
        <v>38</v>
      </c>
      <c r="C66" s="51">
        <f>C61/$C$59</f>
        <v>2.971612656603313</v>
      </c>
      <c r="D66" s="251"/>
      <c r="E66" s="251"/>
      <c r="F66" s="251"/>
      <c r="G66" s="251"/>
      <c r="H66" s="251"/>
      <c r="I66" s="251"/>
      <c r="J66" s="251"/>
      <c r="K66" s="251"/>
      <c r="L66" s="251"/>
      <c r="M66" s="251"/>
      <c r="N66" s="15"/>
      <c r="O66" s="15"/>
    </row>
    <row r="67" spans="2:15">
      <c r="B67" s="42" t="s">
        <v>198</v>
      </c>
      <c r="C67" s="51">
        <f t="shared" ref="C67:C68" si="11">C62/$C$59</f>
        <v>56.547663335687716</v>
      </c>
      <c r="D67" s="251"/>
      <c r="E67" s="251"/>
      <c r="F67" s="251"/>
      <c r="G67" s="251"/>
      <c r="H67" s="251"/>
      <c r="I67" s="251"/>
      <c r="J67" s="251"/>
      <c r="K67" s="251"/>
      <c r="L67" s="251"/>
      <c r="M67" s="251"/>
      <c r="N67" s="15"/>
      <c r="O67" s="15"/>
    </row>
    <row r="68" spans="2:15">
      <c r="B68" s="42" t="s">
        <v>41</v>
      </c>
      <c r="C68" s="51">
        <f t="shared" si="11"/>
        <v>10.786387404969943</v>
      </c>
      <c r="D68" s="251"/>
      <c r="E68" s="251"/>
      <c r="F68" s="251"/>
      <c r="G68" s="251"/>
      <c r="H68" s="251"/>
      <c r="I68" s="251"/>
      <c r="J68" s="251"/>
      <c r="K68" s="251"/>
      <c r="L68" s="251"/>
      <c r="M68" s="251"/>
      <c r="N68" s="15"/>
      <c r="O68" s="15"/>
    </row>
    <row r="69" spans="2:15">
      <c r="B69" s="44" t="s">
        <v>113</v>
      </c>
      <c r="C69" s="54">
        <f>C64/$C$59</f>
        <v>0.98051679541103642</v>
      </c>
      <c r="D69" s="251"/>
      <c r="E69" s="251"/>
      <c r="F69" s="251"/>
      <c r="G69" s="251"/>
      <c r="H69" s="251"/>
      <c r="I69" s="251"/>
      <c r="J69" s="251"/>
      <c r="K69" s="251"/>
      <c r="L69" s="251"/>
      <c r="M69" s="251"/>
      <c r="N69" s="15"/>
      <c r="O69" s="15"/>
    </row>
    <row r="70" spans="2:15">
      <c r="B70" s="13"/>
      <c r="C70" s="14"/>
      <c r="D70" s="14"/>
      <c r="E70" s="14"/>
      <c r="F70" s="14"/>
      <c r="G70" s="14"/>
      <c r="H70" s="14"/>
      <c r="I70" s="13"/>
      <c r="J70" s="13"/>
      <c r="K70" s="13"/>
      <c r="L70" s="13"/>
      <c r="M70" s="13"/>
      <c r="N70" s="13"/>
      <c r="O70" s="13"/>
    </row>
    <row r="71" spans="2:15">
      <c r="B71" s="13"/>
      <c r="C71" s="14"/>
      <c r="D71" s="14"/>
      <c r="E71" s="14"/>
      <c r="F71" s="14"/>
      <c r="G71" s="14"/>
      <c r="H71" s="14"/>
      <c r="I71" s="13"/>
      <c r="J71" s="13"/>
      <c r="K71" s="13"/>
      <c r="L71" s="13"/>
      <c r="M71" s="13"/>
      <c r="N71" s="13"/>
      <c r="O71" s="13"/>
    </row>
    <row r="72" spans="2:15" ht="28.5" customHeight="1">
      <c r="B72" s="375" t="s">
        <v>111</v>
      </c>
      <c r="C72" s="376"/>
      <c r="D72" s="376"/>
      <c r="E72" s="376"/>
      <c r="F72" s="376"/>
      <c r="G72" s="376"/>
      <c r="H72" s="376"/>
      <c r="I72" s="376"/>
      <c r="J72" s="376"/>
      <c r="K72" s="376"/>
      <c r="L72" s="376"/>
      <c r="M72" s="376"/>
      <c r="N72" s="376"/>
      <c r="O72" s="377"/>
    </row>
    <row r="73" spans="2:15">
      <c r="B73" s="15"/>
      <c r="C73" s="16"/>
      <c r="D73" s="16"/>
      <c r="E73" s="16"/>
      <c r="F73" s="16"/>
      <c r="G73" s="16"/>
      <c r="H73" s="16"/>
      <c r="I73" s="15"/>
      <c r="J73" s="15"/>
      <c r="K73" s="15"/>
      <c r="L73" s="15"/>
      <c r="M73" s="15"/>
      <c r="N73" s="15"/>
      <c r="O73" s="15"/>
    </row>
    <row r="74" spans="2:15" ht="12" customHeight="1">
      <c r="B74" s="17"/>
      <c r="C74" s="358" t="s">
        <v>10</v>
      </c>
      <c r="D74" s="359"/>
      <c r="E74" s="359"/>
      <c r="F74" s="359"/>
      <c r="G74" s="359"/>
      <c r="H74" s="359"/>
      <c r="I74" s="360"/>
      <c r="J74" s="361" t="s">
        <v>101</v>
      </c>
      <c r="K74" s="362"/>
      <c r="L74" s="362"/>
      <c r="M74" s="363"/>
      <c r="N74" s="18" t="s">
        <v>8</v>
      </c>
      <c r="O74" s="351" t="s">
        <v>104</v>
      </c>
    </row>
    <row r="75" spans="2:15" ht="33.75">
      <c r="B75" s="73" t="s">
        <v>25</v>
      </c>
      <c r="C75" s="20" t="s">
        <v>20</v>
      </c>
      <c r="D75" s="20" t="s">
        <v>19</v>
      </c>
      <c r="E75" s="20" t="s">
        <v>94</v>
      </c>
      <c r="F75" s="72" t="s">
        <v>102</v>
      </c>
      <c r="G75" s="20" t="s">
        <v>95</v>
      </c>
      <c r="H75" s="20" t="s">
        <v>96</v>
      </c>
      <c r="I75" s="71" t="s">
        <v>14</v>
      </c>
      <c r="J75" s="20" t="s">
        <v>16</v>
      </c>
      <c r="K75" s="20" t="s">
        <v>103</v>
      </c>
      <c r="L75" s="20" t="s">
        <v>99</v>
      </c>
      <c r="M75" s="72" t="s">
        <v>15</v>
      </c>
      <c r="N75" s="20" t="s">
        <v>100</v>
      </c>
      <c r="O75" s="352"/>
    </row>
    <row r="76" spans="2:15">
      <c r="B76" s="21" t="str">
        <f>'Terminal offers'!$A$3</f>
        <v>ANZ</v>
      </c>
      <c r="C76" s="22">
        <f>'Terminal offers'!$C$3</f>
        <v>40</v>
      </c>
      <c r="D76" s="22">
        <f>'Terminal offers'!$D$3</f>
        <v>0</v>
      </c>
      <c r="E76" s="225">
        <f>'Terminal offers'!$E$3</f>
        <v>0.25</v>
      </c>
      <c r="F76" s="23">
        <f>'Terminal offers'!$F$3</f>
        <v>8.0000000000000002E-3</v>
      </c>
      <c r="G76" s="24">
        <f>IF('Terminal offers'!$G$3&gt;0,'Terminal offers'!$G$3,'Terminal offers'!$G$68)</f>
        <v>2.3276000000000005E-2</v>
      </c>
      <c r="H76" s="24">
        <f>IF('Terminal offers'!$H$3&gt;0,'Terminal offers'!$H$3,'Terminal offers'!$H$68)</f>
        <v>2.9711000000000001E-2</v>
      </c>
      <c r="I76" s="25">
        <f>'Terminal offers'!$J$3</f>
        <v>0</v>
      </c>
      <c r="J76" s="26">
        <f t="shared" ref="J76:J79" si="12">C76+I76</f>
        <v>40</v>
      </c>
      <c r="K76" s="27">
        <f>MAX((E76*C100)+(F76*C96), 'Terminal offers'!I3)</f>
        <v>29</v>
      </c>
      <c r="L76" s="27">
        <f>(G76*C97)+(H76*C98)</f>
        <v>9.2430594897311593</v>
      </c>
      <c r="M76" s="28">
        <f>SUM(J76:L76)</f>
        <v>78.243059489731166</v>
      </c>
      <c r="N76" s="29">
        <f>$C$92</f>
        <v>2351.5760323984186</v>
      </c>
      <c r="O76" s="30">
        <f>(N76+M76)/N76-1</f>
        <v>3.3272604590177446E-2</v>
      </c>
    </row>
    <row r="77" spans="2:15">
      <c r="B77" s="118" t="str">
        <f>'Terminal offers'!$A$19</f>
        <v>Commonwealth Bank</v>
      </c>
      <c r="C77" s="123">
        <f>'Terminal offers'!$C$19</f>
        <v>60</v>
      </c>
      <c r="D77" s="123">
        <f>'Terminal offers'!$D$19</f>
        <v>3000</v>
      </c>
      <c r="E77" s="371">
        <f>'Terminal offers'!$E$19</f>
        <v>1.4999999999999999E-2</v>
      </c>
      <c r="F77" s="372"/>
      <c r="G77" s="115">
        <f>IF('Terminal offers'!$G$19&gt;0,'Terminal offers'!$G$19,'Terminal offers'!$G$68)</f>
        <v>2.3276000000000005E-2</v>
      </c>
      <c r="H77" s="115">
        <f>IF('Terminal offers'!$H$19&gt;0,'Terminal offers'!$H$19,'Terminal offers'!$H$68)</f>
        <v>2.9711000000000001E-2</v>
      </c>
      <c r="I77" s="121">
        <f>'Terminal offers'!$J$19</f>
        <v>0</v>
      </c>
      <c r="J77" s="120">
        <f t="shared" si="12"/>
        <v>60</v>
      </c>
      <c r="K77" s="122">
        <f>IF((C95+C96)&lt;=D77, 0, E77*((C95+C96)-D77))</f>
        <v>0</v>
      </c>
      <c r="L77" s="122">
        <f>(G77*C97)+(H77*C98)</f>
        <v>9.2430594897311593</v>
      </c>
      <c r="M77" s="117">
        <f>SUM(J77:L77)</f>
        <v>69.243059489731166</v>
      </c>
      <c r="N77" s="124">
        <f>$C$92</f>
        <v>2351.5760323984186</v>
      </c>
      <c r="O77" s="141">
        <f>(N77+M77)/N77-1</f>
        <v>2.9445384089541227E-2</v>
      </c>
    </row>
    <row r="78" spans="2:15">
      <c r="B78" s="31" t="str">
        <f>'Terminal offers'!$A$35</f>
        <v>NAB</v>
      </c>
      <c r="C78" s="22">
        <f>'Terminal offers'!$C$35</f>
        <v>40</v>
      </c>
      <c r="D78" s="22">
        <f>'Terminal offers'!$D$35</f>
        <v>1500</v>
      </c>
      <c r="E78" s="353">
        <f>'Terminal offers'!$E$35</f>
        <v>1.4999999999999999E-2</v>
      </c>
      <c r="F78" s="354"/>
      <c r="G78" s="24">
        <f>IF('Terminal offers'!$G$35&gt;0,'Terminal offers'!$G$35,'Terminal offers'!$G$68)</f>
        <v>2.3276000000000005E-2</v>
      </c>
      <c r="H78" s="24">
        <f>IF('Terminal offers'!$H$35&gt;0,'Terminal offers'!$H$35,'Terminal offers'!$H$68)</f>
        <v>2.9711000000000001E-2</v>
      </c>
      <c r="I78" s="25">
        <f>'Terminal offers'!$J$35</f>
        <v>0</v>
      </c>
      <c r="J78" s="26">
        <f t="shared" si="12"/>
        <v>40</v>
      </c>
      <c r="K78" s="33">
        <f>IF((C95+C96)&lt;=D78, 0, E78*((C95+C96)-D78))</f>
        <v>6.9511718493438135</v>
      </c>
      <c r="L78" s="27">
        <f>(G78*C97)+(H78*C98)</f>
        <v>9.2430594897311593</v>
      </c>
      <c r="M78" s="28">
        <f t="shared" ref="M78:M86" si="13">SUM(J78:L78)</f>
        <v>56.194231339074975</v>
      </c>
      <c r="N78" s="29">
        <f t="shared" ref="N78:N88" si="14">$C$92</f>
        <v>2351.5760323984186</v>
      </c>
      <c r="O78" s="30">
        <f t="shared" ref="O78:O88" si="15">(N78+M78)/N78-1</f>
        <v>2.3896412688711344E-2</v>
      </c>
    </row>
    <row r="79" spans="2:15">
      <c r="B79" s="112" t="str">
        <f>'Terminal offers'!$A$51</f>
        <v>Westpac</v>
      </c>
      <c r="C79" s="123">
        <f>'Terminal offers'!$C$51</f>
        <v>55</v>
      </c>
      <c r="D79" s="123">
        <f>'Terminal offers'!$D$51</f>
        <v>3500</v>
      </c>
      <c r="E79" s="371">
        <f>'Terminal offers'!$E$51</f>
        <v>1.4999999999999999E-2</v>
      </c>
      <c r="F79" s="372"/>
      <c r="G79" s="115">
        <f>IF('Terminal offers'!$G$51&gt;0,'Terminal offers'!$G$51,'Terminal offers'!$G$68)</f>
        <v>2.3276000000000005E-2</v>
      </c>
      <c r="H79" s="115">
        <f>IF('Terminal offers'!$H$51&gt;0,'Terminal offers'!$H$51,'Terminal offers'!$H$68)</f>
        <v>2.9711000000000001E-2</v>
      </c>
      <c r="I79" s="119">
        <f>'Terminal offers'!$J$51</f>
        <v>0</v>
      </c>
      <c r="J79" s="120">
        <f t="shared" si="12"/>
        <v>55</v>
      </c>
      <c r="K79" s="122">
        <f>IF((C95+C96)&lt;=D79, 0, E79*((C95+C96)-D79))</f>
        <v>0</v>
      </c>
      <c r="L79" s="122">
        <f>(G79*C97)+(H79*C98)</f>
        <v>9.2430594897311593</v>
      </c>
      <c r="M79" s="117">
        <f t="shared" si="13"/>
        <v>64.243059489731166</v>
      </c>
      <c r="N79" s="124">
        <f t="shared" si="14"/>
        <v>2351.5760323984186</v>
      </c>
      <c r="O79" s="141">
        <f t="shared" si="15"/>
        <v>2.7319150478076759E-2</v>
      </c>
    </row>
    <row r="80" spans="2:15">
      <c r="B80" s="21" t="str">
        <f>'Terminal offers'!$A$4</f>
        <v>Bank of Melbourne</v>
      </c>
      <c r="C80" s="22">
        <f>'Terminal offers'!$C$4</f>
        <v>55</v>
      </c>
      <c r="D80" s="22">
        <f>'Terminal offers'!$D$4</f>
        <v>3500</v>
      </c>
      <c r="E80" s="353">
        <f>'Terminal offers'!$E$4</f>
        <v>1.4999999999999999E-2</v>
      </c>
      <c r="F80" s="354"/>
      <c r="G80" s="24">
        <f>IF('Terminal offers'!$G$4&gt;0,'Terminal offers'!$G$4,'Terminal offers'!$G$68)</f>
        <v>2.3276000000000005E-2</v>
      </c>
      <c r="H80" s="24">
        <f>IF('Terminal offers'!$H$4&gt;0,'Terminal offers'!$H$4,'Terminal offers'!$H$68)</f>
        <v>2.9711000000000001E-2</v>
      </c>
      <c r="I80" s="25">
        <f>'Terminal offers'!$J$4</f>
        <v>10</v>
      </c>
      <c r="J80" s="26">
        <f>C80+I80</f>
        <v>65</v>
      </c>
      <c r="K80" s="27">
        <f>IF((C95+C96)&lt;=D80, 0, E80*((C95+C96)-D80))</f>
        <v>0</v>
      </c>
      <c r="L80" s="27">
        <f>(G80*C97)+(H80*C98)</f>
        <v>9.2430594897311593</v>
      </c>
      <c r="M80" s="28">
        <f t="shared" si="13"/>
        <v>74.243059489731166</v>
      </c>
      <c r="N80" s="29">
        <f t="shared" si="14"/>
        <v>2351.5760323984186</v>
      </c>
      <c r="O80" s="30">
        <f t="shared" si="15"/>
        <v>3.1571617701005916E-2</v>
      </c>
    </row>
    <row r="81" spans="2:15">
      <c r="B81" s="112" t="str">
        <f>'Terminal offers'!$A$9</f>
        <v>Bank SA</v>
      </c>
      <c r="C81" s="123">
        <f>'Terminal offers'!$C$9</f>
        <v>55</v>
      </c>
      <c r="D81" s="123">
        <f>'Terminal offers'!$D$9</f>
        <v>3500</v>
      </c>
      <c r="E81" s="371">
        <f>'Terminal offers'!$E$9</f>
        <v>1.4999999999999999E-2</v>
      </c>
      <c r="F81" s="372"/>
      <c r="G81" s="115">
        <f>IF('Terminal offers'!$G$9&gt;0,'Terminal offers'!$G$9,'Terminal offers'!$G$68)</f>
        <v>2.3276000000000005E-2</v>
      </c>
      <c r="H81" s="115">
        <f>IF('Terminal offers'!$H$9&gt;0,'Terminal offers'!$H$9,'Terminal offers'!$H$68)</f>
        <v>2.9711000000000001E-2</v>
      </c>
      <c r="I81" s="119">
        <f>'Terminal offers'!$J$9</f>
        <v>10</v>
      </c>
      <c r="J81" s="120">
        <f t="shared" ref="J81:J89" si="16">C81+I81</f>
        <v>65</v>
      </c>
      <c r="K81" s="122">
        <f>IF((C95+C96)&lt;=D81, 0, E81*((C95+C96)-D81))</f>
        <v>0</v>
      </c>
      <c r="L81" s="122">
        <f>(G81*C97)+(H81*C98)</f>
        <v>9.2430594897311593</v>
      </c>
      <c r="M81" s="117">
        <f t="shared" si="13"/>
        <v>74.243059489731166</v>
      </c>
      <c r="N81" s="124">
        <f t="shared" si="14"/>
        <v>2351.5760323984186</v>
      </c>
      <c r="O81" s="141">
        <f t="shared" si="15"/>
        <v>3.1571617701005916E-2</v>
      </c>
    </row>
    <row r="82" spans="2:15">
      <c r="B82" s="21" t="str">
        <f>'Terminal offers'!$A$18</f>
        <v>Bendigo Bank</v>
      </c>
      <c r="C82" s="22">
        <f>'Terminal offers'!$C$18</f>
        <v>33</v>
      </c>
      <c r="D82" s="22">
        <f>'Terminal offers'!$D$18</f>
        <v>0</v>
      </c>
      <c r="E82" s="226">
        <f>'Terminal offers'!$E$18</f>
        <v>0.27500000000000002</v>
      </c>
      <c r="F82" s="23">
        <f>'Terminal offers'!$F$18</f>
        <v>1.3750000000000002E-2</v>
      </c>
      <c r="G82" s="24">
        <f>IF('Terminal offers'!$G$18&gt;0,'Terminal offers'!$G$18,'Terminal offers'!$G$68)</f>
        <v>2.3276000000000005E-2</v>
      </c>
      <c r="H82" s="24">
        <f>IF('Terminal offers'!$H$18&gt;0,'Terminal offers'!$H$18,'Terminal offers'!$H$68)</f>
        <v>2.9711000000000001E-2</v>
      </c>
      <c r="I82" s="32">
        <f>'Terminal offers'!$J$18</f>
        <v>0</v>
      </c>
      <c r="J82" s="26">
        <f t="shared" si="16"/>
        <v>33</v>
      </c>
      <c r="K82" s="26">
        <f>(C100*E82)+(C96*F82)</f>
        <v>26.595259784994713</v>
      </c>
      <c r="L82" s="27">
        <f>(G82*C97)+(H82*C98)</f>
        <v>9.2430594897311593</v>
      </c>
      <c r="M82" s="28">
        <f t="shared" si="13"/>
        <v>68.838319274725876</v>
      </c>
      <c r="N82" s="29">
        <f t="shared" si="14"/>
        <v>2351.5760323984186</v>
      </c>
      <c r="O82" s="30">
        <f t="shared" si="15"/>
        <v>2.9273269639730204E-2</v>
      </c>
    </row>
    <row r="83" spans="2:15">
      <c r="B83" s="112" t="str">
        <f>'Terminal offers'!$A$14</f>
        <v>Bankwest</v>
      </c>
      <c r="C83" s="123">
        <f>'Terminal offers'!$C$14</f>
        <v>60</v>
      </c>
      <c r="D83" s="123">
        <f>'Terminal offers'!$D$14</f>
        <v>3000</v>
      </c>
      <c r="E83" s="371">
        <f>'Terminal offers'!$E$14</f>
        <v>1.4999999999999999E-2</v>
      </c>
      <c r="F83" s="372"/>
      <c r="G83" s="115">
        <f>IF('Terminal offers'!$G$14&gt;0,'Terminal offers'!$G$14,'Terminal offers'!$G$68)</f>
        <v>2.3276000000000005E-2</v>
      </c>
      <c r="H83" s="115">
        <f>IF('Terminal offers'!$H$14&gt;0,'Terminal offers'!$H$14,'Terminal offers'!$H$68)</f>
        <v>2.9711000000000001E-2</v>
      </c>
      <c r="I83" s="119">
        <f>'Terminal offers'!$J$14</f>
        <v>0</v>
      </c>
      <c r="J83" s="120">
        <f t="shared" si="16"/>
        <v>60</v>
      </c>
      <c r="K83" s="122">
        <f>IF((C95+C96)&lt;=D83, 0, E83*((C95+C96)-D83))</f>
        <v>0</v>
      </c>
      <c r="L83" s="122">
        <f>(G83*C97)+(H83*C98)</f>
        <v>9.2430594897311593</v>
      </c>
      <c r="M83" s="117">
        <f t="shared" si="13"/>
        <v>69.243059489731166</v>
      </c>
      <c r="N83" s="124">
        <f t="shared" si="14"/>
        <v>2351.5760323984186</v>
      </c>
      <c r="O83" s="141">
        <f t="shared" si="15"/>
        <v>2.9445384089541227E-2</v>
      </c>
    </row>
    <row r="84" spans="2:15">
      <c r="B84" s="31" t="str">
        <f>'Terminal offers'!$A$28</f>
        <v>Hume Bank</v>
      </c>
      <c r="C84" s="22">
        <f>'Terminal offers'!$C$28</f>
        <v>40</v>
      </c>
      <c r="D84" s="22">
        <f>'Terminal offers'!$D$28</f>
        <v>1500</v>
      </c>
      <c r="E84" s="353">
        <f>'Terminal offers'!$E$28</f>
        <v>1.4999999999999999E-2</v>
      </c>
      <c r="F84" s="354"/>
      <c r="G84" s="24">
        <f>IF('Terminal offers'!$G$28&gt;0,'Terminal offers'!$G$28,'Terminal offers'!$G$68)</f>
        <v>2.3276000000000005E-2</v>
      </c>
      <c r="H84" s="24">
        <f>IF('Terminal offers'!$H$28&gt;0,'Terminal offers'!$H$28,'Terminal offers'!$H$68)</f>
        <v>2.9711000000000001E-2</v>
      </c>
      <c r="I84" s="25">
        <f>'Terminal offers'!$J$28</f>
        <v>0</v>
      </c>
      <c r="J84" s="26">
        <f t="shared" si="16"/>
        <v>40</v>
      </c>
      <c r="K84" s="26">
        <f>IF((C95+C96)&lt;=D84, 0, E84*((C95+C96)-D84))</f>
        <v>6.9511718493438135</v>
      </c>
      <c r="L84" s="27">
        <f>(G84*C97)+(H84*C98)</f>
        <v>9.2430594897311593</v>
      </c>
      <c r="M84" s="28">
        <f t="shared" si="13"/>
        <v>56.194231339074975</v>
      </c>
      <c r="N84" s="29">
        <f t="shared" si="14"/>
        <v>2351.5760323984186</v>
      </c>
      <c r="O84" s="30">
        <f t="shared" si="15"/>
        <v>2.3896412688711344E-2</v>
      </c>
    </row>
    <row r="85" spans="2:15">
      <c r="B85" s="112" t="str">
        <f>'Terminal offers'!$A$45</f>
        <v>St George</v>
      </c>
      <c r="C85" s="123">
        <f>'Terminal offers'!$C$45</f>
        <v>55</v>
      </c>
      <c r="D85" s="123">
        <f>'Terminal offers'!$D$45</f>
        <v>3500</v>
      </c>
      <c r="E85" s="371">
        <f>'Terminal offers'!$E$45</f>
        <v>1.4999999999999999E-2</v>
      </c>
      <c r="F85" s="372"/>
      <c r="G85" s="115">
        <f>IF('Terminal offers'!$G$45&gt;0,'Terminal offers'!$G$45,'Terminal offers'!$G$68)</f>
        <v>2.3276000000000005E-2</v>
      </c>
      <c r="H85" s="115">
        <f>IF('Terminal offers'!$H$45&gt;0,'Terminal offers'!$H$45,'Terminal offers'!$H$68)</f>
        <v>2.9711000000000001E-2</v>
      </c>
      <c r="I85" s="119">
        <f>'Terminal offers'!$J$45</f>
        <v>10</v>
      </c>
      <c r="J85" s="120">
        <f t="shared" si="16"/>
        <v>65</v>
      </c>
      <c r="K85" s="122">
        <f>IF((C95+C96)&lt;=D85, 0, E85*((C95+C96)-D85))</f>
        <v>0</v>
      </c>
      <c r="L85" s="122">
        <f>(G85*C97)+(H85*C98)</f>
        <v>9.2430594897311593</v>
      </c>
      <c r="M85" s="117">
        <f t="shared" si="13"/>
        <v>74.243059489731166</v>
      </c>
      <c r="N85" s="124">
        <f t="shared" si="14"/>
        <v>2351.5760323984186</v>
      </c>
      <c r="O85" s="141">
        <f t="shared" si="15"/>
        <v>3.1571617701005916E-2</v>
      </c>
    </row>
    <row r="86" spans="2:15">
      <c r="B86" s="21" t="str">
        <f>'Terminal offers'!$A$33</f>
        <v>Live eftpos</v>
      </c>
      <c r="C86" s="22">
        <f>'Terminal offers'!$C$33</f>
        <v>28.996000000000002</v>
      </c>
      <c r="D86" s="22">
        <f>'Terminal offers'!$D$33</f>
        <v>0</v>
      </c>
      <c r="E86" s="226">
        <f>'Terminal offers'!$E$33</f>
        <v>0.35200000000000004</v>
      </c>
      <c r="F86" s="23">
        <f>'Terminal offers'!$F$33</f>
        <v>1.7600000000000001E-2</v>
      </c>
      <c r="G86" s="24">
        <f>IF('Terminal offers'!$G$33&gt;0,'Terminal offers'!$G$33,'Terminal offers'!$G$68)</f>
        <v>1.7600000000000001E-2</v>
      </c>
      <c r="H86" s="24">
        <f>IF('Terminal offers'!$H$33&gt;0,'Terminal offers'!$H$33,'Terminal offers'!$H$68)</f>
        <v>1.7600000000000001E-2</v>
      </c>
      <c r="I86" s="25">
        <f>'Terminal offers'!$J$33</f>
        <v>0</v>
      </c>
      <c r="J86" s="26">
        <f t="shared" si="16"/>
        <v>28.996000000000002</v>
      </c>
      <c r="K86" s="26">
        <f>(C100*E86)+(C96*F86)</f>
        <v>34.041932524793232</v>
      </c>
      <c r="L86" s="27">
        <f>(G86*C97)+(H86*C98)</f>
        <v>6.8316965336487527</v>
      </c>
      <c r="M86" s="28">
        <f t="shared" si="13"/>
        <v>69.869629058441987</v>
      </c>
      <c r="N86" s="29">
        <f t="shared" si="14"/>
        <v>2351.5760323984186</v>
      </c>
      <c r="O86" s="30">
        <f t="shared" si="15"/>
        <v>2.9711830744924228E-2</v>
      </c>
    </row>
    <row r="87" spans="2:15">
      <c r="B87" s="112" t="str">
        <f>'Terminal offers'!$A$50</f>
        <v>Tyro</v>
      </c>
      <c r="C87" s="123">
        <f>'Terminal offers'!$C$50</f>
        <v>42.900000000000006</v>
      </c>
      <c r="D87" s="123">
        <f>'Terminal offers'!$D$50</f>
        <v>0</v>
      </c>
      <c r="E87" s="373">
        <f>'Terminal offers'!$E$50</f>
        <v>1.2100000000000001E-2</v>
      </c>
      <c r="F87" s="374"/>
      <c r="G87" s="115">
        <f>IF('Terminal offers'!$G$50&gt;0,'Terminal offers'!$G$50,'Terminal offers'!$G$68)</f>
        <v>2.3276000000000005E-2</v>
      </c>
      <c r="H87" s="115">
        <f>IF('Terminal offers'!$H$50&gt;0,'Terminal offers'!$H$50,'Terminal offers'!$H$68)</f>
        <v>2.9711000000000001E-2</v>
      </c>
      <c r="I87" s="119">
        <f>'Terminal offers'!$J$50</f>
        <v>0</v>
      </c>
      <c r="J87" s="120">
        <f t="shared" si="16"/>
        <v>42.900000000000006</v>
      </c>
      <c r="K87" s="120">
        <f>E87*(C95+C96)</f>
        <v>23.757278625137346</v>
      </c>
      <c r="L87" s="122">
        <f>(G87*C97)+(H87*C98)</f>
        <v>9.2430594897311593</v>
      </c>
      <c r="M87" s="117">
        <f>SUM(J87:L87)</f>
        <v>75.900338114868504</v>
      </c>
      <c r="N87" s="124">
        <f t="shared" si="14"/>
        <v>2351.5760323984186</v>
      </c>
      <c r="O87" s="141">
        <f t="shared" si="15"/>
        <v>3.2276370004271637E-2</v>
      </c>
    </row>
    <row r="88" spans="2:15">
      <c r="B88" s="21" t="str">
        <f>'Terminal offers'!$A$23</f>
        <v>First Data</v>
      </c>
      <c r="C88" s="22">
        <f>'Terminal offers'!$C$23</f>
        <v>45</v>
      </c>
      <c r="D88" s="22">
        <f>'Terminal offers'!$D$23</f>
        <v>2500</v>
      </c>
      <c r="E88" s="353">
        <f>'Terminal offers'!$E$23</f>
        <v>1.7500000000000002E-2</v>
      </c>
      <c r="F88" s="354"/>
      <c r="G88" s="24">
        <f>IF('Terminal offers'!$G$23&gt;0,'Terminal offers'!$G$23,'Terminal offers'!$G$68)</f>
        <v>2.3276000000000005E-2</v>
      </c>
      <c r="H88" s="24">
        <f>IF('Terminal offers'!$H$23&gt;0,'Terminal offers'!$H$23,'Terminal offers'!$H$68)</f>
        <v>2.9711000000000001E-2</v>
      </c>
      <c r="I88" s="25">
        <f>'Terminal offers'!$J$23</f>
        <v>0</v>
      </c>
      <c r="J88" s="26">
        <f t="shared" si="16"/>
        <v>45</v>
      </c>
      <c r="K88" s="27">
        <f>IF((C95+C96)&lt;=D88, 0, E88*((C95+C96)-D88))</f>
        <v>0</v>
      </c>
      <c r="L88" s="27">
        <f>(G88*C97)+(H88*C98)</f>
        <v>9.2430594897311593</v>
      </c>
      <c r="M88" s="28">
        <f t="shared" ref="M88:M89" si="17">SUM(J88:L88)</f>
        <v>54.243059489731159</v>
      </c>
      <c r="N88" s="29">
        <f t="shared" si="14"/>
        <v>2351.5760323984186</v>
      </c>
      <c r="O88" s="30">
        <f t="shared" si="15"/>
        <v>2.3066683255147602E-2</v>
      </c>
    </row>
    <row r="89" spans="2:15">
      <c r="B89" s="125" t="str">
        <f>'Terminal offers'!$A$34</f>
        <v>Mint</v>
      </c>
      <c r="C89" s="126">
        <f>'Terminal offers'!$C$34</f>
        <v>39</v>
      </c>
      <c r="D89" s="126">
        <f>'Terminal offers'!$D$34</f>
        <v>0</v>
      </c>
      <c r="E89" s="227">
        <f>'Terminal offers'!$E$34</f>
        <v>0.25</v>
      </c>
      <c r="F89" s="127">
        <f>'Terminal offers'!$F$34</f>
        <v>1.2500000000000001E-2</v>
      </c>
      <c r="G89" s="128">
        <f>IF('Terminal offers'!$G$34&gt;0,'Terminal offers'!$G$34,'Terminal offers'!$G$68)</f>
        <v>2.3276000000000005E-2</v>
      </c>
      <c r="H89" s="128">
        <f>IF('Terminal offers'!$H$34&gt;0,'Terminal offers'!$H$34,'Terminal offers'!$H$68)</f>
        <v>2.9711000000000001E-2</v>
      </c>
      <c r="I89" s="129">
        <f>'Terminal offers'!$J$34</f>
        <v>0</v>
      </c>
      <c r="J89" s="130">
        <f t="shared" si="16"/>
        <v>39</v>
      </c>
      <c r="K89" s="131">
        <f>(E89*C100)+(F89*C96)</f>
        <v>24.177508895449741</v>
      </c>
      <c r="L89" s="131">
        <f>(G89*C97)+(H89*C98)</f>
        <v>9.2430594897311593</v>
      </c>
      <c r="M89" s="132">
        <f t="shared" si="17"/>
        <v>72.4205683851809</v>
      </c>
      <c r="N89" s="133">
        <f>$C$92</f>
        <v>2351.5760323984186</v>
      </c>
      <c r="O89" s="142">
        <f>(N89+M89)/N89-1</f>
        <v>3.0796609332387925E-2</v>
      </c>
    </row>
    <row r="90" spans="2:15">
      <c r="B90" s="15"/>
      <c r="C90" s="16"/>
      <c r="D90" s="16"/>
      <c r="E90" s="16"/>
      <c r="F90" s="16"/>
      <c r="G90" s="16"/>
      <c r="H90" s="16"/>
      <c r="I90" s="15"/>
      <c r="J90" s="15"/>
      <c r="K90" s="15"/>
      <c r="L90" s="15"/>
      <c r="M90" s="15"/>
      <c r="N90" s="134" t="s">
        <v>13</v>
      </c>
      <c r="O90" s="144">
        <f>AVERAGE(O76:O89)</f>
        <v>2.9079640336017048E-2</v>
      </c>
    </row>
    <row r="91" spans="2:15">
      <c r="B91" s="40" t="s">
        <v>108</v>
      </c>
      <c r="C91" s="41"/>
      <c r="D91" s="251"/>
      <c r="E91" s="251"/>
      <c r="F91" s="251"/>
      <c r="G91" s="251"/>
      <c r="H91" s="251"/>
      <c r="I91" s="251"/>
      <c r="J91" s="251"/>
      <c r="K91" s="251"/>
      <c r="L91" s="251"/>
      <c r="M91" s="251"/>
      <c r="N91" s="135" t="s">
        <v>17</v>
      </c>
      <c r="O91" s="145">
        <f>MIN(O76:O89)</f>
        <v>2.3066683255147602E-2</v>
      </c>
    </row>
    <row r="92" spans="2:15">
      <c r="B92" s="42" t="s">
        <v>33</v>
      </c>
      <c r="C92" s="43">
        <f>'1. Monthly revenue &amp; trips '!C6*1.1</f>
        <v>2351.5760323984186</v>
      </c>
      <c r="D92" s="251"/>
      <c r="E92" s="251"/>
      <c r="F92" s="251"/>
      <c r="G92" s="251"/>
      <c r="H92" s="251"/>
      <c r="I92" s="251"/>
      <c r="J92" s="251"/>
      <c r="K92" s="251"/>
      <c r="L92" s="251"/>
      <c r="M92" s="251"/>
      <c r="N92" s="136" t="s">
        <v>18</v>
      </c>
      <c r="O92" s="146">
        <f>MAX(O76:O89)</f>
        <v>3.3272604590177446E-2</v>
      </c>
    </row>
    <row r="93" spans="2:15">
      <c r="B93" s="42" t="s">
        <v>21</v>
      </c>
      <c r="C93" s="45">
        <f>'1. Monthly revenue &amp; trips '!C4</f>
        <v>28.489485170139162</v>
      </c>
      <c r="D93" s="251"/>
      <c r="E93" s="251"/>
      <c r="F93" s="251"/>
      <c r="G93" s="251"/>
      <c r="H93" s="251"/>
      <c r="I93" s="251"/>
      <c r="J93" s="251"/>
      <c r="K93" s="251"/>
      <c r="L93" s="251"/>
      <c r="M93" s="251"/>
      <c r="N93" s="15"/>
      <c r="O93" s="15"/>
    </row>
    <row r="94" spans="2:15">
      <c r="B94" s="42"/>
      <c r="C94" s="45"/>
      <c r="D94" s="251"/>
      <c r="E94" s="251"/>
      <c r="F94" s="251"/>
      <c r="G94" s="251"/>
      <c r="H94" s="251"/>
      <c r="I94" s="251"/>
      <c r="J94" s="251"/>
      <c r="K94" s="251"/>
      <c r="L94" s="251"/>
      <c r="M94" s="251"/>
      <c r="N94" s="15"/>
      <c r="O94" s="15"/>
    </row>
    <row r="95" spans="2:15">
      <c r="B95" s="42" t="s">
        <v>34</v>
      </c>
      <c r="C95" s="46">
        <f>'1. Monthly revenue &amp; trips '!C19*'5. Sensitivity(EFTPOS) '!C92</f>
        <v>98.027038087229187</v>
      </c>
      <c r="D95" s="251"/>
      <c r="E95" s="251"/>
      <c r="F95" s="251"/>
      <c r="G95" s="251"/>
      <c r="H95" s="251"/>
      <c r="I95" s="251"/>
      <c r="J95" s="251"/>
      <c r="K95" s="251"/>
      <c r="L95" s="251"/>
      <c r="M95" s="251"/>
      <c r="N95" s="15"/>
      <c r="O95" s="15"/>
    </row>
    <row r="96" spans="2:15">
      <c r="B96" s="42" t="s">
        <v>197</v>
      </c>
      <c r="C96" s="46">
        <f>'1. Monthly revenue &amp; trips '!C20*'5. Sensitivity(EFTPOS) '!C92</f>
        <v>1865.3844185356918</v>
      </c>
      <c r="D96" s="251"/>
      <c r="E96" s="251"/>
      <c r="F96" s="251"/>
      <c r="G96" s="251"/>
      <c r="H96" s="251"/>
      <c r="I96" s="251"/>
      <c r="J96" s="251"/>
      <c r="K96" s="251"/>
      <c r="L96" s="251"/>
      <c r="M96" s="251"/>
      <c r="N96" s="15"/>
      <c r="O96" s="15"/>
    </row>
    <row r="97" spans="2:15">
      <c r="B97" s="42" t="s">
        <v>39</v>
      </c>
      <c r="C97" s="46">
        <f>'1. Monthly revenue &amp; trips '!C21*'5. Sensitivity(EFTPOS) '!C92</f>
        <v>355.81945938378294</v>
      </c>
      <c r="D97" s="251"/>
      <c r="E97" s="251"/>
      <c r="F97" s="251"/>
      <c r="G97" s="251"/>
      <c r="H97" s="251"/>
      <c r="I97" s="251"/>
      <c r="J97" s="251"/>
      <c r="K97" s="251"/>
      <c r="L97" s="251"/>
      <c r="M97" s="251"/>
      <c r="N97" s="15"/>
      <c r="O97" s="15"/>
    </row>
    <row r="98" spans="2:15">
      <c r="B98" s="42" t="s">
        <v>114</v>
      </c>
      <c r="C98" s="46">
        <f>'1. Monthly revenue &amp; trips '!C22*'5. Sensitivity(EFTPOS) '!C92</f>
        <v>32.345116391714328</v>
      </c>
      <c r="D98" s="251"/>
      <c r="E98" s="251"/>
      <c r="F98" s="251"/>
      <c r="G98" s="251"/>
      <c r="H98" s="251"/>
      <c r="I98" s="251"/>
      <c r="J98" s="251"/>
      <c r="K98" s="251"/>
      <c r="L98" s="251"/>
      <c r="M98" s="251"/>
      <c r="N98" s="15"/>
      <c r="O98" s="15"/>
    </row>
    <row r="99" spans="2:15">
      <c r="B99" s="42"/>
      <c r="C99" s="46"/>
      <c r="D99" s="251"/>
      <c r="E99" s="251"/>
      <c r="F99" s="251"/>
      <c r="G99" s="251"/>
      <c r="H99" s="251"/>
      <c r="I99" s="251"/>
      <c r="J99" s="251"/>
      <c r="K99" s="251"/>
      <c r="L99" s="251"/>
      <c r="M99" s="251"/>
      <c r="N99" s="15"/>
      <c r="O99" s="15"/>
    </row>
    <row r="100" spans="2:15">
      <c r="B100" s="42" t="s">
        <v>38</v>
      </c>
      <c r="C100" s="51">
        <f>C95/$C$93</f>
        <v>3.4408146550143628</v>
      </c>
      <c r="D100" s="251"/>
      <c r="E100" s="251"/>
      <c r="F100" s="251"/>
      <c r="G100" s="251"/>
      <c r="H100" s="251"/>
      <c r="I100" s="251"/>
      <c r="J100" s="251"/>
      <c r="K100" s="251"/>
      <c r="L100" s="251"/>
      <c r="M100" s="251"/>
      <c r="N100" s="15"/>
      <c r="O100" s="15"/>
    </row>
    <row r="101" spans="2:15">
      <c r="B101" s="42" t="s">
        <v>198</v>
      </c>
      <c r="C101" s="51">
        <f t="shared" ref="C101:C102" si="18">C96/$C$93</f>
        <v>65.476241757112106</v>
      </c>
      <c r="D101" s="251"/>
      <c r="E101" s="251"/>
      <c r="F101" s="251"/>
      <c r="G101" s="251"/>
      <c r="H101" s="251"/>
      <c r="I101" s="251"/>
      <c r="J101" s="251"/>
      <c r="K101" s="251"/>
      <c r="L101" s="251"/>
      <c r="M101" s="251"/>
      <c r="N101" s="15"/>
      <c r="O101" s="15"/>
    </row>
    <row r="102" spans="2:15">
      <c r="B102" s="42" t="s">
        <v>41</v>
      </c>
      <c r="C102" s="51">
        <f t="shared" si="18"/>
        <v>12.489501205754673</v>
      </c>
      <c r="D102" s="251"/>
      <c r="E102" s="251"/>
      <c r="F102" s="251"/>
      <c r="G102" s="251"/>
      <c r="H102" s="251"/>
      <c r="I102" s="251"/>
      <c r="J102" s="251"/>
      <c r="K102" s="251"/>
      <c r="L102" s="251"/>
      <c r="M102" s="251"/>
      <c r="N102" s="15"/>
      <c r="O102" s="15"/>
    </row>
    <row r="103" spans="2:15">
      <c r="B103" s="44" t="s">
        <v>113</v>
      </c>
      <c r="C103" s="54">
        <f>C98/$C$93</f>
        <v>1.1353352367917267</v>
      </c>
      <c r="D103" s="251"/>
      <c r="E103" s="251"/>
      <c r="F103" s="251"/>
      <c r="G103" s="251"/>
      <c r="H103" s="251"/>
      <c r="I103" s="251"/>
      <c r="J103" s="251"/>
      <c r="K103" s="251"/>
      <c r="L103" s="251"/>
      <c r="M103" s="251"/>
      <c r="N103" s="15"/>
      <c r="O103" s="15"/>
    </row>
    <row r="104" spans="2:15">
      <c r="B104" s="13"/>
      <c r="C104" s="14"/>
      <c r="D104" s="14"/>
      <c r="E104" s="14"/>
      <c r="F104" s="14"/>
      <c r="G104" s="14"/>
      <c r="H104" s="14"/>
      <c r="I104" s="13"/>
      <c r="J104" s="13"/>
      <c r="K104" s="13"/>
      <c r="L104" s="13"/>
      <c r="M104" s="13"/>
      <c r="N104" s="13"/>
      <c r="O104" s="13"/>
    </row>
    <row r="105" spans="2:15">
      <c r="B105" s="13"/>
      <c r="C105" s="14"/>
      <c r="D105" s="14"/>
      <c r="E105" s="14"/>
      <c r="F105" s="14"/>
      <c r="G105" s="14"/>
      <c r="H105" s="14"/>
      <c r="I105" s="13"/>
      <c r="J105" s="13"/>
      <c r="K105" s="13"/>
      <c r="L105" s="13"/>
      <c r="M105" s="13"/>
      <c r="N105" s="13"/>
      <c r="O105" s="13"/>
    </row>
    <row r="106" spans="2:15" ht="28.5" customHeight="1">
      <c r="B106" s="375" t="s">
        <v>112</v>
      </c>
      <c r="C106" s="376"/>
      <c r="D106" s="376"/>
      <c r="E106" s="376"/>
      <c r="F106" s="376"/>
      <c r="G106" s="376"/>
      <c r="H106" s="376"/>
      <c r="I106" s="376"/>
      <c r="J106" s="376"/>
      <c r="K106" s="376"/>
      <c r="L106" s="376"/>
      <c r="M106" s="376"/>
      <c r="N106" s="376"/>
      <c r="O106" s="377"/>
    </row>
    <row r="107" spans="2:15">
      <c r="B107" s="13"/>
      <c r="C107" s="14"/>
      <c r="D107" s="14"/>
      <c r="E107" s="14"/>
      <c r="F107" s="14"/>
      <c r="G107" s="14"/>
      <c r="H107" s="14"/>
      <c r="I107" s="13"/>
      <c r="J107" s="13"/>
      <c r="K107" s="13"/>
      <c r="L107" s="13"/>
      <c r="M107" s="13"/>
      <c r="N107" s="13"/>
      <c r="O107" s="13"/>
    </row>
    <row r="108" spans="2:15" ht="12" customHeight="1">
      <c r="B108" s="17"/>
      <c r="C108" s="358" t="s">
        <v>10</v>
      </c>
      <c r="D108" s="359"/>
      <c r="E108" s="359"/>
      <c r="F108" s="359"/>
      <c r="G108" s="359"/>
      <c r="H108" s="359"/>
      <c r="I108" s="360"/>
      <c r="J108" s="361" t="s">
        <v>101</v>
      </c>
      <c r="K108" s="362"/>
      <c r="L108" s="362"/>
      <c r="M108" s="363"/>
      <c r="N108" s="18" t="s">
        <v>8</v>
      </c>
      <c r="O108" s="351" t="s">
        <v>104</v>
      </c>
    </row>
    <row r="109" spans="2:15" ht="33.75">
      <c r="B109" s="73" t="s">
        <v>25</v>
      </c>
      <c r="C109" s="20" t="s">
        <v>20</v>
      </c>
      <c r="D109" s="20" t="s">
        <v>19</v>
      </c>
      <c r="E109" s="20" t="s">
        <v>94</v>
      </c>
      <c r="F109" s="72" t="s">
        <v>102</v>
      </c>
      <c r="G109" s="20" t="s">
        <v>95</v>
      </c>
      <c r="H109" s="20" t="s">
        <v>96</v>
      </c>
      <c r="I109" s="71" t="s">
        <v>14</v>
      </c>
      <c r="J109" s="20" t="s">
        <v>16</v>
      </c>
      <c r="K109" s="20" t="s">
        <v>103</v>
      </c>
      <c r="L109" s="20" t="s">
        <v>99</v>
      </c>
      <c r="M109" s="72" t="s">
        <v>15</v>
      </c>
      <c r="N109" s="20" t="s">
        <v>100</v>
      </c>
      <c r="O109" s="352"/>
    </row>
    <row r="110" spans="2:15">
      <c r="B110" s="21" t="str">
        <f>'Terminal offers'!$A$3</f>
        <v>ANZ</v>
      </c>
      <c r="C110" s="22">
        <f>'Terminal offers'!$C$3</f>
        <v>40</v>
      </c>
      <c r="D110" s="22">
        <f>'Terminal offers'!$D$3</f>
        <v>0</v>
      </c>
      <c r="E110" s="225">
        <f>'Terminal offers'!$E$3</f>
        <v>0.25</v>
      </c>
      <c r="F110" s="23">
        <f>'Terminal offers'!$F$3</f>
        <v>8.0000000000000002E-3</v>
      </c>
      <c r="G110" s="24">
        <f>IF('Terminal offers'!$G$3&gt;0,'Terminal offers'!$G$3,'Terminal offers'!$G$68)</f>
        <v>2.3276000000000005E-2</v>
      </c>
      <c r="H110" s="24">
        <f>IF('Terminal offers'!$H$3&gt;0,'Terminal offers'!$H$3,'Terminal offers'!$H$68)</f>
        <v>2.9711000000000001E-2</v>
      </c>
      <c r="I110" s="25">
        <f>'Terminal offers'!$J$3</f>
        <v>0</v>
      </c>
      <c r="J110" s="120">
        <f t="shared" ref="J110:J113" si="19">C110+I110</f>
        <v>40</v>
      </c>
      <c r="K110" s="122">
        <f>MAX((E110*C134)+(F110*C130), 'Terminal offers'!I3)</f>
        <v>29</v>
      </c>
      <c r="L110" s="122">
        <f>(G110*C131)+(H110*C132)</f>
        <v>7.5625032188709458</v>
      </c>
      <c r="M110" s="117">
        <f>SUM(J110:L110)</f>
        <v>76.562503218870944</v>
      </c>
      <c r="N110" s="124">
        <f>$C$126</f>
        <v>1924.0167537805241</v>
      </c>
      <c r="O110" s="141">
        <f>(N110+M110)/N110-1</f>
        <v>3.9793054332002198E-2</v>
      </c>
    </row>
    <row r="111" spans="2:15">
      <c r="B111" s="118" t="str">
        <f>'Terminal offers'!$A$19</f>
        <v>Commonwealth Bank</v>
      </c>
      <c r="C111" s="123">
        <f>'Terminal offers'!$C$19</f>
        <v>60</v>
      </c>
      <c r="D111" s="123">
        <f>'Terminal offers'!$D$19</f>
        <v>3000</v>
      </c>
      <c r="E111" s="371">
        <f>'Terminal offers'!$E$19</f>
        <v>1.4999999999999999E-2</v>
      </c>
      <c r="F111" s="372"/>
      <c r="G111" s="115">
        <f>IF('Terminal offers'!$G$19&gt;0,'Terminal offers'!$G$19,'Terminal offers'!$G$68)</f>
        <v>2.3276000000000005E-2</v>
      </c>
      <c r="H111" s="115">
        <f>IF('Terminal offers'!$H$19&gt;0,'Terminal offers'!$H$19,'Terminal offers'!$H$68)</f>
        <v>2.9711000000000001E-2</v>
      </c>
      <c r="I111" s="121">
        <f>'Terminal offers'!$J$19</f>
        <v>0</v>
      </c>
      <c r="J111" s="26">
        <f t="shared" si="19"/>
        <v>60</v>
      </c>
      <c r="K111" s="27">
        <f>IF((C129+C130)&lt;=D111, 0, E111*((C129+C130)-D111))</f>
        <v>0</v>
      </c>
      <c r="L111" s="27">
        <f>(G111*C131)+(H111*C132)</f>
        <v>7.5625032188709458</v>
      </c>
      <c r="M111" s="28">
        <f>SUM(J111:L111)</f>
        <v>67.562503218870944</v>
      </c>
      <c r="N111" s="29">
        <f>$C$126</f>
        <v>1924.0167537805241</v>
      </c>
      <c r="O111" s="30">
        <f>(N111+M111)/N111-1</f>
        <v>3.5115340386780103E-2</v>
      </c>
    </row>
    <row r="112" spans="2:15">
      <c r="B112" s="31" t="str">
        <f>'Terminal offers'!$A$35</f>
        <v>NAB</v>
      </c>
      <c r="C112" s="22">
        <f>'Terminal offers'!$C$35</f>
        <v>40</v>
      </c>
      <c r="D112" s="22">
        <f>'Terminal offers'!$D$35</f>
        <v>1500</v>
      </c>
      <c r="E112" s="353">
        <f>'Terminal offers'!$E$35</f>
        <v>1.4999999999999999E-2</v>
      </c>
      <c r="F112" s="354"/>
      <c r="G112" s="24">
        <f>IF('Terminal offers'!$G$35&gt;0,'Terminal offers'!$G$35,'Terminal offers'!$G$68)</f>
        <v>2.3276000000000005E-2</v>
      </c>
      <c r="H112" s="24">
        <f>IF('Terminal offers'!$H$35&gt;0,'Terminal offers'!$H$35,'Terminal offers'!$H$68)</f>
        <v>2.9711000000000001E-2</v>
      </c>
      <c r="I112" s="25">
        <f>'Terminal offers'!$J$35</f>
        <v>0</v>
      </c>
      <c r="J112" s="120">
        <f t="shared" si="19"/>
        <v>40</v>
      </c>
      <c r="K112" s="143">
        <f>IF((C129+C130)&lt;=D112, 0, E112*((C129+C130)-D112))</f>
        <v>1.5964133312813009</v>
      </c>
      <c r="L112" s="122">
        <f>(G112*C131)+(H112*C132)</f>
        <v>7.5625032188709458</v>
      </c>
      <c r="M112" s="117">
        <f t="shared" ref="M112:M120" si="20">SUM(J112:L112)</f>
        <v>49.158916550152242</v>
      </c>
      <c r="N112" s="124">
        <f t="shared" ref="N112:N122" si="21">$C$126</f>
        <v>1924.0167537805241</v>
      </c>
      <c r="O112" s="141">
        <f t="shared" ref="O112:O122" si="22">(N112+M112)/N112-1</f>
        <v>2.555014994207272E-2</v>
      </c>
    </row>
    <row r="113" spans="2:15">
      <c r="B113" s="112" t="str">
        <f>'Terminal offers'!$A$51</f>
        <v>Westpac</v>
      </c>
      <c r="C113" s="123">
        <f>'Terminal offers'!$C$51</f>
        <v>55</v>
      </c>
      <c r="D113" s="123">
        <f>'Terminal offers'!$D$51</f>
        <v>3500</v>
      </c>
      <c r="E113" s="371">
        <f>'Terminal offers'!$E$51</f>
        <v>1.4999999999999999E-2</v>
      </c>
      <c r="F113" s="372"/>
      <c r="G113" s="115">
        <f>IF('Terminal offers'!$G$51&gt;0,'Terminal offers'!$G$51,'Terminal offers'!$G$68)</f>
        <v>2.3276000000000005E-2</v>
      </c>
      <c r="H113" s="115">
        <f>IF('Terminal offers'!$H$51&gt;0,'Terminal offers'!$H$51,'Terminal offers'!$H$68)</f>
        <v>2.9711000000000001E-2</v>
      </c>
      <c r="I113" s="119">
        <f>'Terminal offers'!$J$51</f>
        <v>0</v>
      </c>
      <c r="J113" s="26">
        <f t="shared" si="19"/>
        <v>55</v>
      </c>
      <c r="K113" s="27">
        <f>IF((C129+C130)&lt;=D113, 0, E113*((C129+C130)-D113))</f>
        <v>0</v>
      </c>
      <c r="L113" s="27">
        <f>(G113*C131)+(H113*C132)</f>
        <v>7.5625032188709458</v>
      </c>
      <c r="M113" s="28">
        <f t="shared" si="20"/>
        <v>62.562503218870944</v>
      </c>
      <c r="N113" s="29">
        <f t="shared" si="21"/>
        <v>1924.0167537805241</v>
      </c>
      <c r="O113" s="30">
        <f t="shared" si="22"/>
        <v>3.2516610417212322E-2</v>
      </c>
    </row>
    <row r="114" spans="2:15">
      <c r="B114" s="21" t="str">
        <f>'Terminal offers'!$A$4</f>
        <v>Bank of Melbourne</v>
      </c>
      <c r="C114" s="22">
        <f>'Terminal offers'!$C$4</f>
        <v>55</v>
      </c>
      <c r="D114" s="22">
        <f>'Terminal offers'!$D$4</f>
        <v>3500</v>
      </c>
      <c r="E114" s="353">
        <f>'Terminal offers'!$E$4</f>
        <v>1.4999999999999999E-2</v>
      </c>
      <c r="F114" s="354"/>
      <c r="G114" s="24">
        <f>IF('Terminal offers'!$G$4&gt;0,'Terminal offers'!$G$4,'Terminal offers'!$G$68)</f>
        <v>2.3276000000000005E-2</v>
      </c>
      <c r="H114" s="24">
        <f>IF('Terminal offers'!$H$4&gt;0,'Terminal offers'!$H$4,'Terminal offers'!$H$68)</f>
        <v>2.9711000000000001E-2</v>
      </c>
      <c r="I114" s="25">
        <f>'Terminal offers'!$J$4</f>
        <v>10</v>
      </c>
      <c r="J114" s="120">
        <f>C114+I114</f>
        <v>65</v>
      </c>
      <c r="K114" s="122">
        <f>IF((C129+C130)&lt;=D114, 0, E114*((C129+C130)-D114))</f>
        <v>0</v>
      </c>
      <c r="L114" s="122">
        <f>(G114*C131)+(H114*C132)</f>
        <v>7.5625032188709458</v>
      </c>
      <c r="M114" s="117">
        <f t="shared" si="20"/>
        <v>72.562503218870944</v>
      </c>
      <c r="N114" s="124">
        <f t="shared" si="21"/>
        <v>1924.0167537805241</v>
      </c>
      <c r="O114" s="141">
        <f t="shared" si="22"/>
        <v>3.7714070356347884E-2</v>
      </c>
    </row>
    <row r="115" spans="2:15">
      <c r="B115" s="112" t="str">
        <f>'Terminal offers'!$A$9</f>
        <v>Bank SA</v>
      </c>
      <c r="C115" s="123">
        <f>'Terminal offers'!$C$9</f>
        <v>55</v>
      </c>
      <c r="D115" s="123">
        <f>'Terminal offers'!$D$9</f>
        <v>3500</v>
      </c>
      <c r="E115" s="371">
        <f>'Terminal offers'!$E$9</f>
        <v>1.4999999999999999E-2</v>
      </c>
      <c r="F115" s="372"/>
      <c r="G115" s="115">
        <f>IF('Terminal offers'!$G$9&gt;0,'Terminal offers'!$G$9,'Terminal offers'!$G$68)</f>
        <v>2.3276000000000005E-2</v>
      </c>
      <c r="H115" s="115">
        <f>IF('Terminal offers'!$H$9&gt;0,'Terminal offers'!$H$9,'Terminal offers'!$H$68)</f>
        <v>2.9711000000000001E-2</v>
      </c>
      <c r="I115" s="119">
        <f>'Terminal offers'!$J$9</f>
        <v>10</v>
      </c>
      <c r="J115" s="26">
        <f t="shared" ref="J115:J123" si="23">C115+I115</f>
        <v>65</v>
      </c>
      <c r="K115" s="27">
        <f>IF((C129+C130)&lt;=D115, 0, E115*((C129+C130)-D115))</f>
        <v>0</v>
      </c>
      <c r="L115" s="27">
        <f>(G115*C131)+(H115*C132)</f>
        <v>7.5625032188709458</v>
      </c>
      <c r="M115" s="28">
        <f t="shared" si="20"/>
        <v>72.562503218870944</v>
      </c>
      <c r="N115" s="29">
        <f t="shared" si="21"/>
        <v>1924.0167537805241</v>
      </c>
      <c r="O115" s="30">
        <f t="shared" si="22"/>
        <v>3.7714070356347884E-2</v>
      </c>
    </row>
    <row r="116" spans="2:15">
      <c r="B116" s="21" t="str">
        <f>'Terminal offers'!$A$18</f>
        <v>Bendigo Bank</v>
      </c>
      <c r="C116" s="22">
        <f>'Terminal offers'!$C$18</f>
        <v>33</v>
      </c>
      <c r="D116" s="22">
        <f>'Terminal offers'!$D$18</f>
        <v>0</v>
      </c>
      <c r="E116" s="226">
        <f>'Terminal offers'!$E$18</f>
        <v>0.27500000000000002</v>
      </c>
      <c r="F116" s="23">
        <f>'Terminal offers'!$F$18</f>
        <v>1.3750000000000002E-2</v>
      </c>
      <c r="G116" s="24">
        <f>IF('Terminal offers'!$G$18&gt;0,'Terminal offers'!$G$18,'Terminal offers'!$G$68)</f>
        <v>2.3276000000000005E-2</v>
      </c>
      <c r="H116" s="24">
        <f>IF('Terminal offers'!$H$18&gt;0,'Terminal offers'!$H$18,'Terminal offers'!$H$68)</f>
        <v>2.9711000000000001E-2</v>
      </c>
      <c r="I116" s="32">
        <f>'Terminal offers'!$J$18</f>
        <v>0</v>
      </c>
      <c r="J116" s="120">
        <f t="shared" si="23"/>
        <v>33</v>
      </c>
      <c r="K116" s="120">
        <f>(C134*E116)+(C130*F116)</f>
        <v>21.759758005904768</v>
      </c>
      <c r="L116" s="122">
        <f>(G116*C131)+(H116*C132)</f>
        <v>7.5625032188709458</v>
      </c>
      <c r="M116" s="117">
        <f t="shared" si="20"/>
        <v>62.322261224775716</v>
      </c>
      <c r="N116" s="124">
        <f t="shared" si="21"/>
        <v>1924.0167537805241</v>
      </c>
      <c r="O116" s="141">
        <f t="shared" si="22"/>
        <v>3.2391745603211675E-2</v>
      </c>
    </row>
    <row r="117" spans="2:15">
      <c r="B117" s="112" t="str">
        <f>'Terminal offers'!$A$14</f>
        <v>Bankwest</v>
      </c>
      <c r="C117" s="123">
        <f>'Terminal offers'!$C$14</f>
        <v>60</v>
      </c>
      <c r="D117" s="123">
        <f>'Terminal offers'!$D$14</f>
        <v>3000</v>
      </c>
      <c r="E117" s="371">
        <f>'Terminal offers'!$E$14</f>
        <v>1.4999999999999999E-2</v>
      </c>
      <c r="F117" s="372"/>
      <c r="G117" s="115">
        <f>IF('Terminal offers'!$G$14&gt;0,'Terminal offers'!$G$14,'Terminal offers'!$G$68)</f>
        <v>2.3276000000000005E-2</v>
      </c>
      <c r="H117" s="115">
        <f>IF('Terminal offers'!$H$14&gt;0,'Terminal offers'!$H$14,'Terminal offers'!$H$68)</f>
        <v>2.9711000000000001E-2</v>
      </c>
      <c r="I117" s="119">
        <f>'Terminal offers'!$J$14</f>
        <v>0</v>
      </c>
      <c r="J117" s="26">
        <f t="shared" si="23"/>
        <v>60</v>
      </c>
      <c r="K117" s="27">
        <f>IF((C129+C130)&lt;=D117, 0, E117*((C129+C130)-D117))</f>
        <v>0</v>
      </c>
      <c r="L117" s="27">
        <f>(G117*C131)+(H117*C132)</f>
        <v>7.5625032188709458</v>
      </c>
      <c r="M117" s="28">
        <f t="shared" si="20"/>
        <v>67.562503218870944</v>
      </c>
      <c r="N117" s="29">
        <f t="shared" si="21"/>
        <v>1924.0167537805241</v>
      </c>
      <c r="O117" s="30">
        <f t="shared" si="22"/>
        <v>3.5115340386780103E-2</v>
      </c>
    </row>
    <row r="118" spans="2:15">
      <c r="B118" s="31" t="str">
        <f>'Terminal offers'!$A$28</f>
        <v>Hume Bank</v>
      </c>
      <c r="C118" s="22">
        <f>'Terminal offers'!$C$28</f>
        <v>40</v>
      </c>
      <c r="D118" s="22">
        <f>'Terminal offers'!$D$28</f>
        <v>1500</v>
      </c>
      <c r="E118" s="353">
        <f>'Terminal offers'!$E$28</f>
        <v>1.4999999999999999E-2</v>
      </c>
      <c r="F118" s="354"/>
      <c r="G118" s="24">
        <f>IF('Terminal offers'!$G$28&gt;0,'Terminal offers'!$G$28,'Terminal offers'!$G$68)</f>
        <v>2.3276000000000005E-2</v>
      </c>
      <c r="H118" s="24">
        <f>IF('Terminal offers'!$H$28&gt;0,'Terminal offers'!$H$28,'Terminal offers'!$H$68)</f>
        <v>2.9711000000000001E-2</v>
      </c>
      <c r="I118" s="25">
        <f>'Terminal offers'!$J$28</f>
        <v>0</v>
      </c>
      <c r="J118" s="120">
        <f t="shared" si="23"/>
        <v>40</v>
      </c>
      <c r="K118" s="120">
        <f>IF((C129+C130)&lt;=D118, 0, E118*((C129+C130)-D118))</f>
        <v>1.5964133312813009</v>
      </c>
      <c r="L118" s="122">
        <f>(G118*C131)+(H118*C132)</f>
        <v>7.5625032188709458</v>
      </c>
      <c r="M118" s="117">
        <f t="shared" si="20"/>
        <v>49.158916550152242</v>
      </c>
      <c r="N118" s="124">
        <f t="shared" si="21"/>
        <v>1924.0167537805241</v>
      </c>
      <c r="O118" s="141">
        <f t="shared" si="22"/>
        <v>2.555014994207272E-2</v>
      </c>
    </row>
    <row r="119" spans="2:15">
      <c r="B119" s="112" t="str">
        <f>'Terminal offers'!$A$45</f>
        <v>St George</v>
      </c>
      <c r="C119" s="123">
        <f>'Terminal offers'!$C$45</f>
        <v>55</v>
      </c>
      <c r="D119" s="123">
        <f>'Terminal offers'!$D$45</f>
        <v>3500</v>
      </c>
      <c r="E119" s="371">
        <f>'Terminal offers'!$E$45</f>
        <v>1.4999999999999999E-2</v>
      </c>
      <c r="F119" s="372"/>
      <c r="G119" s="115">
        <f>IF('Terminal offers'!$G$45&gt;0,'Terminal offers'!$G$45,'Terminal offers'!$G$68)</f>
        <v>2.3276000000000005E-2</v>
      </c>
      <c r="H119" s="115">
        <f>IF('Terminal offers'!$H$45&gt;0,'Terminal offers'!$H$45,'Terminal offers'!$H$68)</f>
        <v>2.9711000000000001E-2</v>
      </c>
      <c r="I119" s="119">
        <f>'Terminal offers'!$J$45</f>
        <v>10</v>
      </c>
      <c r="J119" s="26">
        <f t="shared" si="23"/>
        <v>65</v>
      </c>
      <c r="K119" s="27">
        <f>IF((C129+C130)&lt;=D119, 0, E119*((C129+C130)-D119))</f>
        <v>0</v>
      </c>
      <c r="L119" s="27">
        <f>(G119*C131)+(H119*C132)</f>
        <v>7.5625032188709458</v>
      </c>
      <c r="M119" s="28">
        <f t="shared" si="20"/>
        <v>72.562503218870944</v>
      </c>
      <c r="N119" s="29">
        <f t="shared" si="21"/>
        <v>1924.0167537805241</v>
      </c>
      <c r="O119" s="30">
        <f t="shared" si="22"/>
        <v>3.7714070356347884E-2</v>
      </c>
    </row>
    <row r="120" spans="2:15">
      <c r="B120" s="21" t="str">
        <f>'Terminal offers'!$A$33</f>
        <v>Live eftpos</v>
      </c>
      <c r="C120" s="22">
        <f>'Terminal offers'!$C$33</f>
        <v>28.996000000000002</v>
      </c>
      <c r="D120" s="22">
        <f>'Terminal offers'!$D$33</f>
        <v>0</v>
      </c>
      <c r="E120" s="226">
        <f>'Terminal offers'!$E$33</f>
        <v>0.35200000000000004</v>
      </c>
      <c r="F120" s="23">
        <f>'Terminal offers'!$F$33</f>
        <v>1.7600000000000001E-2</v>
      </c>
      <c r="G120" s="24">
        <f>IF('Terminal offers'!$G$33&gt;0,'Terminal offers'!$G$33,'Terminal offers'!$G$68)</f>
        <v>1.7600000000000001E-2</v>
      </c>
      <c r="H120" s="24">
        <f>IF('Terminal offers'!$H$33&gt;0,'Terminal offers'!$H$33,'Terminal offers'!$H$68)</f>
        <v>1.7600000000000001E-2</v>
      </c>
      <c r="I120" s="25">
        <f>'Terminal offers'!$J$33</f>
        <v>0</v>
      </c>
      <c r="J120" s="120">
        <f t="shared" si="23"/>
        <v>28.996000000000002</v>
      </c>
      <c r="K120" s="120">
        <f>(C134*E120)+(C130*F120)</f>
        <v>27.852490247558098</v>
      </c>
      <c r="L120" s="122">
        <f>(G120*C131)+(H120*C132)</f>
        <v>5.5895698911671605</v>
      </c>
      <c r="M120" s="117">
        <f t="shared" si="20"/>
        <v>62.438060138725263</v>
      </c>
      <c r="N120" s="124">
        <f t="shared" si="21"/>
        <v>1924.0167537805241</v>
      </c>
      <c r="O120" s="141">
        <f t="shared" si="22"/>
        <v>3.2451931624836394E-2</v>
      </c>
    </row>
    <row r="121" spans="2:15">
      <c r="B121" s="112" t="str">
        <f>'Terminal offers'!$A$50</f>
        <v>Tyro</v>
      </c>
      <c r="C121" s="123">
        <f>'Terminal offers'!$C$50</f>
        <v>42.900000000000006</v>
      </c>
      <c r="D121" s="123">
        <f>'Terminal offers'!$D$50</f>
        <v>0</v>
      </c>
      <c r="E121" s="373">
        <f>'Terminal offers'!$E$50</f>
        <v>1.2100000000000001E-2</v>
      </c>
      <c r="F121" s="374"/>
      <c r="G121" s="115">
        <f>IF('Terminal offers'!$G$50&gt;0,'Terminal offers'!$G$50,'Terminal offers'!$G$68)</f>
        <v>2.3276000000000005E-2</v>
      </c>
      <c r="H121" s="115">
        <f>IF('Terminal offers'!$H$50&gt;0,'Terminal offers'!$H$50,'Terminal offers'!$H$68)</f>
        <v>2.9711000000000001E-2</v>
      </c>
      <c r="I121" s="119">
        <f>'Terminal offers'!$J$50</f>
        <v>0</v>
      </c>
      <c r="J121" s="217">
        <f t="shared" si="23"/>
        <v>42.900000000000006</v>
      </c>
      <c r="K121" s="217">
        <f>E121*(C129+C130)</f>
        <v>19.43777342056692</v>
      </c>
      <c r="L121" s="218">
        <f>(G121*C131)+(H121*C132)</f>
        <v>7.5625032188709458</v>
      </c>
      <c r="M121" s="219">
        <f>SUM(J121:L121)</f>
        <v>69.900276639437877</v>
      </c>
      <c r="N121" s="220">
        <f t="shared" si="21"/>
        <v>1924.0167537805241</v>
      </c>
      <c r="O121" s="221">
        <f t="shared" si="22"/>
        <v>3.6330388756797394E-2</v>
      </c>
    </row>
    <row r="122" spans="2:15">
      <c r="B122" s="21" t="str">
        <f>'Terminal offers'!$A$23</f>
        <v>First Data</v>
      </c>
      <c r="C122" s="22">
        <f>'Terminal offers'!$C$23</f>
        <v>45</v>
      </c>
      <c r="D122" s="22">
        <f>'Terminal offers'!$D$23</f>
        <v>2500</v>
      </c>
      <c r="E122" s="353">
        <f>'Terminal offers'!$E$23</f>
        <v>1.7500000000000002E-2</v>
      </c>
      <c r="F122" s="354"/>
      <c r="G122" s="24">
        <f>IF('Terminal offers'!$G$23&gt;0,'Terminal offers'!$G$23,'Terminal offers'!$G$68)</f>
        <v>2.3276000000000005E-2</v>
      </c>
      <c r="H122" s="24">
        <f>IF('Terminal offers'!$H$23&gt;0,'Terminal offers'!$H$23,'Terminal offers'!$H$68)</f>
        <v>2.9711000000000001E-2</v>
      </c>
      <c r="I122" s="25">
        <f>'Terminal offers'!$J$23</f>
        <v>0</v>
      </c>
      <c r="J122" s="120">
        <f t="shared" si="23"/>
        <v>45</v>
      </c>
      <c r="K122" s="122">
        <f>IF((C129+C130)&lt;=D122, 0, E122*((C129+C130)-D122))</f>
        <v>0</v>
      </c>
      <c r="L122" s="122">
        <f>(G122*C131)+(H122*C132)</f>
        <v>7.5625032188709458</v>
      </c>
      <c r="M122" s="117">
        <f t="shared" ref="M122:M123" si="24">SUM(J122:L122)</f>
        <v>52.562503218870944</v>
      </c>
      <c r="N122" s="124">
        <f t="shared" si="21"/>
        <v>1924.0167537805241</v>
      </c>
      <c r="O122" s="141">
        <f t="shared" si="22"/>
        <v>2.7319150478076759E-2</v>
      </c>
    </row>
    <row r="123" spans="2:15">
      <c r="B123" s="125" t="str">
        <f>'Terminal offers'!$A$34</f>
        <v>Mint</v>
      </c>
      <c r="C123" s="126">
        <f>'Terminal offers'!$C$34</f>
        <v>39</v>
      </c>
      <c r="D123" s="126">
        <f>'Terminal offers'!$D$34</f>
        <v>0</v>
      </c>
      <c r="E123" s="227">
        <f>'Terminal offers'!$E$34</f>
        <v>0.25</v>
      </c>
      <c r="F123" s="127">
        <f>'Terminal offers'!$F$34</f>
        <v>1.2500000000000001E-2</v>
      </c>
      <c r="G123" s="128">
        <f>IF('Terminal offers'!$G$34&gt;0,'Terminal offers'!$G$34,'Terminal offers'!$G$68)</f>
        <v>2.3276000000000005E-2</v>
      </c>
      <c r="H123" s="128">
        <f>IF('Terminal offers'!$H$34&gt;0,'Terminal offers'!$H$34,'Terminal offers'!$H$68)</f>
        <v>2.9711000000000001E-2</v>
      </c>
      <c r="I123" s="129">
        <f>'Terminal offers'!$J$34</f>
        <v>0</v>
      </c>
      <c r="J123" s="34">
        <f t="shared" si="23"/>
        <v>39</v>
      </c>
      <c r="K123" s="35">
        <f>(E123*C134)+(F123*C130)</f>
        <v>19.781598187186148</v>
      </c>
      <c r="L123" s="35">
        <f>(G123*C131)+(H123*C132)</f>
        <v>7.5625032188709458</v>
      </c>
      <c r="M123" s="36">
        <f t="shared" si="24"/>
        <v>66.344101406057092</v>
      </c>
      <c r="N123" s="37">
        <f>$C$126</f>
        <v>1924.0167537805241</v>
      </c>
      <c r="O123" s="38">
        <f>(N123+M123)/N123-1</f>
        <v>3.4482080925593017E-2</v>
      </c>
    </row>
    <row r="124" spans="2:15">
      <c r="B124" s="15"/>
      <c r="C124" s="16"/>
      <c r="D124" s="16"/>
      <c r="E124" s="16"/>
      <c r="F124" s="16"/>
      <c r="G124" s="16"/>
      <c r="H124" s="16"/>
      <c r="I124" s="15"/>
      <c r="J124" s="15"/>
      <c r="K124" s="15"/>
      <c r="L124" s="15"/>
      <c r="M124" s="15"/>
      <c r="N124" s="134" t="s">
        <v>13</v>
      </c>
      <c r="O124" s="144">
        <f>AVERAGE(O110:O123)</f>
        <v>3.3554153847462791E-2</v>
      </c>
    </row>
    <row r="125" spans="2:15">
      <c r="B125" s="40" t="s">
        <v>108</v>
      </c>
      <c r="C125" s="41"/>
      <c r="D125" s="251"/>
      <c r="E125" s="251"/>
      <c r="F125" s="251"/>
      <c r="G125" s="251"/>
      <c r="H125" s="251"/>
      <c r="I125" s="251"/>
      <c r="J125" s="251"/>
      <c r="K125" s="251"/>
      <c r="L125" s="251"/>
      <c r="M125" s="251"/>
      <c r="N125" s="135" t="s">
        <v>17</v>
      </c>
      <c r="O125" s="145">
        <f>MIN(O110:O123)</f>
        <v>2.555014994207272E-2</v>
      </c>
    </row>
    <row r="126" spans="2:15">
      <c r="B126" s="42" t="s">
        <v>33</v>
      </c>
      <c r="C126" s="43">
        <f>'1. Monthly revenue &amp; trips '!C6*0.9</f>
        <v>1924.0167537805241</v>
      </c>
      <c r="D126" s="251"/>
      <c r="E126" s="251"/>
      <c r="F126" s="251"/>
      <c r="G126" s="251"/>
      <c r="H126" s="251"/>
      <c r="I126" s="251"/>
      <c r="J126" s="251"/>
      <c r="K126" s="251"/>
      <c r="L126" s="251"/>
      <c r="M126" s="251"/>
      <c r="N126" s="136" t="s">
        <v>18</v>
      </c>
      <c r="O126" s="146">
        <f>MAX(O110:O123)</f>
        <v>3.9793054332002198E-2</v>
      </c>
    </row>
    <row r="127" spans="2:15">
      <c r="B127" s="42" t="s">
        <v>21</v>
      </c>
      <c r="C127" s="45">
        <f>'8. Monthly revenue and trips'!C4</f>
        <v>28.489485170139162</v>
      </c>
      <c r="D127" s="251"/>
      <c r="E127" s="251"/>
      <c r="F127" s="251"/>
      <c r="G127" s="251"/>
      <c r="H127" s="251"/>
      <c r="I127" s="251"/>
      <c r="J127" s="251"/>
      <c r="K127" s="251"/>
      <c r="L127" s="251"/>
      <c r="M127" s="251"/>
      <c r="N127" s="15"/>
      <c r="O127" s="15"/>
    </row>
    <row r="128" spans="2:15">
      <c r="B128" s="42"/>
      <c r="C128" s="45"/>
      <c r="D128" s="251"/>
      <c r="E128" s="251"/>
      <c r="F128" s="251"/>
      <c r="G128" s="251"/>
      <c r="H128" s="251"/>
      <c r="I128" s="251"/>
      <c r="J128" s="251"/>
      <c r="K128" s="251"/>
      <c r="L128" s="251"/>
      <c r="M128" s="251"/>
      <c r="N128" s="15"/>
      <c r="O128" s="15"/>
    </row>
    <row r="129" spans="2:15">
      <c r="B129" s="42" t="s">
        <v>34</v>
      </c>
      <c r="C129" s="46">
        <f>'8. Monthly revenue and trips'!C19*'5. Sensitivity(EFTPOS) '!C126</f>
        <v>80.203940253187511</v>
      </c>
      <c r="D129" s="251"/>
      <c r="E129" s="251"/>
      <c r="F129" s="251"/>
      <c r="G129" s="251"/>
      <c r="H129" s="251"/>
      <c r="I129" s="251"/>
      <c r="J129" s="251"/>
      <c r="K129" s="251"/>
      <c r="L129" s="251"/>
      <c r="M129" s="251"/>
      <c r="N129" s="15"/>
      <c r="O129" s="15"/>
    </row>
    <row r="130" spans="2:15">
      <c r="B130" s="42" t="s">
        <v>197</v>
      </c>
      <c r="C130" s="46">
        <f>'8. Monthly revenue and trips'!C20*'5. Sensitivity(EFTPOS) '!C126</f>
        <v>1526.2236151655659</v>
      </c>
      <c r="D130" s="251"/>
      <c r="E130" s="251"/>
      <c r="F130" s="251"/>
      <c r="G130" s="251"/>
      <c r="H130" s="251"/>
      <c r="I130" s="251"/>
      <c r="J130" s="251"/>
      <c r="K130" s="251"/>
      <c r="L130" s="251"/>
      <c r="M130" s="251"/>
      <c r="N130" s="15"/>
      <c r="O130" s="15"/>
    </row>
    <row r="131" spans="2:15">
      <c r="B131" s="42" t="s">
        <v>39</v>
      </c>
      <c r="C131" s="46">
        <f>'8. Monthly revenue and trips'!C21*'5. Sensitivity(EFTPOS) '!C126</f>
        <v>291.1250122230951</v>
      </c>
      <c r="D131" s="251"/>
      <c r="E131" s="251"/>
      <c r="F131" s="251"/>
      <c r="G131" s="251"/>
      <c r="H131" s="251"/>
      <c r="I131" s="251"/>
      <c r="J131" s="251"/>
      <c r="K131" s="251"/>
      <c r="L131" s="251"/>
      <c r="M131" s="251"/>
      <c r="N131" s="15"/>
      <c r="O131" s="15"/>
    </row>
    <row r="132" spans="2:15">
      <c r="B132" s="42" t="s">
        <v>114</v>
      </c>
      <c r="C132" s="46">
        <f>'8. Monthly revenue and trips'!C22*'5. Sensitivity(EFTPOS) '!C126</f>
        <v>26.464186138675359</v>
      </c>
      <c r="D132" s="251"/>
      <c r="E132" s="251"/>
      <c r="F132" s="251"/>
      <c r="G132" s="251"/>
      <c r="H132" s="251"/>
      <c r="I132" s="251"/>
      <c r="J132" s="251"/>
      <c r="K132" s="251"/>
      <c r="L132" s="251"/>
      <c r="M132" s="251"/>
      <c r="N132" s="15"/>
      <c r="O132" s="15"/>
    </row>
    <row r="133" spans="2:15">
      <c r="B133" s="42"/>
      <c r="C133" s="46"/>
      <c r="D133" s="251"/>
      <c r="E133" s="251"/>
      <c r="F133" s="251"/>
      <c r="G133" s="251"/>
      <c r="H133" s="251"/>
      <c r="I133" s="251"/>
      <c r="J133" s="251"/>
      <c r="K133" s="251"/>
      <c r="L133" s="251"/>
      <c r="M133" s="251"/>
      <c r="N133" s="15"/>
      <c r="O133" s="15"/>
    </row>
    <row r="134" spans="2:15">
      <c r="B134" s="42" t="s">
        <v>38</v>
      </c>
      <c r="C134" s="51">
        <f>C129/$C$127</f>
        <v>2.8152119904662967</v>
      </c>
      <c r="D134" s="251"/>
      <c r="E134" s="251"/>
      <c r="F134" s="251"/>
      <c r="G134" s="251"/>
      <c r="H134" s="251"/>
      <c r="I134" s="251"/>
      <c r="J134" s="251"/>
      <c r="K134" s="251"/>
      <c r="L134" s="251"/>
      <c r="M134" s="251"/>
      <c r="N134" s="15"/>
      <c r="O134" s="15"/>
    </row>
    <row r="135" spans="2:15">
      <c r="B135" s="42" t="s">
        <v>198</v>
      </c>
      <c r="C135" s="51">
        <f t="shared" ref="C135:C136" si="25">C130/$C$127</f>
        <v>53.571470528546264</v>
      </c>
      <c r="D135" s="251"/>
      <c r="E135" s="251"/>
      <c r="F135" s="251"/>
      <c r="G135" s="251"/>
      <c r="H135" s="251"/>
      <c r="I135" s="251"/>
      <c r="J135" s="251"/>
      <c r="K135" s="251"/>
      <c r="L135" s="251"/>
      <c r="M135" s="251"/>
      <c r="N135" s="15"/>
      <c r="O135" s="15"/>
    </row>
    <row r="136" spans="2:15">
      <c r="B136" s="42" t="s">
        <v>41</v>
      </c>
      <c r="C136" s="51">
        <f t="shared" si="25"/>
        <v>10.218682804708369</v>
      </c>
      <c r="D136" s="251"/>
      <c r="E136" s="251"/>
      <c r="F136" s="251"/>
      <c r="G136" s="251"/>
      <c r="H136" s="251"/>
      <c r="I136" s="251"/>
      <c r="J136" s="251"/>
      <c r="K136" s="251"/>
      <c r="L136" s="251"/>
      <c r="M136" s="251"/>
      <c r="N136" s="15"/>
      <c r="O136" s="15"/>
    </row>
    <row r="137" spans="2:15">
      <c r="B137" s="44" t="s">
        <v>113</v>
      </c>
      <c r="C137" s="54">
        <f>C132/$C$127</f>
        <v>0.92891064828413994</v>
      </c>
      <c r="D137" s="251"/>
      <c r="E137" s="251"/>
      <c r="F137" s="251"/>
      <c r="G137" s="251"/>
      <c r="H137" s="251"/>
      <c r="I137" s="251"/>
      <c r="J137" s="251"/>
      <c r="K137" s="251"/>
      <c r="L137" s="251"/>
      <c r="M137" s="251"/>
      <c r="N137" s="15"/>
      <c r="O137" s="15"/>
    </row>
    <row r="138" spans="2:15">
      <c r="B138" s="13"/>
      <c r="C138" s="14"/>
      <c r="D138" s="251"/>
      <c r="E138" s="251"/>
      <c r="F138" s="251"/>
      <c r="G138" s="251"/>
      <c r="H138" s="251"/>
      <c r="I138" s="251"/>
      <c r="J138" s="251"/>
      <c r="K138" s="251"/>
      <c r="L138" s="251"/>
      <c r="M138" s="251"/>
      <c r="N138" s="13"/>
      <c r="O138" s="13"/>
    </row>
  </sheetData>
  <mergeCells count="57">
    <mergeCell ref="E118:F118"/>
    <mergeCell ref="E119:F119"/>
    <mergeCell ref="E121:F121"/>
    <mergeCell ref="E122:F122"/>
    <mergeCell ref="E111:F111"/>
    <mergeCell ref="E112:F112"/>
    <mergeCell ref="E113:F113"/>
    <mergeCell ref="E114:F114"/>
    <mergeCell ref="E115:F115"/>
    <mergeCell ref="E117:F117"/>
    <mergeCell ref="O108:O109"/>
    <mergeCell ref="E78:F78"/>
    <mergeCell ref="E79:F79"/>
    <mergeCell ref="E80:F80"/>
    <mergeCell ref="E81:F81"/>
    <mergeCell ref="E83:F83"/>
    <mergeCell ref="E84:F84"/>
    <mergeCell ref="E85:F85"/>
    <mergeCell ref="E87:F87"/>
    <mergeCell ref="E88:F88"/>
    <mergeCell ref="C108:I108"/>
    <mergeCell ref="J108:M108"/>
    <mergeCell ref="E45:F45"/>
    <mergeCell ref="E46:F46"/>
    <mergeCell ref="E47:F47"/>
    <mergeCell ref="E49:F49"/>
    <mergeCell ref="E50:F50"/>
    <mergeCell ref="E51:F51"/>
    <mergeCell ref="E53:F53"/>
    <mergeCell ref="E54:F54"/>
    <mergeCell ref="C74:I74"/>
    <mergeCell ref="B106:O106"/>
    <mergeCell ref="B72:O72"/>
    <mergeCell ref="J74:M74"/>
    <mergeCell ref="O74:O75"/>
    <mergeCell ref="E77:F77"/>
    <mergeCell ref="E44:F44"/>
    <mergeCell ref="E12:F12"/>
    <mergeCell ref="E13:F13"/>
    <mergeCell ref="E15:F15"/>
    <mergeCell ref="E16:F16"/>
    <mergeCell ref="E17:F17"/>
    <mergeCell ref="E19:F19"/>
    <mergeCell ref="E20:F20"/>
    <mergeCell ref="C40:I40"/>
    <mergeCell ref="E43:F43"/>
    <mergeCell ref="J40:M40"/>
    <mergeCell ref="B2:O2"/>
    <mergeCell ref="E11:F11"/>
    <mergeCell ref="B4:O4"/>
    <mergeCell ref="B38:O38"/>
    <mergeCell ref="O40:O41"/>
    <mergeCell ref="C6:I6"/>
    <mergeCell ref="J6:M6"/>
    <mergeCell ref="O6:O7"/>
    <mergeCell ref="E9:F9"/>
    <mergeCell ref="E10:F10"/>
  </mergeCells>
  <pageMargins left="0.7" right="0.7" top="0.75" bottom="0.75" header="0.3" footer="0.3"/>
  <pageSetup paperSize="8" scale="5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Z122"/>
  <sheetViews>
    <sheetView zoomScale="85" zoomScaleNormal="85" workbookViewId="0"/>
  </sheetViews>
  <sheetFormatPr defaultColWidth="0" defaultRowHeight="12" zeroHeight="1"/>
  <cols>
    <col min="1" max="1" width="2.85546875" style="3" customWidth="1"/>
    <col min="2" max="2" width="30.28515625" style="2" customWidth="1"/>
    <col min="3" max="3" width="17" style="2" customWidth="1"/>
    <col min="4" max="9" width="17" style="1" customWidth="1"/>
    <col min="10" max="17" width="17" style="2" customWidth="1"/>
    <col min="18" max="18" width="2.85546875" style="3" customWidth="1"/>
    <col min="19" max="19" width="22.42578125" style="2" hidden="1" customWidth="1"/>
    <col min="20" max="20" width="11.5703125" style="2" hidden="1" customWidth="1"/>
    <col min="21" max="21" width="16" style="2" hidden="1" customWidth="1"/>
    <col min="22" max="23" width="9.140625" style="2" hidden="1" customWidth="1"/>
    <col min="24" max="24" width="21.7109375" style="2" hidden="1" customWidth="1"/>
    <col min="25" max="26" width="19.28515625" style="2" hidden="1" customWidth="1"/>
    <col min="27" max="16384" width="9.140625" style="2" hidden="1"/>
  </cols>
  <sheetData>
    <row r="1" spans="1:20">
      <c r="A1" s="13"/>
      <c r="B1" s="13"/>
      <c r="C1" s="13"/>
      <c r="D1" s="14"/>
      <c r="E1" s="14"/>
      <c r="F1" s="14"/>
      <c r="G1" s="14"/>
      <c r="H1" s="14"/>
      <c r="I1" s="14"/>
      <c r="J1" s="13"/>
      <c r="K1" s="13"/>
      <c r="L1" s="13"/>
      <c r="M1" s="13"/>
      <c r="N1" s="13"/>
      <c r="O1" s="13"/>
      <c r="P1" s="13"/>
      <c r="Q1" s="13"/>
      <c r="R1" s="13"/>
    </row>
    <row r="2" spans="1:20" ht="28.5" customHeight="1">
      <c r="A2" s="13"/>
      <c r="B2" s="355" t="s">
        <v>121</v>
      </c>
      <c r="C2" s="356"/>
      <c r="D2" s="356"/>
      <c r="E2" s="356"/>
      <c r="F2" s="356"/>
      <c r="G2" s="356"/>
      <c r="H2" s="356"/>
      <c r="I2" s="356"/>
      <c r="J2" s="356"/>
      <c r="K2" s="356"/>
      <c r="L2" s="356"/>
      <c r="M2" s="356"/>
      <c r="N2" s="356"/>
      <c r="O2" s="356"/>
      <c r="P2" s="356"/>
      <c r="Q2" s="357"/>
      <c r="R2" s="13"/>
    </row>
    <row r="3" spans="1:20">
      <c r="A3" s="13"/>
      <c r="B3" s="13"/>
      <c r="C3" s="13"/>
      <c r="D3" s="14"/>
      <c r="E3" s="14"/>
      <c r="F3" s="14"/>
      <c r="G3" s="14"/>
      <c r="H3" s="14"/>
      <c r="I3" s="14"/>
      <c r="J3" s="13"/>
      <c r="K3" s="13"/>
      <c r="L3" s="13"/>
      <c r="M3" s="13"/>
      <c r="N3" s="13"/>
      <c r="O3" s="13"/>
      <c r="P3" s="13"/>
      <c r="Q3" s="13"/>
      <c r="R3" s="13"/>
    </row>
    <row r="4" spans="1:20" ht="28.5" customHeight="1">
      <c r="A4" s="13"/>
      <c r="B4" s="375" t="s">
        <v>109</v>
      </c>
      <c r="C4" s="376"/>
      <c r="D4" s="376"/>
      <c r="E4" s="376"/>
      <c r="F4" s="376"/>
      <c r="G4" s="376"/>
      <c r="H4" s="376"/>
      <c r="I4" s="376"/>
      <c r="J4" s="376"/>
      <c r="K4" s="376"/>
      <c r="L4" s="376"/>
      <c r="M4" s="376"/>
      <c r="N4" s="376"/>
      <c r="O4" s="376"/>
      <c r="P4" s="376"/>
      <c r="Q4" s="377"/>
      <c r="R4" s="13"/>
    </row>
    <row r="5" spans="1:20">
      <c r="A5" s="13"/>
      <c r="B5" s="13"/>
      <c r="C5" s="13"/>
      <c r="D5" s="14"/>
      <c r="E5" s="14"/>
      <c r="F5" s="14"/>
      <c r="G5" s="14"/>
      <c r="H5" s="14"/>
      <c r="I5" s="14"/>
      <c r="J5" s="13"/>
      <c r="K5" s="13"/>
      <c r="L5" s="13"/>
      <c r="M5" s="13"/>
      <c r="N5" s="13"/>
      <c r="O5" s="13"/>
      <c r="P5" s="13"/>
      <c r="Q5" s="13"/>
      <c r="R5" s="13"/>
    </row>
    <row r="6" spans="1:20" ht="12" customHeight="1">
      <c r="A6" s="13"/>
      <c r="B6" s="60"/>
      <c r="C6" s="358" t="s">
        <v>10</v>
      </c>
      <c r="D6" s="359"/>
      <c r="E6" s="359"/>
      <c r="F6" s="359"/>
      <c r="G6" s="359"/>
      <c r="H6" s="359"/>
      <c r="I6" s="359"/>
      <c r="J6" s="359"/>
      <c r="K6" s="361" t="s">
        <v>101</v>
      </c>
      <c r="L6" s="362"/>
      <c r="M6" s="362"/>
      <c r="N6" s="362"/>
      <c r="O6" s="363"/>
      <c r="P6" s="18" t="s">
        <v>8</v>
      </c>
      <c r="Q6" s="351" t="s">
        <v>104</v>
      </c>
      <c r="R6" s="13"/>
    </row>
    <row r="7" spans="1:20" ht="33.75">
      <c r="A7" s="13"/>
      <c r="B7" s="73" t="s">
        <v>25</v>
      </c>
      <c r="C7" s="20" t="s">
        <v>27</v>
      </c>
      <c r="D7" s="20" t="s">
        <v>20</v>
      </c>
      <c r="E7" s="20" t="s">
        <v>19</v>
      </c>
      <c r="F7" s="20" t="s">
        <v>94</v>
      </c>
      <c r="G7" s="72" t="s">
        <v>102</v>
      </c>
      <c r="H7" s="20" t="s">
        <v>95</v>
      </c>
      <c r="I7" s="20" t="s">
        <v>96</v>
      </c>
      <c r="J7" s="71" t="s">
        <v>14</v>
      </c>
      <c r="K7" s="20" t="s">
        <v>97</v>
      </c>
      <c r="L7" s="20" t="s">
        <v>16</v>
      </c>
      <c r="M7" s="61" t="s">
        <v>98</v>
      </c>
      <c r="N7" s="20" t="s">
        <v>99</v>
      </c>
      <c r="O7" s="75" t="s">
        <v>15</v>
      </c>
      <c r="P7" s="74" t="s">
        <v>100</v>
      </c>
      <c r="Q7" s="352"/>
      <c r="R7" s="13"/>
      <c r="S7" s="3"/>
      <c r="T7" s="3"/>
    </row>
    <row r="8" spans="1:20">
      <c r="A8" s="13"/>
      <c r="B8" s="21" t="str">
        <f>'Terminal offers'!$A$57</f>
        <v>ANZ Fastpay</v>
      </c>
      <c r="C8" s="65">
        <f>'Terminal offers'!$B$57</f>
        <v>0</v>
      </c>
      <c r="D8" s="62">
        <f>'Terminal offers'!$C$57</f>
        <v>5</v>
      </c>
      <c r="E8" s="62">
        <f>'Terminal offers'!$D$57</f>
        <v>0</v>
      </c>
      <c r="F8" s="228">
        <f>'Terminal offers'!$E$57</f>
        <v>0.3</v>
      </c>
      <c r="G8" s="23">
        <f>'Terminal offers'!$F$57</f>
        <v>2.3E-2</v>
      </c>
      <c r="H8" s="109">
        <f>IF('Terminal offers'!$G$57&gt;0,'Terminal offers'!G59,'Terminal offers'!$G$68)</f>
        <v>2.3276000000000005E-2</v>
      </c>
      <c r="I8" s="109">
        <f>IF('Terminal offers'!$H$57&gt;0,'Terminal offers'!$H$57,'Terminal offers'!$H$68)</f>
        <v>2.9711000000000001E-2</v>
      </c>
      <c r="J8" s="63">
        <f>'Terminal offers'!$J$57</f>
        <v>0</v>
      </c>
      <c r="K8" s="223">
        <f t="shared" ref="K8:K17" si="0">C8/36</f>
        <v>0</v>
      </c>
      <c r="L8" s="62">
        <f t="shared" ref="L8:L17" si="1">D8+J8</f>
        <v>5</v>
      </c>
      <c r="M8" s="64">
        <f>(F8*C28)+MAX((G8*C24),'Terminal offers'!I57)</f>
        <v>41.938991203605894</v>
      </c>
      <c r="N8" s="65">
        <f>(H8*C25)+(I8*C26)</f>
        <v>8.8229204220161055</v>
      </c>
      <c r="O8" s="28">
        <f>SUM(K8:N8)</f>
        <v>55.761911625621998</v>
      </c>
      <c r="P8" s="62">
        <f t="shared" ref="P8:P17" si="2">$C$20</f>
        <v>2244.6862127439449</v>
      </c>
      <c r="Q8" s="149">
        <f>(P8+O8)/P8-1</f>
        <v>2.4841740154610603E-2</v>
      </c>
      <c r="R8" s="13"/>
      <c r="S8" s="3"/>
      <c r="T8" s="3"/>
    </row>
    <row r="9" spans="1:20">
      <c r="A9" s="13"/>
      <c r="B9" s="118" t="str">
        <f>'Terminal offers'!$A$59</f>
        <v>Commonwealth Bank Emmy</v>
      </c>
      <c r="C9" s="222">
        <f>'Terminal offers'!$B$59</f>
        <v>0</v>
      </c>
      <c r="D9" s="113">
        <f>'Terminal offers'!$C$59</f>
        <v>30</v>
      </c>
      <c r="E9" s="113">
        <f>'Terminal offers'!$D$59</f>
        <v>1500</v>
      </c>
      <c r="F9" s="371">
        <f>'Terminal offers'!$E$59</f>
        <v>1.4999999999999999E-2</v>
      </c>
      <c r="G9" s="372"/>
      <c r="H9" s="115">
        <f>IF('Terminal offers'!$G$59&gt;0,'Terminal offers'!$G$59,'Terminal offers'!$G$68)</f>
        <v>2.3276000000000005E-2</v>
      </c>
      <c r="I9" s="115">
        <f>IF('Terminal offers'!$H$59&gt;0,'Terminal offers'!$H$59,'Terminal offers'!$H$68)</f>
        <v>2.9711000000000001E-2</v>
      </c>
      <c r="J9" s="121">
        <f>'Terminal offers'!$J$59</f>
        <v>0</v>
      </c>
      <c r="K9" s="122">
        <f t="shared" si="0"/>
        <v>0</v>
      </c>
      <c r="L9" s="120">
        <f t="shared" si="1"/>
        <v>30</v>
      </c>
      <c r="M9" s="121">
        <f>IF((C23+C24)&lt;=E9,0,F9*((C23+C24)-E9))</f>
        <v>5.6124822198281858</v>
      </c>
      <c r="N9" s="116">
        <f>(H9*C25)+(I9*C26)</f>
        <v>8.8229204220161055</v>
      </c>
      <c r="O9" s="117">
        <f>SUM(K9:N9)</f>
        <v>44.435402641844291</v>
      </c>
      <c r="P9" s="113">
        <f t="shared" si="2"/>
        <v>2244.6862127439449</v>
      </c>
      <c r="Q9" s="150">
        <f>(P9+O9)/P9-1</f>
        <v>1.9795819295172379E-2</v>
      </c>
      <c r="R9" s="13"/>
    </row>
    <row r="10" spans="1:20">
      <c r="A10" s="13"/>
      <c r="B10" s="31" t="str">
        <f>'Terminal offers'!$A$61</f>
        <v>NAB Now</v>
      </c>
      <c r="C10" s="62">
        <f>'Terminal offers'!$B$61</f>
        <v>135</v>
      </c>
      <c r="D10" s="62">
        <f>'Terminal offers'!$C$61</f>
        <v>10</v>
      </c>
      <c r="E10" s="62">
        <f>'Terminal offers'!$D$61</f>
        <v>0</v>
      </c>
      <c r="F10" s="229">
        <f>'Terminal offers'!$E$61</f>
        <v>0.3</v>
      </c>
      <c r="G10" s="23">
        <f>'Terminal offers'!$F$61</f>
        <v>1.7000000000000001E-2</v>
      </c>
      <c r="H10" s="24">
        <f>IF('Terminal offers'!$G$61&gt;0,'Terminal offers'!$G$61,'Terminal offers'!$G$68)</f>
        <v>2.3276000000000005E-2</v>
      </c>
      <c r="I10" s="24">
        <f>IF('Terminal offers'!$H$61&gt;0,'Terminal offers'!$H$61,'Terminal offers'!$H$68)</f>
        <v>2.9711000000000001E-2</v>
      </c>
      <c r="J10" s="25">
        <f>'Terminal offers'!$J$61</f>
        <v>0</v>
      </c>
      <c r="K10" s="65">
        <f t="shared" si="0"/>
        <v>3.75</v>
      </c>
      <c r="L10" s="26">
        <f t="shared" si="1"/>
        <v>10</v>
      </c>
      <c r="M10" s="66">
        <f>MAX((F10*C28)+(G10*C24),'Terminal offers'!I61)</f>
        <v>31.25542589744693</v>
      </c>
      <c r="N10" s="65">
        <f>(H10*C25)+(I10*C26)</f>
        <v>8.8229204220161055</v>
      </c>
      <c r="O10" s="28">
        <f t="shared" ref="O10:O17" si="3">SUM(K10:N10)</f>
        <v>53.82834631946303</v>
      </c>
      <c r="P10" s="62">
        <f t="shared" si="2"/>
        <v>2244.6862127439449</v>
      </c>
      <c r="Q10" s="151">
        <f t="shared" ref="Q10:Q15" si="4">(P10+O10)/P10-1</f>
        <v>2.398034345017086E-2</v>
      </c>
      <c r="R10" s="13"/>
    </row>
    <row r="11" spans="1:20">
      <c r="A11" s="13"/>
      <c r="B11" s="118" t="str">
        <f>'Terminal offers'!$A$66</f>
        <v>Westpac Genie</v>
      </c>
      <c r="C11" s="122">
        <f>'Terminal offers'!$B$66</f>
        <v>100</v>
      </c>
      <c r="D11" s="113">
        <f>'Terminal offers'!$C$66</f>
        <v>0</v>
      </c>
      <c r="E11" s="113">
        <f>'Terminal offers'!$D$66</f>
        <v>0</v>
      </c>
      <c r="F11" s="371">
        <f>'Terminal offers'!$E$66</f>
        <v>1.95E-2</v>
      </c>
      <c r="G11" s="372"/>
      <c r="H11" s="115">
        <f>IF('Terminal offers'!$G$66&gt;0,'Terminal offers'!$G$66,'Terminal offers'!$G$68)</f>
        <v>2.3276000000000005E-2</v>
      </c>
      <c r="I11" s="115">
        <f>IF('Terminal offers'!$H$66&gt;0,'Terminal offers'!$H$66,'Terminal offers'!$H$68)</f>
        <v>2.9711000000000001E-2</v>
      </c>
      <c r="J11" s="119">
        <f>'Terminal offers'!$J$66</f>
        <v>0</v>
      </c>
      <c r="K11" s="122">
        <f t="shared" si="0"/>
        <v>2.7777777777777777</v>
      </c>
      <c r="L11" s="120">
        <f t="shared" si="1"/>
        <v>0</v>
      </c>
      <c r="M11" s="121">
        <f>F11*(C23+C24)</f>
        <v>36.54622688577664</v>
      </c>
      <c r="N11" s="116">
        <f>(H11*C25)+(I11*C26)</f>
        <v>8.8229204220161055</v>
      </c>
      <c r="O11" s="117">
        <f t="shared" si="3"/>
        <v>48.146925085570523</v>
      </c>
      <c r="P11" s="113">
        <f t="shared" si="2"/>
        <v>2244.6862127439449</v>
      </c>
      <c r="Q11" s="150">
        <f t="shared" si="4"/>
        <v>2.1449289799269966E-2</v>
      </c>
      <c r="R11" s="13"/>
    </row>
    <row r="12" spans="1:20">
      <c r="A12" s="13"/>
      <c r="B12" s="31" t="str">
        <f>'Terminal offers'!$A$58</f>
        <v>Bendigo Bank GoPOS Lite</v>
      </c>
      <c r="C12" s="224">
        <f>'Terminal offers'!$B$58</f>
        <v>0</v>
      </c>
      <c r="D12" s="62">
        <f>'Terminal offers'!$C$58</f>
        <v>13.200000000000001</v>
      </c>
      <c r="E12" s="62">
        <f>'Terminal offers'!$D$58</f>
        <v>0</v>
      </c>
      <c r="F12" s="226">
        <f>'Terminal offers'!$E$58</f>
        <v>0.27500000000000002</v>
      </c>
      <c r="G12" s="23">
        <f>'Terminal offers'!$F$58</f>
        <v>2.0900000000000002E-2</v>
      </c>
      <c r="H12" s="24">
        <f>IF('Terminal offers'!$G$58&gt;0,'Terminal offers'!$G$58,'Terminal offers'!$G$68)</f>
        <v>2.3276000000000005E-2</v>
      </c>
      <c r="I12" s="24">
        <f>IF('Terminal offers'!$H$58&gt;0,'Terminal offers'!$H$58,'Terminal offers'!$H$68)</f>
        <v>2.9711000000000001E-2</v>
      </c>
      <c r="J12" s="32">
        <f>'Terminal offers'!$J$58</f>
        <v>0</v>
      </c>
      <c r="K12" s="65">
        <f t="shared" si="0"/>
        <v>0</v>
      </c>
      <c r="L12" s="26">
        <f t="shared" si="1"/>
        <v>13.200000000000001</v>
      </c>
      <c r="M12" s="25">
        <f>(C28*F12)+(G12*C24)</f>
        <v>38.117632996728325</v>
      </c>
      <c r="N12" s="65">
        <f>(H12*C25)+(I12*C26)</f>
        <v>8.8229204220161055</v>
      </c>
      <c r="O12" s="28">
        <f t="shared" si="3"/>
        <v>60.140553418744432</v>
      </c>
      <c r="P12" s="62">
        <f t="shared" si="2"/>
        <v>2244.6862127439449</v>
      </c>
      <c r="Q12" s="151">
        <f t="shared" si="4"/>
        <v>2.6792410038117165E-2</v>
      </c>
      <c r="R12" s="13"/>
    </row>
    <row r="13" spans="1:20">
      <c r="A13" s="13"/>
      <c r="B13" s="118" t="str">
        <f>'Terminal offers'!$A$65</f>
        <v>St George Mobile PayWay</v>
      </c>
      <c r="C13" s="122">
        <f>'Terminal offers'!$B$65</f>
        <v>100</v>
      </c>
      <c r="D13" s="113">
        <f>'Terminal offers'!$C$65</f>
        <v>0</v>
      </c>
      <c r="E13" s="113">
        <f>'Terminal offers'!$D$65</f>
        <v>0</v>
      </c>
      <c r="F13" s="230">
        <f>'Terminal offers'!$E$65</f>
        <v>0.3</v>
      </c>
      <c r="G13" s="114">
        <f>'Terminal offers'!$F$65</f>
        <v>2.4E-2</v>
      </c>
      <c r="H13" s="115">
        <f>IF('Terminal offers'!$G$65&gt;0,'Terminal offers'!$G$65,'Terminal offers'!$G$68)</f>
        <v>2.3276000000000005E-2</v>
      </c>
      <c r="I13" s="115">
        <f>IF('Terminal offers'!$H$65&gt;0,'Terminal offers'!$H$65,'Terminal offers'!$H$68)</f>
        <v>2.9711000000000001E-2</v>
      </c>
      <c r="J13" s="119">
        <f>'Terminal offers'!$J$65</f>
        <v>0</v>
      </c>
      <c r="K13" s="122">
        <f t="shared" si="0"/>
        <v>2.7777777777777777</v>
      </c>
      <c r="L13" s="120">
        <f t="shared" si="1"/>
        <v>0</v>
      </c>
      <c r="M13" s="121">
        <f>(F13*C28)+(G13*C24)</f>
        <v>43.719585421299058</v>
      </c>
      <c r="N13" s="116">
        <f>(H13*C25)+(I13*C26)</f>
        <v>8.8229204220161055</v>
      </c>
      <c r="O13" s="117">
        <f t="shared" si="3"/>
        <v>55.320283621092941</v>
      </c>
      <c r="P13" s="113">
        <f t="shared" si="2"/>
        <v>2244.6862127439449</v>
      </c>
      <c r="Q13" s="150">
        <f t="shared" si="4"/>
        <v>2.4644996395050134E-2</v>
      </c>
      <c r="R13" s="13"/>
    </row>
    <row r="14" spans="1:20">
      <c r="A14" s="13"/>
      <c r="B14" s="31" t="str">
        <f>'Terminal offers'!$A$60</f>
        <v>Mint mPOS</v>
      </c>
      <c r="C14" s="27">
        <f>'Terminal offers'!$B$60</f>
        <v>0</v>
      </c>
      <c r="D14" s="27">
        <f>IF(C20&gt;2000,0,10)</f>
        <v>0</v>
      </c>
      <c r="E14" s="62">
        <f>'Terminal offers'!$D$60</f>
        <v>0</v>
      </c>
      <c r="F14" s="226">
        <f>'Terminal offers'!$E$60</f>
        <v>0.25</v>
      </c>
      <c r="G14" s="23">
        <f>'Terminal offers'!$F$60</f>
        <v>1.6899999999999998E-2</v>
      </c>
      <c r="H14" s="24">
        <f>IF('Terminal offers'!$G$60&gt;0,'Terminal offers'!$G$60,'Terminal offers'!$G$68)</f>
        <v>2.3276000000000005E-2</v>
      </c>
      <c r="I14" s="24">
        <f>IF('Terminal offers'!$H$60&gt;0,'Terminal offers'!$H$60,'Terminal offers'!$H$68)</f>
        <v>2.9711000000000001E-2</v>
      </c>
      <c r="J14" s="25">
        <f>'Terminal offers'!$J$60</f>
        <v>0</v>
      </c>
      <c r="K14" s="65">
        <f t="shared" si="0"/>
        <v>0</v>
      </c>
      <c r="L14" s="26">
        <f t="shared" si="1"/>
        <v>0</v>
      </c>
      <c r="M14" s="32">
        <f>(F14*C28)+(G14*C24)</f>
        <v>30.913145776233744</v>
      </c>
      <c r="N14" s="65">
        <f>(H14*C25)+(I14*C26)</f>
        <v>8.8229204220161055</v>
      </c>
      <c r="O14" s="28">
        <f t="shared" si="3"/>
        <v>39.736066198249851</v>
      </c>
      <c r="P14" s="62">
        <f t="shared" si="2"/>
        <v>2244.6862127439449</v>
      </c>
      <c r="Q14" s="151">
        <f t="shared" si="4"/>
        <v>1.7702281046078072E-2</v>
      </c>
      <c r="R14" s="13"/>
    </row>
    <row r="15" spans="1:20">
      <c r="A15" s="13"/>
      <c r="B15" s="118" t="str">
        <f>'Terminal offers'!$A$62</f>
        <v>PayPal Here</v>
      </c>
      <c r="C15" s="122">
        <f>'Terminal offers'!$B$62</f>
        <v>99</v>
      </c>
      <c r="D15" s="122">
        <f>'Terminal offers'!$C$62</f>
        <v>0</v>
      </c>
      <c r="E15" s="113">
        <f>'Terminal offers'!$D$62</f>
        <v>0</v>
      </c>
      <c r="F15" s="371">
        <f>'Terminal offers'!$E$62</f>
        <v>1.95E-2</v>
      </c>
      <c r="G15" s="372"/>
      <c r="H15" s="115">
        <f>IF('Terminal offers'!$G$62&gt;0,'Terminal offers'!$G$62,'Terminal offers'!$G$68)</f>
        <v>1.95E-2</v>
      </c>
      <c r="I15" s="115">
        <f>IF('Terminal offers'!$H$62&gt;0,'Terminal offers'!$H$62,'Terminal offers'!$H$68)</f>
        <v>2.9711000000000001E-2</v>
      </c>
      <c r="J15" s="119">
        <f>'Terminal offers'!$J$62</f>
        <v>0</v>
      </c>
      <c r="K15" s="122">
        <f t="shared" si="0"/>
        <v>2.75</v>
      </c>
      <c r="L15" s="120">
        <f t="shared" si="1"/>
        <v>0</v>
      </c>
      <c r="M15" s="121">
        <f>F15*(C23+C24)</f>
        <v>36.54622688577664</v>
      </c>
      <c r="N15" s="116">
        <f>(H15*C25)+(I15*C26)</f>
        <v>7.5404177015026281</v>
      </c>
      <c r="O15" s="117">
        <f t="shared" si="3"/>
        <v>46.836644587279267</v>
      </c>
      <c r="P15" s="113">
        <f t="shared" si="2"/>
        <v>2244.6862127439449</v>
      </c>
      <c r="Q15" s="150">
        <f t="shared" si="4"/>
        <v>2.0865564336507214E-2</v>
      </c>
      <c r="R15" s="13"/>
    </row>
    <row r="16" spans="1:20">
      <c r="A16" s="13"/>
      <c r="B16" s="31" t="str">
        <f>'Terminal offers'!$A$64</f>
        <v>Square</v>
      </c>
      <c r="C16" s="27">
        <f>'Terminal offers'!$B$64</f>
        <v>59</v>
      </c>
      <c r="D16" s="62">
        <f>'Terminal offers'!$C$64</f>
        <v>0</v>
      </c>
      <c r="E16" s="62">
        <f>'Terminal offers'!$D$64</f>
        <v>0</v>
      </c>
      <c r="F16" s="353">
        <f>'Terminal offers'!$E$64</f>
        <v>1.9E-2</v>
      </c>
      <c r="G16" s="354"/>
      <c r="H16" s="24">
        <f>IF('Terminal offers'!$G$64&gt;0,'Terminal offers'!$G$64,'Terminal offers'!$G$68)</f>
        <v>1.9E-2</v>
      </c>
      <c r="I16" s="24">
        <f>IF('Terminal offers'!$H$64&gt;0,'Terminal offers'!$H$64,'Terminal offers'!$H$68)</f>
        <v>2.9711000000000001E-2</v>
      </c>
      <c r="J16" s="25">
        <f>'Terminal offers'!$J$64</f>
        <v>0</v>
      </c>
      <c r="K16" s="65">
        <f t="shared" si="0"/>
        <v>1.6388888888888888</v>
      </c>
      <c r="L16" s="26">
        <f t="shared" si="1"/>
        <v>0</v>
      </c>
      <c r="M16" s="25">
        <f>F16*(C23+C24)</f>
        <v>35.6091441451157</v>
      </c>
      <c r="N16" s="65">
        <f>(H16*C25)+(I16*C26)</f>
        <v>7.3705947777058229</v>
      </c>
      <c r="O16" s="28">
        <f t="shared" si="3"/>
        <v>44.618627811710411</v>
      </c>
      <c r="P16" s="62">
        <f t="shared" si="2"/>
        <v>2244.6862127439449</v>
      </c>
      <c r="Q16" s="151">
        <f>(P16+O16)/P16-1</f>
        <v>1.9877445479191236E-2</v>
      </c>
      <c r="R16" s="13"/>
    </row>
    <row r="17" spans="1:18">
      <c r="A17" s="13"/>
      <c r="B17" s="137" t="str">
        <f>'Terminal offers'!$A$63</f>
        <v>Quest PocketPay</v>
      </c>
      <c r="C17" s="131">
        <f>'Terminal offers'!$B$63</f>
        <v>0</v>
      </c>
      <c r="D17" s="131">
        <f>'Terminal offers'!$C$63</f>
        <v>25.3</v>
      </c>
      <c r="E17" s="140">
        <f>'Terminal offers'!$D$63</f>
        <v>0</v>
      </c>
      <c r="F17" s="231">
        <f>'Terminal offers'!$E$63</f>
        <v>0.30800000000000005</v>
      </c>
      <c r="G17" s="232">
        <f>'Terminal offers'!$F$63</f>
        <v>2.0020000000000003E-2</v>
      </c>
      <c r="H17" s="128">
        <f>IF('Terminal offers'!$G$63&gt;0,'Terminal offers'!$G$63,'Terminal offers'!$G$68)</f>
        <v>2.3276000000000005E-2</v>
      </c>
      <c r="I17" s="128">
        <f>IF('Terminal offers'!$H$63&gt;0,'Terminal offers'!$H$63,'Terminal offers'!$H$68)</f>
        <v>2.9711000000000001E-2</v>
      </c>
      <c r="J17" s="129">
        <f>'Terminal offers'!$J$63</f>
        <v>0</v>
      </c>
      <c r="K17" s="131">
        <f t="shared" si="0"/>
        <v>0</v>
      </c>
      <c r="L17" s="130">
        <f t="shared" si="1"/>
        <v>25.3</v>
      </c>
      <c r="M17" s="138">
        <f>((F17*C28)+(G17*C24))</f>
        <v>36.659095746791294</v>
      </c>
      <c r="N17" s="139">
        <f>(H17*C25)+(I17*C26)</f>
        <v>8.8229204220161055</v>
      </c>
      <c r="O17" s="132">
        <f t="shared" si="3"/>
        <v>70.782016168807402</v>
      </c>
      <c r="P17" s="140">
        <f t="shared" si="2"/>
        <v>2244.6862127439449</v>
      </c>
      <c r="Q17" s="152">
        <f>(P17+O17)/P17-1</f>
        <v>3.1533145152739195E-2</v>
      </c>
      <c r="R17" s="13"/>
    </row>
    <row r="18" spans="1:18">
      <c r="A18" s="13"/>
      <c r="B18" s="67"/>
      <c r="C18" s="15"/>
      <c r="D18" s="16"/>
      <c r="E18" s="16"/>
      <c r="F18" s="16"/>
      <c r="G18" s="16"/>
      <c r="H18" s="16"/>
      <c r="I18" s="16"/>
      <c r="J18" s="15"/>
      <c r="K18" s="15"/>
      <c r="L18" s="15"/>
      <c r="M18" s="15"/>
      <c r="N18" s="15"/>
      <c r="O18" s="15"/>
      <c r="P18" s="134" t="s">
        <v>13</v>
      </c>
      <c r="Q18" s="144">
        <f>AVERAGE(Q8:Q17)</f>
        <v>2.3148303514690681E-2</v>
      </c>
      <c r="R18" s="13"/>
    </row>
    <row r="19" spans="1:18">
      <c r="A19" s="13"/>
      <c r="B19" s="40" t="s">
        <v>108</v>
      </c>
      <c r="C19" s="41"/>
      <c r="D19" s="251"/>
      <c r="E19" s="251"/>
      <c r="F19" s="251"/>
      <c r="G19" s="251"/>
      <c r="H19" s="251"/>
      <c r="I19" s="251"/>
      <c r="J19" s="251"/>
      <c r="K19" s="251"/>
      <c r="L19" s="251"/>
      <c r="M19" s="251"/>
      <c r="N19" s="251"/>
      <c r="O19" s="251"/>
      <c r="P19" s="135" t="s">
        <v>17</v>
      </c>
      <c r="Q19" s="145">
        <f>MIN(Q8:Q17)</f>
        <v>1.7702281046078072E-2</v>
      </c>
      <c r="R19" s="13"/>
    </row>
    <row r="20" spans="1:18">
      <c r="A20" s="13"/>
      <c r="B20" s="42" t="s">
        <v>33</v>
      </c>
      <c r="C20" s="43">
        <f>'1. Monthly revenue &amp; trips '!C6*1.05</f>
        <v>2244.6862127439449</v>
      </c>
      <c r="D20" s="251"/>
      <c r="E20" s="251"/>
      <c r="F20" s="251"/>
      <c r="G20" s="251"/>
      <c r="H20" s="251"/>
      <c r="I20" s="251"/>
      <c r="J20" s="251"/>
      <c r="K20" s="251"/>
      <c r="L20" s="251"/>
      <c r="M20" s="251"/>
      <c r="N20" s="251"/>
      <c r="O20" s="251"/>
      <c r="P20" s="136" t="s">
        <v>18</v>
      </c>
      <c r="Q20" s="146">
        <f>MAX(Q8:Q17)</f>
        <v>3.1533145152739195E-2</v>
      </c>
      <c r="R20" s="13"/>
    </row>
    <row r="21" spans="1:18">
      <c r="A21" s="13"/>
      <c r="B21" s="42" t="s">
        <v>21</v>
      </c>
      <c r="C21" s="45">
        <f>'8. Monthly revenue and trips'!C4</f>
        <v>28.489485170139162</v>
      </c>
      <c r="D21" s="251"/>
      <c r="E21" s="251"/>
      <c r="F21" s="251"/>
      <c r="G21" s="251"/>
      <c r="H21" s="251"/>
      <c r="I21" s="251"/>
      <c r="J21" s="251"/>
      <c r="K21" s="251"/>
      <c r="L21" s="251"/>
      <c r="M21" s="251"/>
      <c r="N21" s="251"/>
      <c r="O21" s="251"/>
      <c r="P21" s="15"/>
      <c r="Q21" s="15"/>
      <c r="R21" s="13"/>
    </row>
    <row r="22" spans="1:18">
      <c r="A22" s="13"/>
      <c r="B22" s="42"/>
      <c r="C22" s="45"/>
      <c r="D22" s="251"/>
      <c r="E22" s="251"/>
      <c r="F22" s="251"/>
      <c r="G22" s="251"/>
      <c r="H22" s="251"/>
      <c r="I22" s="251"/>
      <c r="J22" s="251"/>
      <c r="K22" s="251"/>
      <c r="L22" s="251"/>
      <c r="M22" s="251"/>
      <c r="N22" s="251"/>
      <c r="O22" s="251"/>
      <c r="P22" s="15"/>
      <c r="Q22" s="15"/>
      <c r="R22" s="13"/>
    </row>
    <row r="23" spans="1:18">
      <c r="A23" s="13"/>
      <c r="B23" s="42" t="s">
        <v>34</v>
      </c>
      <c r="C23" s="46">
        <f>'8. Monthly revenue and trips'!C19*'6. Sensitivity(mPOS) '!C20</f>
        <v>93.571263628718768</v>
      </c>
      <c r="D23" s="251"/>
      <c r="E23" s="251"/>
      <c r="F23" s="251"/>
      <c r="G23" s="251"/>
      <c r="H23" s="251"/>
      <c r="I23" s="251"/>
      <c r="J23" s="251"/>
      <c r="K23" s="251"/>
      <c r="L23" s="251"/>
      <c r="M23" s="251"/>
      <c r="N23" s="251"/>
      <c r="O23" s="251"/>
      <c r="P23" s="15"/>
      <c r="Q23" s="15"/>
      <c r="R23" s="13"/>
    </row>
    <row r="24" spans="1:18">
      <c r="A24" s="13"/>
      <c r="B24" s="42" t="s">
        <v>197</v>
      </c>
      <c r="C24" s="46">
        <f>'8. Monthly revenue and trips'!C20*'6. Sensitivity(mPOS) '!C20</f>
        <v>1780.5942176931603</v>
      </c>
      <c r="D24" s="251"/>
      <c r="E24" s="251"/>
      <c r="F24" s="251"/>
      <c r="G24" s="251"/>
      <c r="H24" s="251"/>
      <c r="I24" s="251"/>
      <c r="J24" s="251"/>
      <c r="K24" s="251"/>
      <c r="L24" s="251"/>
      <c r="M24" s="251"/>
      <c r="N24" s="251"/>
      <c r="O24" s="251"/>
      <c r="P24" s="15"/>
      <c r="Q24" s="15"/>
      <c r="R24" s="13"/>
    </row>
    <row r="25" spans="1:18">
      <c r="A25" s="13"/>
      <c r="B25" s="42" t="s">
        <v>39</v>
      </c>
      <c r="C25" s="46">
        <f>'8. Monthly revenue and trips'!C21*'6. Sensitivity(mPOS) '!C20</f>
        <v>339.64584759361099</v>
      </c>
      <c r="D25" s="251"/>
      <c r="E25" s="251"/>
      <c r="F25" s="251"/>
      <c r="G25" s="251"/>
      <c r="H25" s="251"/>
      <c r="I25" s="251"/>
      <c r="J25" s="251"/>
      <c r="K25" s="251"/>
      <c r="L25" s="251"/>
      <c r="M25" s="251"/>
      <c r="N25" s="251"/>
      <c r="O25" s="251"/>
      <c r="P25" s="15"/>
      <c r="Q25" s="15"/>
      <c r="R25" s="13"/>
    </row>
    <row r="26" spans="1:18">
      <c r="A26" s="13"/>
      <c r="B26" s="42" t="s">
        <v>114</v>
      </c>
      <c r="C26" s="46">
        <f>'8. Monthly revenue and trips'!C22*'6. Sensitivity(mPOS) '!C20</f>
        <v>30.874883828454585</v>
      </c>
      <c r="D26" s="251"/>
      <c r="E26" s="251"/>
      <c r="F26" s="251"/>
      <c r="G26" s="251"/>
      <c r="H26" s="251"/>
      <c r="I26" s="251"/>
      <c r="J26" s="251"/>
      <c r="K26" s="251"/>
      <c r="L26" s="251"/>
      <c r="M26" s="251"/>
      <c r="N26" s="251"/>
      <c r="O26" s="251"/>
      <c r="P26" s="15"/>
      <c r="Q26" s="15"/>
      <c r="R26" s="13"/>
    </row>
    <row r="27" spans="1:18">
      <c r="A27" s="13"/>
      <c r="B27" s="42"/>
      <c r="C27" s="46"/>
      <c r="D27" s="251"/>
      <c r="E27" s="251"/>
      <c r="F27" s="251"/>
      <c r="G27" s="251"/>
      <c r="H27" s="251"/>
      <c r="I27" s="251"/>
      <c r="J27" s="251"/>
      <c r="K27" s="251"/>
      <c r="L27" s="251"/>
      <c r="M27" s="251"/>
      <c r="N27" s="251"/>
      <c r="O27" s="251"/>
      <c r="P27" s="15"/>
      <c r="Q27" s="15"/>
      <c r="R27" s="13"/>
    </row>
    <row r="28" spans="1:18">
      <c r="A28" s="13"/>
      <c r="B28" s="42" t="s">
        <v>38</v>
      </c>
      <c r="C28" s="51">
        <f>C23/$C$21</f>
        <v>3.2844139888773465</v>
      </c>
      <c r="D28" s="251"/>
      <c r="E28" s="251"/>
      <c r="F28" s="251"/>
      <c r="G28" s="251"/>
      <c r="H28" s="251"/>
      <c r="I28" s="251"/>
      <c r="J28" s="251"/>
      <c r="K28" s="251"/>
      <c r="L28" s="251"/>
      <c r="M28" s="251"/>
      <c r="N28" s="251"/>
      <c r="O28" s="251"/>
      <c r="P28" s="15"/>
      <c r="Q28" s="15"/>
      <c r="R28" s="13"/>
    </row>
    <row r="29" spans="1:18">
      <c r="A29" s="13"/>
      <c r="B29" s="42" t="s">
        <v>198</v>
      </c>
      <c r="C29" s="51">
        <f t="shared" ref="C29:C30" si="5">C24/$C$21</f>
        <v>62.50004894997064</v>
      </c>
      <c r="D29" s="251"/>
      <c r="E29" s="251"/>
      <c r="F29" s="251"/>
      <c r="G29" s="251"/>
      <c r="H29" s="251"/>
      <c r="I29" s="251"/>
      <c r="J29" s="251"/>
      <c r="K29" s="251"/>
      <c r="L29" s="251"/>
      <c r="M29" s="251"/>
      <c r="N29" s="251"/>
      <c r="O29" s="251"/>
      <c r="P29" s="15"/>
      <c r="Q29" s="15"/>
      <c r="R29" s="13"/>
    </row>
    <row r="30" spans="1:18">
      <c r="A30" s="13"/>
      <c r="B30" s="42" t="s">
        <v>41</v>
      </c>
      <c r="C30" s="51">
        <f t="shared" si="5"/>
        <v>11.921796605493098</v>
      </c>
      <c r="D30" s="251"/>
      <c r="E30" s="251"/>
      <c r="F30" s="251"/>
      <c r="G30" s="251"/>
      <c r="H30" s="251"/>
      <c r="I30" s="251"/>
      <c r="J30" s="251"/>
      <c r="K30" s="251"/>
      <c r="L30" s="251"/>
      <c r="M30" s="251"/>
      <c r="N30" s="251"/>
      <c r="O30" s="251"/>
      <c r="P30" s="15"/>
      <c r="Q30" s="15"/>
      <c r="R30" s="13"/>
    </row>
    <row r="31" spans="1:18" ht="12.75" customHeight="1">
      <c r="A31" s="13"/>
      <c r="B31" s="44" t="s">
        <v>113</v>
      </c>
      <c r="C31" s="54">
        <f>C26/$C$21</f>
        <v>1.0837290896648299</v>
      </c>
      <c r="D31" s="251"/>
      <c r="E31" s="251"/>
      <c r="F31" s="251"/>
      <c r="G31" s="251"/>
      <c r="H31" s="251"/>
      <c r="I31" s="251"/>
      <c r="J31" s="251"/>
      <c r="K31" s="251"/>
      <c r="L31" s="251"/>
      <c r="M31" s="251"/>
      <c r="N31" s="251"/>
      <c r="O31" s="251"/>
      <c r="P31" s="15"/>
      <c r="Q31" s="15"/>
      <c r="R31" s="13"/>
    </row>
    <row r="32" spans="1:18" ht="12" customHeight="1">
      <c r="A32" s="13"/>
      <c r="B32" s="13"/>
      <c r="C32" s="13"/>
      <c r="D32" s="14"/>
      <c r="E32" s="14"/>
      <c r="F32" s="14"/>
      <c r="G32" s="14"/>
      <c r="H32" s="14"/>
      <c r="I32" s="14"/>
      <c r="J32" s="13"/>
      <c r="K32" s="13"/>
      <c r="L32" s="13"/>
      <c r="M32" s="13"/>
      <c r="N32" s="13"/>
      <c r="O32" s="13"/>
      <c r="P32" s="13"/>
      <c r="Q32" s="13"/>
      <c r="R32" s="13"/>
    </row>
    <row r="33" spans="1:18" ht="12" customHeight="1">
      <c r="A33" s="13"/>
      <c r="B33" s="13"/>
      <c r="C33" s="13"/>
      <c r="D33" s="14"/>
      <c r="E33" s="14"/>
      <c r="F33" s="14"/>
      <c r="G33" s="14"/>
      <c r="H33" s="14"/>
      <c r="I33" s="14"/>
      <c r="J33" s="13"/>
      <c r="K33" s="13"/>
      <c r="L33" s="13"/>
      <c r="M33" s="13"/>
      <c r="N33" s="13"/>
      <c r="O33" s="13"/>
      <c r="P33" s="13"/>
      <c r="Q33" s="13"/>
      <c r="R33" s="13"/>
    </row>
    <row r="34" spans="1:18" ht="28.5" customHeight="1">
      <c r="A34" s="13"/>
      <c r="B34" s="375" t="s">
        <v>110</v>
      </c>
      <c r="C34" s="376"/>
      <c r="D34" s="376"/>
      <c r="E34" s="376"/>
      <c r="F34" s="376"/>
      <c r="G34" s="376"/>
      <c r="H34" s="376"/>
      <c r="I34" s="376"/>
      <c r="J34" s="376"/>
      <c r="K34" s="376"/>
      <c r="L34" s="376"/>
      <c r="M34" s="376"/>
      <c r="N34" s="376"/>
      <c r="O34" s="376"/>
      <c r="P34" s="376"/>
      <c r="Q34" s="377"/>
      <c r="R34" s="13"/>
    </row>
    <row r="35" spans="1:18">
      <c r="A35" s="13"/>
      <c r="B35" s="13"/>
      <c r="C35" s="13"/>
      <c r="D35" s="14"/>
      <c r="E35" s="14"/>
      <c r="F35" s="14"/>
      <c r="G35" s="14"/>
      <c r="H35" s="14"/>
      <c r="I35" s="14"/>
      <c r="J35" s="13"/>
      <c r="K35" s="13"/>
      <c r="L35" s="13"/>
      <c r="M35" s="13"/>
      <c r="N35" s="13"/>
      <c r="O35" s="13"/>
      <c r="P35" s="13"/>
      <c r="Q35" s="13"/>
      <c r="R35" s="13"/>
    </row>
    <row r="36" spans="1:18" ht="12" customHeight="1">
      <c r="A36" s="13"/>
      <c r="B36" s="60"/>
      <c r="C36" s="358" t="s">
        <v>10</v>
      </c>
      <c r="D36" s="359"/>
      <c r="E36" s="359"/>
      <c r="F36" s="359"/>
      <c r="G36" s="359"/>
      <c r="H36" s="359"/>
      <c r="I36" s="359"/>
      <c r="J36" s="359"/>
      <c r="K36" s="361" t="s">
        <v>101</v>
      </c>
      <c r="L36" s="362"/>
      <c r="M36" s="362"/>
      <c r="N36" s="362"/>
      <c r="O36" s="363"/>
      <c r="P36" s="18" t="s">
        <v>8</v>
      </c>
      <c r="Q36" s="351" t="s">
        <v>104</v>
      </c>
      <c r="R36" s="13"/>
    </row>
    <row r="37" spans="1:18" ht="33.75">
      <c r="A37" s="13"/>
      <c r="B37" s="73" t="s">
        <v>25</v>
      </c>
      <c r="C37" s="20" t="s">
        <v>27</v>
      </c>
      <c r="D37" s="20" t="s">
        <v>20</v>
      </c>
      <c r="E37" s="20" t="s">
        <v>19</v>
      </c>
      <c r="F37" s="20" t="s">
        <v>94</v>
      </c>
      <c r="G37" s="72" t="s">
        <v>102</v>
      </c>
      <c r="H37" s="20" t="s">
        <v>95</v>
      </c>
      <c r="I37" s="20" t="s">
        <v>96</v>
      </c>
      <c r="J37" s="71" t="s">
        <v>14</v>
      </c>
      <c r="K37" s="20" t="s">
        <v>97</v>
      </c>
      <c r="L37" s="20" t="s">
        <v>16</v>
      </c>
      <c r="M37" s="61" t="s">
        <v>98</v>
      </c>
      <c r="N37" s="20" t="s">
        <v>99</v>
      </c>
      <c r="O37" s="75" t="s">
        <v>15</v>
      </c>
      <c r="P37" s="74" t="s">
        <v>100</v>
      </c>
      <c r="Q37" s="352"/>
      <c r="R37" s="13"/>
    </row>
    <row r="38" spans="1:18">
      <c r="A38" s="13"/>
      <c r="B38" s="21" t="str">
        <f>'Terminal offers'!$A$57</f>
        <v>ANZ Fastpay</v>
      </c>
      <c r="C38" s="65">
        <f>'Terminal offers'!$B$57</f>
        <v>0</v>
      </c>
      <c r="D38" s="62">
        <f>'Terminal offers'!$C$57</f>
        <v>5</v>
      </c>
      <c r="E38" s="62">
        <f>'Terminal offers'!$D$57</f>
        <v>0</v>
      </c>
      <c r="F38" s="228">
        <f>'Terminal offers'!$E$57</f>
        <v>0.3</v>
      </c>
      <c r="G38" s="23">
        <f>'Terminal offers'!$F$57</f>
        <v>2.3E-2</v>
      </c>
      <c r="H38" s="109">
        <f>IF('Terminal offers'!$G$57&gt;0,'Terminal offers'!G88,'Terminal offers'!$G$68)</f>
        <v>2.3276000000000005E-2</v>
      </c>
      <c r="I38" s="109">
        <f>IF('Terminal offers'!$H$57&gt;0,'Terminal offers'!$H$57,'Terminal offers'!$H$68)</f>
        <v>2.9711000000000001E-2</v>
      </c>
      <c r="J38" s="63">
        <f>'Terminal offers'!$J$57</f>
        <v>0</v>
      </c>
      <c r="K38" s="223">
        <f t="shared" ref="K38:K47" si="6">C38/36</f>
        <v>0</v>
      </c>
      <c r="L38" s="62">
        <f t="shared" ref="L38:L47" si="7">D38+J38</f>
        <v>5</v>
      </c>
      <c r="M38" s="64">
        <f>(F38*C58)+MAX((G38*C54),'Terminal offers'!I57)</f>
        <v>37.944801565167225</v>
      </c>
      <c r="N38" s="65">
        <f>(H38*C55)+(I38*C56)</f>
        <v>7.9826422865859987</v>
      </c>
      <c r="O38" s="28">
        <f>SUM(K38:N38)</f>
        <v>50.927443851753225</v>
      </c>
      <c r="P38" s="62">
        <f>$C$50</f>
        <v>2030.9065734349974</v>
      </c>
      <c r="Q38" s="149">
        <f>(P38+O38)/P38-1</f>
        <v>2.507621203156396E-2</v>
      </c>
      <c r="R38" s="13"/>
    </row>
    <row r="39" spans="1:18">
      <c r="A39" s="13"/>
      <c r="B39" s="118" t="str">
        <f>'Terminal offers'!$A$59</f>
        <v>Commonwealth Bank Emmy</v>
      </c>
      <c r="C39" s="222">
        <f>'Terminal offers'!$B$59</f>
        <v>0</v>
      </c>
      <c r="D39" s="113">
        <f>'Terminal offers'!$C$59</f>
        <v>30</v>
      </c>
      <c r="E39" s="113">
        <f>'Terminal offers'!$D$59</f>
        <v>1500</v>
      </c>
      <c r="F39" s="371">
        <f>'Terminal offers'!$E$59</f>
        <v>1.4999999999999999E-2</v>
      </c>
      <c r="G39" s="372"/>
      <c r="H39" s="115">
        <f>IF('Terminal offers'!$G$59&gt;0,'Terminal offers'!$G$59,'Terminal offers'!$G$68)</f>
        <v>2.3276000000000005E-2</v>
      </c>
      <c r="I39" s="115">
        <f>IF('Terminal offers'!$H$59&gt;0,'Terminal offers'!$H$59,'Terminal offers'!$H$68)</f>
        <v>2.9711000000000001E-2</v>
      </c>
      <c r="J39" s="121">
        <f>'Terminal offers'!$J$59</f>
        <v>0</v>
      </c>
      <c r="K39" s="122">
        <f t="shared" si="6"/>
        <v>0</v>
      </c>
      <c r="L39" s="120">
        <f t="shared" si="7"/>
        <v>30</v>
      </c>
      <c r="M39" s="121">
        <f>IF((C53+C54)&lt;=E39,0,F39*((C53+C54)-E39))</f>
        <v>2.9351029607969257</v>
      </c>
      <c r="N39" s="116">
        <f>(H39*C55)+(I39*C56)</f>
        <v>7.9826422865859987</v>
      </c>
      <c r="O39" s="117">
        <f>SUM(K39:N39)</f>
        <v>40.917745247382925</v>
      </c>
      <c r="P39" s="113">
        <f>$C$50</f>
        <v>2030.9065734349974</v>
      </c>
      <c r="Q39" s="150">
        <f>(P39+O39)/P39-1</f>
        <v>2.0147527110602637E-2</v>
      </c>
      <c r="R39" s="13"/>
    </row>
    <row r="40" spans="1:18">
      <c r="A40" s="13"/>
      <c r="B40" s="31" t="str">
        <f>'Terminal offers'!$A$61</f>
        <v>NAB Now</v>
      </c>
      <c r="C40" s="62">
        <f>'Terminal offers'!$B$61</f>
        <v>135</v>
      </c>
      <c r="D40" s="62">
        <f>'Terminal offers'!$C$61</f>
        <v>10</v>
      </c>
      <c r="E40" s="62">
        <f>'Terminal offers'!$D$61</f>
        <v>0</v>
      </c>
      <c r="F40" s="229">
        <f>'Terminal offers'!$E$61</f>
        <v>0.3</v>
      </c>
      <c r="G40" s="23">
        <f>'Terminal offers'!$F$61</f>
        <v>1.7000000000000001E-2</v>
      </c>
      <c r="H40" s="24">
        <f>IF('Terminal offers'!$G$61&gt;0,'Terminal offers'!$G$61,'Terminal offers'!$G$68)</f>
        <v>2.3276000000000005E-2</v>
      </c>
      <c r="I40" s="24">
        <f>IF('Terminal offers'!$H$61&gt;0,'Terminal offers'!$H$61,'Terminal offers'!$H$68)</f>
        <v>2.9711000000000001E-2</v>
      </c>
      <c r="J40" s="25">
        <f>'Terminal offers'!$J$61</f>
        <v>0</v>
      </c>
      <c r="K40" s="65">
        <f t="shared" si="6"/>
        <v>3.75</v>
      </c>
      <c r="L40" s="26">
        <f t="shared" si="7"/>
        <v>10</v>
      </c>
      <c r="M40" s="66">
        <f>MAX((F40*C58)+(G40*C54),'Terminal offers'!I61)</f>
        <v>28.278718669118646</v>
      </c>
      <c r="N40" s="65">
        <f>(H40*C55)+(I40*C56)</f>
        <v>7.9826422865859987</v>
      </c>
      <c r="O40" s="28">
        <f t="shared" ref="O40:O47" si="8">SUM(K40:N40)</f>
        <v>50.011360955704646</v>
      </c>
      <c r="P40" s="62">
        <f t="shared" ref="P40:P46" si="9">$C$50</f>
        <v>2030.9065734349974</v>
      </c>
      <c r="Q40" s="151">
        <f t="shared" ref="Q40:Q45" si="10">(P40+O40)/P40-1</f>
        <v>2.4625141111793036E-2</v>
      </c>
      <c r="R40" s="13"/>
    </row>
    <row r="41" spans="1:18">
      <c r="A41" s="13"/>
      <c r="B41" s="118" t="str">
        <f>'Terminal offers'!$A$66</f>
        <v>Westpac Genie</v>
      </c>
      <c r="C41" s="122">
        <f>'Terminal offers'!$B$66</f>
        <v>100</v>
      </c>
      <c r="D41" s="113">
        <f>'Terminal offers'!$C$66</f>
        <v>0</v>
      </c>
      <c r="E41" s="113">
        <f>'Terminal offers'!$D$66</f>
        <v>0</v>
      </c>
      <c r="F41" s="371">
        <f>'Terminal offers'!$E$66</f>
        <v>1.95E-2</v>
      </c>
      <c r="G41" s="372"/>
      <c r="H41" s="115">
        <f>IF('Terminal offers'!$G$66&gt;0,'Terminal offers'!$G$66,'Terminal offers'!$G$68)</f>
        <v>2.3276000000000005E-2</v>
      </c>
      <c r="I41" s="115">
        <f>IF('Terminal offers'!$H$66&gt;0,'Terminal offers'!$H$66,'Terminal offers'!$H$68)</f>
        <v>2.9711000000000001E-2</v>
      </c>
      <c r="J41" s="119">
        <f>'Terminal offers'!$J$66</f>
        <v>0</v>
      </c>
      <c r="K41" s="122">
        <f t="shared" si="6"/>
        <v>2.7777777777777777</v>
      </c>
      <c r="L41" s="120">
        <f t="shared" si="7"/>
        <v>0</v>
      </c>
      <c r="M41" s="121">
        <f>F41*(C53+C54)</f>
        <v>33.065633849036004</v>
      </c>
      <c r="N41" s="116">
        <f>(H41*C55)+(I41*C56)</f>
        <v>7.9826422865859987</v>
      </c>
      <c r="O41" s="117">
        <f t="shared" si="8"/>
        <v>43.826053913399782</v>
      </c>
      <c r="P41" s="113">
        <f t="shared" si="9"/>
        <v>2030.9065734349974</v>
      </c>
      <c r="Q41" s="150">
        <f t="shared" si="10"/>
        <v>2.1579551953132992E-2</v>
      </c>
      <c r="R41" s="13"/>
    </row>
    <row r="42" spans="1:18">
      <c r="A42" s="13"/>
      <c r="B42" s="31" t="str">
        <f>'Terminal offers'!$A$58</f>
        <v>Bendigo Bank GoPOS Lite</v>
      </c>
      <c r="C42" s="224">
        <f>'Terminal offers'!$B$58</f>
        <v>0</v>
      </c>
      <c r="D42" s="62">
        <f>'Terminal offers'!$C$58</f>
        <v>13.200000000000001</v>
      </c>
      <c r="E42" s="62">
        <f>'Terminal offers'!$D$58</f>
        <v>0</v>
      </c>
      <c r="F42" s="226">
        <f>'Terminal offers'!$E$58</f>
        <v>0.27500000000000002</v>
      </c>
      <c r="G42" s="23">
        <f>'Terminal offers'!$F$58</f>
        <v>2.0900000000000002E-2</v>
      </c>
      <c r="H42" s="24">
        <f>IF('Terminal offers'!$G$58&gt;0,'Terminal offers'!$G$58,'Terminal offers'!$G$68)</f>
        <v>2.3276000000000005E-2</v>
      </c>
      <c r="I42" s="24">
        <f>IF('Terminal offers'!$H$58&gt;0,'Terminal offers'!$H$58,'Terminal offers'!$H$68)</f>
        <v>2.9711000000000001E-2</v>
      </c>
      <c r="J42" s="32">
        <f>'Terminal offers'!$J$58</f>
        <v>0</v>
      </c>
      <c r="K42" s="65">
        <f t="shared" si="6"/>
        <v>0</v>
      </c>
      <c r="L42" s="26">
        <f t="shared" si="7"/>
        <v>13.200000000000001</v>
      </c>
      <c r="M42" s="25">
        <f>(C58*F42)+(G42*C54)</f>
        <v>34.487382235135144</v>
      </c>
      <c r="N42" s="65">
        <f>(H42*C55)+(I42*C56)</f>
        <v>7.9826422865859987</v>
      </c>
      <c r="O42" s="28">
        <f t="shared" si="8"/>
        <v>55.670024521721146</v>
      </c>
      <c r="P42" s="62">
        <f t="shared" si="9"/>
        <v>2030.9065734349974</v>
      </c>
      <c r="Q42" s="151">
        <f t="shared" si="10"/>
        <v>2.7411415793274552E-2</v>
      </c>
      <c r="R42" s="13"/>
    </row>
    <row r="43" spans="1:18">
      <c r="A43" s="13"/>
      <c r="B43" s="118" t="str">
        <f>'Terminal offers'!$A$65</f>
        <v>St George Mobile PayWay</v>
      </c>
      <c r="C43" s="122">
        <f>'Terminal offers'!$B$65</f>
        <v>100</v>
      </c>
      <c r="D43" s="113">
        <f>'Terminal offers'!$C$65</f>
        <v>0</v>
      </c>
      <c r="E43" s="113">
        <f>'Terminal offers'!$D$65</f>
        <v>0</v>
      </c>
      <c r="F43" s="230">
        <f>'Terminal offers'!$E$65</f>
        <v>0.3</v>
      </c>
      <c r="G43" s="114">
        <f>'Terminal offers'!$F$65</f>
        <v>2.4E-2</v>
      </c>
      <c r="H43" s="115">
        <f>IF('Terminal offers'!$G$65&gt;0,'Terminal offers'!$G$65,'Terminal offers'!$G$68)</f>
        <v>2.3276000000000005E-2</v>
      </c>
      <c r="I43" s="115">
        <f>IF('Terminal offers'!$H$65&gt;0,'Terminal offers'!$H$65,'Terminal offers'!$H$68)</f>
        <v>2.9711000000000001E-2</v>
      </c>
      <c r="J43" s="119">
        <f>'Terminal offers'!$J$65</f>
        <v>0</v>
      </c>
      <c r="K43" s="122">
        <f t="shared" si="6"/>
        <v>2.7777777777777777</v>
      </c>
      <c r="L43" s="120">
        <f t="shared" si="7"/>
        <v>0</v>
      </c>
      <c r="M43" s="121">
        <f>(F43*C58)+(G43*C54)</f>
        <v>39.555815381175321</v>
      </c>
      <c r="N43" s="116">
        <f>(H43*C55)+(I43*C56)</f>
        <v>7.9826422865859987</v>
      </c>
      <c r="O43" s="117">
        <f t="shared" si="8"/>
        <v>50.3162354455391</v>
      </c>
      <c r="P43" s="113">
        <f t="shared" si="9"/>
        <v>2030.9065734349974</v>
      </c>
      <c r="Q43" s="150">
        <f t="shared" si="10"/>
        <v>2.4775258548912937E-2</v>
      </c>
      <c r="R43" s="13"/>
    </row>
    <row r="44" spans="1:18">
      <c r="A44" s="13"/>
      <c r="B44" s="31" t="str">
        <f>'Terminal offers'!$A$60</f>
        <v>Mint mPOS</v>
      </c>
      <c r="C44" s="27">
        <f>'Terminal offers'!$B$60</f>
        <v>0</v>
      </c>
      <c r="D44" s="27">
        <f>IF(C50&gt;2000,0,10)</f>
        <v>0</v>
      </c>
      <c r="E44" s="62">
        <f>'Terminal offers'!$D$60</f>
        <v>0</v>
      </c>
      <c r="F44" s="226">
        <f>'Terminal offers'!$E$60</f>
        <v>0.25</v>
      </c>
      <c r="G44" s="23">
        <f>'Terminal offers'!$F$60</f>
        <v>1.6899999999999998E-2</v>
      </c>
      <c r="H44" s="24">
        <f>IF('Terminal offers'!$G$60&gt;0,'Terminal offers'!$G$60,'Terminal offers'!$G$68)</f>
        <v>2.3276000000000005E-2</v>
      </c>
      <c r="I44" s="24">
        <f>IF('Terminal offers'!$H$60&gt;0,'Terminal offers'!$H$60,'Terminal offers'!$H$68)</f>
        <v>2.9711000000000001E-2</v>
      </c>
      <c r="J44" s="25">
        <f>'Terminal offers'!$J$60</f>
        <v>0</v>
      </c>
      <c r="K44" s="65">
        <f t="shared" si="6"/>
        <v>0</v>
      </c>
      <c r="L44" s="26">
        <f t="shared" si="7"/>
        <v>0</v>
      </c>
      <c r="M44" s="32">
        <f>(F44*C58)+(G44*C54)</f>
        <v>27.969036654687667</v>
      </c>
      <c r="N44" s="65">
        <f>(H44*C55)+(I44*C56)</f>
        <v>7.9826422865859987</v>
      </c>
      <c r="O44" s="28">
        <f t="shared" si="8"/>
        <v>35.951678941273663</v>
      </c>
      <c r="P44" s="62">
        <f t="shared" si="9"/>
        <v>2030.9065734349974</v>
      </c>
      <c r="Q44" s="151">
        <f t="shared" si="10"/>
        <v>1.7702281046078072E-2</v>
      </c>
      <c r="R44" s="13"/>
    </row>
    <row r="45" spans="1:18">
      <c r="A45" s="13"/>
      <c r="B45" s="118" t="str">
        <f>'Terminal offers'!$A$62</f>
        <v>PayPal Here</v>
      </c>
      <c r="C45" s="122">
        <f>'Terminal offers'!$B$62</f>
        <v>99</v>
      </c>
      <c r="D45" s="122">
        <f>'Terminal offers'!$C$62</f>
        <v>0</v>
      </c>
      <c r="E45" s="113">
        <f>'Terminal offers'!$D$62</f>
        <v>0</v>
      </c>
      <c r="F45" s="371">
        <f>'Terminal offers'!$E$62</f>
        <v>1.95E-2</v>
      </c>
      <c r="G45" s="372"/>
      <c r="H45" s="115">
        <f>IF('Terminal offers'!$G$62&gt;0,'Terminal offers'!$G$62,'Terminal offers'!$G$68)</f>
        <v>1.95E-2</v>
      </c>
      <c r="I45" s="115">
        <f>IF('Terminal offers'!$H$62&gt;0,'Terminal offers'!$H$62,'Terminal offers'!$H$68)</f>
        <v>2.9711000000000001E-2</v>
      </c>
      <c r="J45" s="119">
        <f>'Terminal offers'!$J$62</f>
        <v>0</v>
      </c>
      <c r="K45" s="122">
        <f t="shared" si="6"/>
        <v>2.75</v>
      </c>
      <c r="L45" s="120">
        <f t="shared" si="7"/>
        <v>0</v>
      </c>
      <c r="M45" s="121">
        <f>F45*(C53+C54)</f>
        <v>33.065633849036004</v>
      </c>
      <c r="N45" s="116">
        <f>(H45*C55)+(I45*C56)</f>
        <v>6.8222826823119007</v>
      </c>
      <c r="O45" s="117">
        <f t="shared" si="8"/>
        <v>42.637916531347905</v>
      </c>
      <c r="P45" s="113">
        <f t="shared" si="9"/>
        <v>2030.9065734349974</v>
      </c>
      <c r="Q45" s="150">
        <f t="shared" si="10"/>
        <v>2.0994523868831605E-2</v>
      </c>
      <c r="R45" s="13"/>
    </row>
    <row r="46" spans="1:18">
      <c r="A46" s="13"/>
      <c r="B46" s="31" t="str">
        <f>'Terminal offers'!$A$64</f>
        <v>Square</v>
      </c>
      <c r="C46" s="27">
        <f>'Terminal offers'!$B$64</f>
        <v>59</v>
      </c>
      <c r="D46" s="62">
        <f>'Terminal offers'!$C$64</f>
        <v>0</v>
      </c>
      <c r="E46" s="62">
        <f>'Terminal offers'!$D$64</f>
        <v>0</v>
      </c>
      <c r="F46" s="353">
        <f>'Terminal offers'!$E$64</f>
        <v>1.9E-2</v>
      </c>
      <c r="G46" s="354"/>
      <c r="H46" s="24">
        <f>IF('Terminal offers'!$G$64&gt;0,'Terminal offers'!$G$64,'Terminal offers'!$G$68)</f>
        <v>1.9E-2</v>
      </c>
      <c r="I46" s="24">
        <f>IF('Terminal offers'!$H$64&gt;0,'Terminal offers'!$H$64,'Terminal offers'!$H$68)</f>
        <v>2.9711000000000001E-2</v>
      </c>
      <c r="J46" s="25">
        <f>'Terminal offers'!$J$64</f>
        <v>0</v>
      </c>
      <c r="K46" s="65">
        <f t="shared" si="6"/>
        <v>1.6388888888888888</v>
      </c>
      <c r="L46" s="26">
        <f t="shared" si="7"/>
        <v>0</v>
      </c>
      <c r="M46" s="25">
        <f>F46*(C53+C54)</f>
        <v>32.217797083676103</v>
      </c>
      <c r="N46" s="65">
        <f>(H46*C55)+(I46*C56)</f>
        <v>6.6686333703052671</v>
      </c>
      <c r="O46" s="28">
        <f t="shared" si="8"/>
        <v>40.525319342870255</v>
      </c>
      <c r="P46" s="62">
        <f t="shared" si="9"/>
        <v>2030.9065734349974</v>
      </c>
      <c r="Q46" s="151">
        <f>(P46+O46)/P46-1</f>
        <v>1.9954300149970683E-2</v>
      </c>
      <c r="R46" s="13"/>
    </row>
    <row r="47" spans="1:18">
      <c r="A47" s="13"/>
      <c r="B47" s="137" t="str">
        <f>'Terminal offers'!$A$63</f>
        <v>Quest PocketPay</v>
      </c>
      <c r="C47" s="131">
        <f>'Terminal offers'!$B$63</f>
        <v>0</v>
      </c>
      <c r="D47" s="131">
        <f>'Terminal offers'!$C$63</f>
        <v>25.3</v>
      </c>
      <c r="E47" s="140">
        <f>'Terminal offers'!$D$63</f>
        <v>0</v>
      </c>
      <c r="F47" s="231">
        <f>'Terminal offers'!$E$63</f>
        <v>0.30800000000000005</v>
      </c>
      <c r="G47" s="232">
        <f>'Terminal offers'!$F$63</f>
        <v>2.0020000000000003E-2</v>
      </c>
      <c r="H47" s="128">
        <f>IF('Terminal offers'!$G$63&gt;0,'Terminal offers'!$G$63,'Terminal offers'!$G$68)</f>
        <v>2.3276000000000005E-2</v>
      </c>
      <c r="I47" s="128">
        <f>IF('Terminal offers'!$H$63&gt;0,'Terminal offers'!$H$63,'Terminal offers'!$H$68)</f>
        <v>2.9711000000000001E-2</v>
      </c>
      <c r="J47" s="129">
        <f>'Terminal offers'!$J$63</f>
        <v>0</v>
      </c>
      <c r="K47" s="131">
        <f t="shared" si="6"/>
        <v>0</v>
      </c>
      <c r="L47" s="130">
        <f t="shared" si="7"/>
        <v>25.3</v>
      </c>
      <c r="M47" s="138">
        <f>((F47*C58)+(G47*C54))</f>
        <v>33.167753294715929</v>
      </c>
      <c r="N47" s="139">
        <f>(H47*C55)+(I47*C56)</f>
        <v>7.9826422865859987</v>
      </c>
      <c r="O47" s="132">
        <f t="shared" si="8"/>
        <v>66.450395581301933</v>
      </c>
      <c r="P47" s="140">
        <f>$C$50</f>
        <v>2030.9065734349974</v>
      </c>
      <c r="Q47" s="152">
        <f>(P47+O47)/P47-1</f>
        <v>3.2719572850123946E-2</v>
      </c>
      <c r="R47" s="13"/>
    </row>
    <row r="48" spans="1:18">
      <c r="A48" s="13"/>
      <c r="B48" s="67"/>
      <c r="C48" s="15"/>
      <c r="D48" s="16"/>
      <c r="E48" s="16"/>
      <c r="F48" s="16"/>
      <c r="G48" s="16"/>
      <c r="H48" s="16"/>
      <c r="I48" s="16"/>
      <c r="J48" s="15"/>
      <c r="K48" s="15"/>
      <c r="L48" s="15"/>
      <c r="M48" s="15"/>
      <c r="N48" s="15"/>
      <c r="O48" s="15"/>
      <c r="P48" s="134" t="s">
        <v>13</v>
      </c>
      <c r="Q48" s="144">
        <f>AVERAGE(Q38:Q47)</f>
        <v>2.3498578446428442E-2</v>
      </c>
      <c r="R48" s="13"/>
    </row>
    <row r="49" spans="1:18">
      <c r="A49" s="13"/>
      <c r="B49" s="40" t="s">
        <v>108</v>
      </c>
      <c r="C49" s="41"/>
      <c r="D49" s="251"/>
      <c r="E49" s="251"/>
      <c r="F49" s="251"/>
      <c r="G49" s="251"/>
      <c r="H49" s="251"/>
      <c r="I49" s="251"/>
      <c r="J49" s="251"/>
      <c r="K49" s="251"/>
      <c r="L49" s="251"/>
      <c r="M49" s="251"/>
      <c r="N49" s="251"/>
      <c r="O49" s="251"/>
      <c r="P49" s="135" t="s">
        <v>17</v>
      </c>
      <c r="Q49" s="145">
        <f>MIN(Q38:Q47)</f>
        <v>1.7702281046078072E-2</v>
      </c>
      <c r="R49" s="13"/>
    </row>
    <row r="50" spans="1:18">
      <c r="A50" s="13"/>
      <c r="B50" s="42" t="s">
        <v>33</v>
      </c>
      <c r="C50" s="43">
        <f>'1. Monthly revenue &amp; trips '!C6*0.95</f>
        <v>2030.9065734349974</v>
      </c>
      <c r="D50" s="251"/>
      <c r="E50" s="251"/>
      <c r="F50" s="251"/>
      <c r="G50" s="251"/>
      <c r="H50" s="251"/>
      <c r="I50" s="251"/>
      <c r="J50" s="251"/>
      <c r="K50" s="251"/>
      <c r="L50" s="251"/>
      <c r="M50" s="251"/>
      <c r="N50" s="251"/>
      <c r="O50" s="251"/>
      <c r="P50" s="136" t="s">
        <v>18</v>
      </c>
      <c r="Q50" s="146">
        <f>MAX(Q38:Q47)</f>
        <v>3.2719572850123946E-2</v>
      </c>
      <c r="R50" s="13"/>
    </row>
    <row r="51" spans="1:18">
      <c r="A51" s="13"/>
      <c r="B51" s="42" t="s">
        <v>21</v>
      </c>
      <c r="C51" s="45">
        <f>'8. Monthly revenue and trips'!C4</f>
        <v>28.489485170139162</v>
      </c>
      <c r="D51" s="251"/>
      <c r="E51" s="251"/>
      <c r="F51" s="251"/>
      <c r="G51" s="251"/>
      <c r="H51" s="251"/>
      <c r="I51" s="251"/>
      <c r="J51" s="251"/>
      <c r="K51" s="251"/>
      <c r="L51" s="251"/>
      <c r="M51" s="251"/>
      <c r="N51" s="251"/>
      <c r="O51" s="251"/>
      <c r="P51" s="15"/>
      <c r="Q51" s="15"/>
      <c r="R51" s="13"/>
    </row>
    <row r="52" spans="1:18">
      <c r="A52" s="13"/>
      <c r="B52" s="42"/>
      <c r="C52" s="45"/>
      <c r="D52" s="251"/>
      <c r="E52" s="251"/>
      <c r="F52" s="251"/>
      <c r="G52" s="251"/>
      <c r="H52" s="251"/>
      <c r="I52" s="251"/>
      <c r="J52" s="251"/>
      <c r="K52" s="251"/>
      <c r="L52" s="251"/>
      <c r="M52" s="251"/>
      <c r="N52" s="251"/>
      <c r="O52" s="251"/>
      <c r="P52" s="15"/>
      <c r="Q52" s="15"/>
      <c r="R52" s="13"/>
    </row>
    <row r="53" spans="1:18">
      <c r="A53" s="13"/>
      <c r="B53" s="42" t="s">
        <v>34</v>
      </c>
      <c r="C53" s="46">
        <f>'8. Monthly revenue and trips'!C19*'6. Sensitivity(mPOS) '!C50</f>
        <v>84.659714711697916</v>
      </c>
      <c r="D53" s="251"/>
      <c r="E53" s="251"/>
      <c r="F53" s="251"/>
      <c r="G53" s="251"/>
      <c r="H53" s="251"/>
      <c r="I53" s="251"/>
      <c r="J53" s="251"/>
      <c r="K53" s="251"/>
      <c r="L53" s="251"/>
      <c r="M53" s="251"/>
      <c r="N53" s="251"/>
      <c r="O53" s="251"/>
      <c r="P53" s="15"/>
      <c r="Q53" s="15"/>
      <c r="R53" s="13"/>
    </row>
    <row r="54" spans="1:18">
      <c r="A54" s="13"/>
      <c r="B54" s="42" t="s">
        <v>197</v>
      </c>
      <c r="C54" s="46">
        <f>'8. Monthly revenue and trips'!C20*'6. Sensitivity(mPOS) '!C50</f>
        <v>1611.0138160080971</v>
      </c>
      <c r="D54" s="251"/>
      <c r="E54" s="251"/>
      <c r="F54" s="251"/>
      <c r="G54" s="251"/>
      <c r="H54" s="251"/>
      <c r="I54" s="251"/>
      <c r="J54" s="251"/>
      <c r="K54" s="251"/>
      <c r="L54" s="251"/>
      <c r="M54" s="251"/>
      <c r="N54" s="251"/>
      <c r="O54" s="251"/>
      <c r="P54" s="15"/>
      <c r="Q54" s="15"/>
      <c r="R54" s="13"/>
    </row>
    <row r="55" spans="1:18">
      <c r="A55" s="13"/>
      <c r="B55" s="42" t="s">
        <v>39</v>
      </c>
      <c r="C55" s="46">
        <f>'8. Monthly revenue and trips'!C21*'6. Sensitivity(mPOS) '!C50</f>
        <v>307.29862401326704</v>
      </c>
      <c r="D55" s="251"/>
      <c r="E55" s="251"/>
      <c r="F55" s="251"/>
      <c r="G55" s="251"/>
      <c r="H55" s="251"/>
      <c r="I55" s="251"/>
      <c r="J55" s="251"/>
      <c r="K55" s="251"/>
      <c r="L55" s="251"/>
      <c r="M55" s="251"/>
      <c r="N55" s="251"/>
      <c r="O55" s="251"/>
      <c r="P55" s="15"/>
      <c r="Q55" s="15"/>
      <c r="R55" s="13"/>
    </row>
    <row r="56" spans="1:18">
      <c r="A56" s="13"/>
      <c r="B56" s="42" t="s">
        <v>114</v>
      </c>
      <c r="C56" s="46">
        <f>'8. Monthly revenue and trips'!C22*'6. Sensitivity(mPOS) '!C50</f>
        <v>27.934418701935098</v>
      </c>
      <c r="D56" s="251"/>
      <c r="E56" s="251"/>
      <c r="F56" s="251"/>
      <c r="G56" s="251"/>
      <c r="H56" s="251"/>
      <c r="I56" s="251"/>
      <c r="J56" s="251"/>
      <c r="K56" s="251"/>
      <c r="L56" s="251"/>
      <c r="M56" s="251"/>
      <c r="N56" s="251"/>
      <c r="O56" s="251"/>
      <c r="P56" s="15"/>
      <c r="Q56" s="15"/>
      <c r="R56" s="13"/>
    </row>
    <row r="57" spans="1:18">
      <c r="A57" s="13"/>
      <c r="B57" s="42"/>
      <c r="C57" s="46"/>
      <c r="D57" s="251"/>
      <c r="E57" s="251"/>
      <c r="F57" s="251"/>
      <c r="G57" s="251"/>
      <c r="H57" s="251"/>
      <c r="I57" s="251"/>
      <c r="J57" s="251"/>
      <c r="K57" s="251"/>
      <c r="L57" s="251"/>
      <c r="M57" s="251"/>
      <c r="N57" s="251"/>
      <c r="O57" s="251"/>
      <c r="P57" s="15"/>
      <c r="Q57" s="15"/>
      <c r="R57" s="13"/>
    </row>
    <row r="58" spans="1:18">
      <c r="A58" s="13"/>
      <c r="B58" s="42" t="s">
        <v>38</v>
      </c>
      <c r="C58" s="51">
        <f>C53/$C$51</f>
        <v>2.971612656603313</v>
      </c>
      <c r="D58" s="251"/>
      <c r="E58" s="251"/>
      <c r="F58" s="251"/>
      <c r="G58" s="251"/>
      <c r="H58" s="251"/>
      <c r="I58" s="251"/>
      <c r="J58" s="251"/>
      <c r="K58" s="251"/>
      <c r="L58" s="251"/>
      <c r="M58" s="251"/>
      <c r="N58" s="251"/>
      <c r="O58" s="251"/>
      <c r="P58" s="15"/>
      <c r="Q58" s="15"/>
      <c r="R58" s="13"/>
    </row>
    <row r="59" spans="1:18">
      <c r="A59" s="13"/>
      <c r="B59" s="42" t="s">
        <v>198</v>
      </c>
      <c r="C59" s="51">
        <f t="shared" ref="C59:C60" si="11">C54/$C$51</f>
        <v>56.547663335687716</v>
      </c>
      <c r="D59" s="251"/>
      <c r="E59" s="251"/>
      <c r="F59" s="251"/>
      <c r="G59" s="251"/>
      <c r="H59" s="251"/>
      <c r="I59" s="251"/>
      <c r="J59" s="251"/>
      <c r="K59" s="251"/>
      <c r="L59" s="251"/>
      <c r="M59" s="251"/>
      <c r="N59" s="251"/>
      <c r="O59" s="251"/>
      <c r="P59" s="15"/>
      <c r="Q59" s="15"/>
      <c r="R59" s="13"/>
    </row>
    <row r="60" spans="1:18">
      <c r="A60" s="13"/>
      <c r="B60" s="42" t="s">
        <v>41</v>
      </c>
      <c r="C60" s="51">
        <f t="shared" si="11"/>
        <v>10.786387404969943</v>
      </c>
      <c r="D60" s="251"/>
      <c r="E60" s="251"/>
      <c r="F60" s="251"/>
      <c r="G60" s="251"/>
      <c r="H60" s="251"/>
      <c r="I60" s="251"/>
      <c r="J60" s="251"/>
      <c r="K60" s="251"/>
      <c r="L60" s="251"/>
      <c r="M60" s="251"/>
      <c r="N60" s="251"/>
      <c r="O60" s="251"/>
      <c r="P60" s="15"/>
      <c r="Q60" s="15"/>
      <c r="R60" s="13"/>
    </row>
    <row r="61" spans="1:18">
      <c r="A61" s="13"/>
      <c r="B61" s="44" t="s">
        <v>113</v>
      </c>
      <c r="C61" s="54">
        <f>C56/$C$51</f>
        <v>0.98051679541103642</v>
      </c>
      <c r="D61" s="251"/>
      <c r="E61" s="251"/>
      <c r="F61" s="251"/>
      <c r="G61" s="251"/>
      <c r="H61" s="251"/>
      <c r="I61" s="251"/>
      <c r="J61" s="251"/>
      <c r="K61" s="251"/>
      <c r="L61" s="251"/>
      <c r="M61" s="251"/>
      <c r="N61" s="251"/>
      <c r="O61" s="251"/>
      <c r="P61" s="15"/>
      <c r="Q61" s="15"/>
      <c r="R61" s="13"/>
    </row>
    <row r="62" spans="1:18" ht="12.75" customHeight="1">
      <c r="A62" s="13"/>
      <c r="B62" s="13"/>
      <c r="C62" s="13"/>
      <c r="D62" s="14"/>
      <c r="E62" s="14"/>
      <c r="F62" s="14"/>
      <c r="G62" s="14"/>
      <c r="H62" s="14"/>
      <c r="I62" s="14"/>
      <c r="J62" s="13"/>
      <c r="K62" s="13"/>
      <c r="L62" s="13"/>
      <c r="M62" s="13"/>
      <c r="N62" s="13"/>
      <c r="O62" s="13"/>
      <c r="P62" s="13"/>
      <c r="Q62" s="13"/>
      <c r="R62" s="13"/>
    </row>
    <row r="63" spans="1:18" ht="12.75" customHeight="1">
      <c r="A63" s="13"/>
      <c r="B63" s="13"/>
      <c r="C63" s="13"/>
      <c r="D63" s="14"/>
      <c r="E63" s="14"/>
      <c r="F63" s="14"/>
      <c r="G63" s="14"/>
      <c r="H63" s="14"/>
      <c r="I63" s="14"/>
      <c r="J63" s="13"/>
      <c r="K63" s="13"/>
      <c r="L63" s="13"/>
      <c r="M63" s="13"/>
      <c r="N63" s="13"/>
      <c r="O63" s="13"/>
      <c r="P63" s="13"/>
      <c r="Q63" s="13"/>
      <c r="R63" s="13"/>
    </row>
    <row r="64" spans="1:18" ht="28.5" customHeight="1">
      <c r="A64" s="13"/>
      <c r="B64" s="375" t="s">
        <v>111</v>
      </c>
      <c r="C64" s="376"/>
      <c r="D64" s="376"/>
      <c r="E64" s="376"/>
      <c r="F64" s="376"/>
      <c r="G64" s="376"/>
      <c r="H64" s="376"/>
      <c r="I64" s="376"/>
      <c r="J64" s="376"/>
      <c r="K64" s="376"/>
      <c r="L64" s="376"/>
      <c r="M64" s="376"/>
      <c r="N64" s="376"/>
      <c r="O64" s="376"/>
      <c r="P64" s="376"/>
      <c r="Q64" s="377"/>
      <c r="R64" s="13"/>
    </row>
    <row r="65" spans="1:18">
      <c r="A65" s="13"/>
      <c r="B65" s="13"/>
      <c r="C65" s="13"/>
      <c r="D65" s="14"/>
      <c r="E65" s="14"/>
      <c r="F65" s="14"/>
      <c r="G65" s="14"/>
      <c r="H65" s="14"/>
      <c r="I65" s="14"/>
      <c r="J65" s="13"/>
      <c r="K65" s="13"/>
      <c r="L65" s="13"/>
      <c r="M65" s="13"/>
      <c r="N65" s="13"/>
      <c r="O65" s="13"/>
      <c r="P65" s="13"/>
      <c r="Q65" s="13"/>
      <c r="R65" s="13"/>
    </row>
    <row r="66" spans="1:18" ht="12" customHeight="1">
      <c r="A66" s="13"/>
      <c r="B66" s="17"/>
      <c r="C66" s="358" t="s">
        <v>10</v>
      </c>
      <c r="D66" s="359"/>
      <c r="E66" s="359"/>
      <c r="F66" s="359"/>
      <c r="G66" s="359"/>
      <c r="H66" s="359"/>
      <c r="I66" s="359"/>
      <c r="J66" s="359"/>
      <c r="K66" s="361" t="s">
        <v>101</v>
      </c>
      <c r="L66" s="362"/>
      <c r="M66" s="362"/>
      <c r="N66" s="362"/>
      <c r="O66" s="363"/>
      <c r="P66" s="18" t="s">
        <v>8</v>
      </c>
      <c r="Q66" s="351" t="s">
        <v>104</v>
      </c>
      <c r="R66" s="13"/>
    </row>
    <row r="67" spans="1:18" ht="33.75">
      <c r="A67" s="13"/>
      <c r="B67" s="73" t="s">
        <v>25</v>
      </c>
      <c r="C67" s="20" t="s">
        <v>27</v>
      </c>
      <c r="D67" s="20" t="s">
        <v>20</v>
      </c>
      <c r="E67" s="20" t="s">
        <v>19</v>
      </c>
      <c r="F67" s="20" t="s">
        <v>94</v>
      </c>
      <c r="G67" s="72" t="s">
        <v>102</v>
      </c>
      <c r="H67" s="20" t="s">
        <v>95</v>
      </c>
      <c r="I67" s="20" t="s">
        <v>96</v>
      </c>
      <c r="J67" s="71" t="s">
        <v>14</v>
      </c>
      <c r="K67" s="20" t="s">
        <v>97</v>
      </c>
      <c r="L67" s="20" t="s">
        <v>16</v>
      </c>
      <c r="M67" s="61" t="s">
        <v>98</v>
      </c>
      <c r="N67" s="20" t="s">
        <v>99</v>
      </c>
      <c r="O67" s="75" t="s">
        <v>15</v>
      </c>
      <c r="P67" s="74" t="s">
        <v>100</v>
      </c>
      <c r="Q67" s="352"/>
      <c r="R67" s="13"/>
    </row>
    <row r="68" spans="1:18">
      <c r="A68" s="13"/>
      <c r="B68" s="21" t="str">
        <f>'Terminal offers'!$A$57</f>
        <v>ANZ Fastpay</v>
      </c>
      <c r="C68" s="65">
        <f>'Terminal offers'!$B$57</f>
        <v>0</v>
      </c>
      <c r="D68" s="62">
        <f>'Terminal offers'!$C$57</f>
        <v>5</v>
      </c>
      <c r="E68" s="62">
        <f>'Terminal offers'!$D$57</f>
        <v>0</v>
      </c>
      <c r="F68" s="228">
        <f>'Terminal offers'!$E$57</f>
        <v>0.3</v>
      </c>
      <c r="G68" s="23">
        <f>'Terminal offers'!$F$57</f>
        <v>2.3E-2</v>
      </c>
      <c r="H68" s="109">
        <f>IF('Terminal offers'!$G$57&gt;0,'Terminal offers'!G118,'Terminal offers'!$G$68)</f>
        <v>2.3276000000000005E-2</v>
      </c>
      <c r="I68" s="109">
        <f>IF('Terminal offers'!$H$57&gt;0,'Terminal offers'!$H$57,'Terminal offers'!$H$68)</f>
        <v>2.9711000000000001E-2</v>
      </c>
      <c r="J68" s="63">
        <f>'Terminal offers'!$J$57</f>
        <v>0</v>
      </c>
      <c r="K68" s="223">
        <f t="shared" ref="K68:K77" si="12">C68/36</f>
        <v>0</v>
      </c>
      <c r="L68" s="62">
        <f t="shared" ref="L68:L77" si="13">D68+J68</f>
        <v>5</v>
      </c>
      <c r="M68" s="64">
        <f>(F68*C88)+MAX((G68*C84),'Terminal offers'!I57)</f>
        <v>43.936086022825222</v>
      </c>
      <c r="N68" s="65">
        <f>(H68*C85)+(I68*C86)</f>
        <v>9.2430594897311593</v>
      </c>
      <c r="O68" s="28">
        <f>SUM(K68:N68)</f>
        <v>58.179145512556381</v>
      </c>
      <c r="P68" s="62">
        <f t="shared" ref="P68:P77" si="14">$C$80</f>
        <v>2351.5760323984186</v>
      </c>
      <c r="Q68" s="149">
        <f>(P68+O68)/P68-1</f>
        <v>2.4740490935017068E-2</v>
      </c>
      <c r="R68" s="13"/>
    </row>
    <row r="69" spans="1:18">
      <c r="A69" s="13"/>
      <c r="B69" s="118" t="str">
        <f>'Terminal offers'!$A$59</f>
        <v>Commonwealth Bank Emmy</v>
      </c>
      <c r="C69" s="222">
        <f>'Terminal offers'!$B$59</f>
        <v>0</v>
      </c>
      <c r="D69" s="113">
        <f>'Terminal offers'!$C$59</f>
        <v>30</v>
      </c>
      <c r="E69" s="113">
        <f>'Terminal offers'!$D$59</f>
        <v>1500</v>
      </c>
      <c r="F69" s="371">
        <f>'Terminal offers'!$E$59</f>
        <v>1.4999999999999999E-2</v>
      </c>
      <c r="G69" s="372"/>
      <c r="H69" s="115">
        <f>IF('Terminal offers'!$G$59&gt;0,'Terminal offers'!$G$59,'Terminal offers'!$G$68)</f>
        <v>2.3276000000000005E-2</v>
      </c>
      <c r="I69" s="115">
        <f>IF('Terminal offers'!$H$59&gt;0,'Terminal offers'!$H$59,'Terminal offers'!$H$68)</f>
        <v>2.9711000000000001E-2</v>
      </c>
      <c r="J69" s="121">
        <f>'Terminal offers'!$J$59</f>
        <v>0</v>
      </c>
      <c r="K69" s="122">
        <f t="shared" si="12"/>
        <v>0</v>
      </c>
      <c r="L69" s="120">
        <f t="shared" si="13"/>
        <v>30</v>
      </c>
      <c r="M69" s="121">
        <f>IF((C83+C84)&lt;=E69,0,F69*((C83+C84)-E69))</f>
        <v>6.9511718493438135</v>
      </c>
      <c r="N69" s="116">
        <f>(H69*C85)+(I69*C86)</f>
        <v>9.2430594897311593</v>
      </c>
      <c r="O69" s="117">
        <f>SUM(K69:N69)</f>
        <v>46.194231339074975</v>
      </c>
      <c r="P69" s="113">
        <f t="shared" si="14"/>
        <v>2351.5760323984186</v>
      </c>
      <c r="Q69" s="150">
        <f>(P69+O69)/P69-1</f>
        <v>1.9643945465782187E-2</v>
      </c>
      <c r="R69" s="13"/>
    </row>
    <row r="70" spans="1:18">
      <c r="A70" s="13"/>
      <c r="B70" s="31" t="str">
        <f>'Terminal offers'!$A$61</f>
        <v>NAB Now</v>
      </c>
      <c r="C70" s="62">
        <f>'Terminal offers'!$B$61</f>
        <v>135</v>
      </c>
      <c r="D70" s="62">
        <f>'Terminal offers'!$C$61</f>
        <v>10</v>
      </c>
      <c r="E70" s="62">
        <f>'Terminal offers'!$D$61</f>
        <v>0</v>
      </c>
      <c r="F70" s="229">
        <f>'Terminal offers'!$E$61</f>
        <v>0.3</v>
      </c>
      <c r="G70" s="23">
        <f>'Terminal offers'!$F$61</f>
        <v>1.7000000000000001E-2</v>
      </c>
      <c r="H70" s="24">
        <f>IF('Terminal offers'!$G$61&gt;0,'Terminal offers'!$G$61,'Terminal offers'!$G$68)</f>
        <v>2.3276000000000005E-2</v>
      </c>
      <c r="I70" s="24">
        <f>IF('Terminal offers'!$H$61&gt;0,'Terminal offers'!$H$61,'Terminal offers'!$H$68)</f>
        <v>2.9711000000000001E-2</v>
      </c>
      <c r="J70" s="25">
        <f>'Terminal offers'!$J$61</f>
        <v>0</v>
      </c>
      <c r="K70" s="65">
        <f t="shared" si="12"/>
        <v>3.75</v>
      </c>
      <c r="L70" s="26">
        <f t="shared" si="13"/>
        <v>10</v>
      </c>
      <c r="M70" s="66">
        <f>MAX((F70*C88)+(G70*C84),'Terminal offers'!I61)</f>
        <v>32.743779511611073</v>
      </c>
      <c r="N70" s="65">
        <f>(H70*C85)+(I70*C86)</f>
        <v>9.2430594897311593</v>
      </c>
      <c r="O70" s="28">
        <f t="shared" ref="O70:O77" si="15">SUM(K70:N70)</f>
        <v>55.736839001342233</v>
      </c>
      <c r="P70" s="62">
        <f t="shared" si="14"/>
        <v>2351.5760323984186</v>
      </c>
      <c r="Q70" s="151">
        <f t="shared" ref="Q70:Q75" si="16">(P70+O70)/P70-1</f>
        <v>2.3701908096288582E-2</v>
      </c>
      <c r="R70" s="13"/>
    </row>
    <row r="71" spans="1:18">
      <c r="A71" s="13"/>
      <c r="B71" s="118" t="str">
        <f>'Terminal offers'!$A$66</f>
        <v>Westpac Genie</v>
      </c>
      <c r="C71" s="122">
        <f>'Terminal offers'!$B$66</f>
        <v>100</v>
      </c>
      <c r="D71" s="113">
        <f>'Terminal offers'!$C$66</f>
        <v>0</v>
      </c>
      <c r="E71" s="113">
        <f>'Terminal offers'!$D$66</f>
        <v>0</v>
      </c>
      <c r="F71" s="371">
        <f>'Terminal offers'!$E$66</f>
        <v>1.95E-2</v>
      </c>
      <c r="G71" s="372"/>
      <c r="H71" s="115">
        <f>IF('Terminal offers'!$G$66&gt;0,'Terminal offers'!$G$66,'Terminal offers'!$G$68)</f>
        <v>2.3276000000000005E-2</v>
      </c>
      <c r="I71" s="115">
        <f>IF('Terminal offers'!$H$66&gt;0,'Terminal offers'!$H$66,'Terminal offers'!$H$68)</f>
        <v>2.9711000000000001E-2</v>
      </c>
      <c r="J71" s="119">
        <f>'Terminal offers'!$J$66</f>
        <v>0</v>
      </c>
      <c r="K71" s="122">
        <f t="shared" si="12"/>
        <v>2.7777777777777777</v>
      </c>
      <c r="L71" s="120">
        <f t="shared" si="13"/>
        <v>0</v>
      </c>
      <c r="M71" s="121">
        <f>F71*(C83+C84)</f>
        <v>38.286523404146955</v>
      </c>
      <c r="N71" s="116">
        <f>(H71*C85)+(I71*C86)</f>
        <v>9.2430594897311593</v>
      </c>
      <c r="O71" s="117">
        <f t="shared" si="15"/>
        <v>50.307360671655893</v>
      </c>
      <c r="P71" s="113">
        <f t="shared" si="14"/>
        <v>2351.5760323984186</v>
      </c>
      <c r="Q71" s="150">
        <f t="shared" si="16"/>
        <v>2.1393040232829064E-2</v>
      </c>
      <c r="R71" s="13"/>
    </row>
    <row r="72" spans="1:18">
      <c r="A72" s="13"/>
      <c r="B72" s="31" t="str">
        <f>'Terminal offers'!$A$58</f>
        <v>Bendigo Bank GoPOS Lite</v>
      </c>
      <c r="C72" s="224">
        <f>'Terminal offers'!$B$58</f>
        <v>0</v>
      </c>
      <c r="D72" s="62">
        <f>'Terminal offers'!$C$58</f>
        <v>13.200000000000001</v>
      </c>
      <c r="E72" s="62">
        <f>'Terminal offers'!$D$58</f>
        <v>0</v>
      </c>
      <c r="F72" s="226">
        <f>'Terminal offers'!$E$58</f>
        <v>0.27500000000000002</v>
      </c>
      <c r="G72" s="23">
        <f>'Terminal offers'!$F$58</f>
        <v>2.0900000000000002E-2</v>
      </c>
      <c r="H72" s="24">
        <f>IF('Terminal offers'!$G$58&gt;0,'Terminal offers'!$G$58,'Terminal offers'!$G$68)</f>
        <v>2.3276000000000005E-2</v>
      </c>
      <c r="I72" s="24">
        <f>IF('Terminal offers'!$H$58&gt;0,'Terminal offers'!$H$58,'Terminal offers'!$H$68)</f>
        <v>2.9711000000000001E-2</v>
      </c>
      <c r="J72" s="32">
        <f>'Terminal offers'!$J$58</f>
        <v>0</v>
      </c>
      <c r="K72" s="65">
        <f t="shared" si="12"/>
        <v>0</v>
      </c>
      <c r="L72" s="26">
        <f t="shared" si="13"/>
        <v>13.200000000000001</v>
      </c>
      <c r="M72" s="25">
        <f>(C88*F72)+(G72*C84)</f>
        <v>39.932758377524912</v>
      </c>
      <c r="N72" s="65">
        <f>(H72*C85)+(I72*C86)</f>
        <v>9.2430594897311593</v>
      </c>
      <c r="O72" s="28">
        <f t="shared" si="15"/>
        <v>62.375817867256075</v>
      </c>
      <c r="P72" s="62">
        <f t="shared" si="14"/>
        <v>2351.5760323984186</v>
      </c>
      <c r="Q72" s="151">
        <f t="shared" si="16"/>
        <v>2.6525112098390258E-2</v>
      </c>
      <c r="R72" s="13"/>
    </row>
    <row r="73" spans="1:18">
      <c r="A73" s="13"/>
      <c r="B73" s="118" t="str">
        <f>'Terminal offers'!$A$65</f>
        <v>St George Mobile PayWay</v>
      </c>
      <c r="C73" s="122">
        <f>'Terminal offers'!$B$65</f>
        <v>100</v>
      </c>
      <c r="D73" s="113">
        <f>'Terminal offers'!$C$65</f>
        <v>0</v>
      </c>
      <c r="E73" s="113">
        <f>'Terminal offers'!$D$65</f>
        <v>0</v>
      </c>
      <c r="F73" s="230">
        <f>'Terminal offers'!$E$65</f>
        <v>0.3</v>
      </c>
      <c r="G73" s="114">
        <f>'Terminal offers'!$F$65</f>
        <v>2.4E-2</v>
      </c>
      <c r="H73" s="115">
        <f>IF('Terminal offers'!$G$65&gt;0,'Terminal offers'!$G$65,'Terminal offers'!$G$68)</f>
        <v>2.3276000000000005E-2</v>
      </c>
      <c r="I73" s="115">
        <f>IF('Terminal offers'!$H$65&gt;0,'Terminal offers'!$H$65,'Terminal offers'!$H$68)</f>
        <v>2.9711000000000001E-2</v>
      </c>
      <c r="J73" s="119">
        <f>'Terminal offers'!$J$65</f>
        <v>0</v>
      </c>
      <c r="K73" s="122">
        <f t="shared" si="12"/>
        <v>2.7777777777777777</v>
      </c>
      <c r="L73" s="120">
        <f t="shared" si="13"/>
        <v>0</v>
      </c>
      <c r="M73" s="121">
        <f>(F73*C88)+(G73*C84)</f>
        <v>45.801470441360912</v>
      </c>
      <c r="N73" s="116">
        <f>(H73*C85)+(I73*C86)</f>
        <v>9.2430594897311593</v>
      </c>
      <c r="O73" s="117">
        <f t="shared" si="15"/>
        <v>57.82230770886985</v>
      </c>
      <c r="P73" s="113">
        <f t="shared" si="14"/>
        <v>2351.5760323984186</v>
      </c>
      <c r="Q73" s="150">
        <f t="shared" si="16"/>
        <v>2.4588746828609009E-2</v>
      </c>
      <c r="R73" s="13"/>
    </row>
    <row r="74" spans="1:18">
      <c r="A74" s="13"/>
      <c r="B74" s="31" t="str">
        <f>'Terminal offers'!$A$60</f>
        <v>Mint mPOS</v>
      </c>
      <c r="C74" s="27">
        <f>'Terminal offers'!$B$60</f>
        <v>0</v>
      </c>
      <c r="D74" s="27">
        <f>IF(C80&gt;2000,0,10)</f>
        <v>0</v>
      </c>
      <c r="E74" s="62">
        <f>'Terminal offers'!$D$60</f>
        <v>0</v>
      </c>
      <c r="F74" s="226">
        <f>'Terminal offers'!$E$60</f>
        <v>0.25</v>
      </c>
      <c r="G74" s="23">
        <f>'Terminal offers'!$F$60</f>
        <v>1.6899999999999998E-2</v>
      </c>
      <c r="H74" s="24">
        <f>IF('Terminal offers'!$G$60&gt;0,'Terminal offers'!$G$60,'Terminal offers'!$G$68)</f>
        <v>2.3276000000000005E-2</v>
      </c>
      <c r="I74" s="24">
        <f>IF('Terminal offers'!$H$60&gt;0,'Terminal offers'!$H$60,'Terminal offers'!$H$68)</f>
        <v>2.9711000000000001E-2</v>
      </c>
      <c r="J74" s="25">
        <f>'Terminal offers'!$J$60</f>
        <v>0</v>
      </c>
      <c r="K74" s="65">
        <f t="shared" si="12"/>
        <v>0</v>
      </c>
      <c r="L74" s="26">
        <f t="shared" si="13"/>
        <v>0</v>
      </c>
      <c r="M74" s="32">
        <f>(F74*C88)+(G74*C84)</f>
        <v>32.385200337006779</v>
      </c>
      <c r="N74" s="65">
        <f>(H74*C85)+(I74*C86)</f>
        <v>9.2430594897311593</v>
      </c>
      <c r="O74" s="28">
        <f t="shared" si="15"/>
        <v>41.628259826737938</v>
      </c>
      <c r="P74" s="62">
        <f t="shared" si="14"/>
        <v>2351.5760323984186</v>
      </c>
      <c r="Q74" s="151">
        <f t="shared" si="16"/>
        <v>1.7702281046078072E-2</v>
      </c>
      <c r="R74" s="13"/>
    </row>
    <row r="75" spans="1:18">
      <c r="A75" s="13"/>
      <c r="B75" s="118" t="str">
        <f>'Terminal offers'!$A$62</f>
        <v>PayPal Here</v>
      </c>
      <c r="C75" s="122">
        <f>'Terminal offers'!$B$62</f>
        <v>99</v>
      </c>
      <c r="D75" s="122">
        <f>'Terminal offers'!$C$62</f>
        <v>0</v>
      </c>
      <c r="E75" s="113">
        <f>'Terminal offers'!$D$62</f>
        <v>0</v>
      </c>
      <c r="F75" s="371">
        <f>'Terminal offers'!$E$62</f>
        <v>1.95E-2</v>
      </c>
      <c r="G75" s="372"/>
      <c r="H75" s="115">
        <f>IF('Terminal offers'!$G$62&gt;0,'Terminal offers'!$G$62,'Terminal offers'!$G$68)</f>
        <v>1.95E-2</v>
      </c>
      <c r="I75" s="115">
        <f>IF('Terminal offers'!$H$62&gt;0,'Terminal offers'!$H$62,'Terminal offers'!$H$68)</f>
        <v>2.9711000000000001E-2</v>
      </c>
      <c r="J75" s="119">
        <f>'Terminal offers'!$J$62</f>
        <v>0</v>
      </c>
      <c r="K75" s="122">
        <f t="shared" si="12"/>
        <v>2.75</v>
      </c>
      <c r="L75" s="120">
        <f t="shared" si="13"/>
        <v>0</v>
      </c>
      <c r="M75" s="121">
        <f>F75*(C83+C84)</f>
        <v>38.286523404146955</v>
      </c>
      <c r="N75" s="116">
        <f>(H75*C85)+(I75*C86)</f>
        <v>7.8994852110979918</v>
      </c>
      <c r="O75" s="117">
        <f t="shared" si="15"/>
        <v>48.936008615244944</v>
      </c>
      <c r="P75" s="113">
        <f t="shared" si="14"/>
        <v>2351.5760323984186</v>
      </c>
      <c r="Q75" s="150">
        <f t="shared" si="16"/>
        <v>2.0809877265730803E-2</v>
      </c>
      <c r="R75" s="13"/>
    </row>
    <row r="76" spans="1:18">
      <c r="A76" s="13"/>
      <c r="B76" s="31" t="str">
        <f>'Terminal offers'!$A$64</f>
        <v>Square</v>
      </c>
      <c r="C76" s="27">
        <f>'Terminal offers'!$B$64</f>
        <v>59</v>
      </c>
      <c r="D76" s="62">
        <f>'Terminal offers'!$C$64</f>
        <v>0</v>
      </c>
      <c r="E76" s="62">
        <f>'Terminal offers'!$D$64</f>
        <v>0</v>
      </c>
      <c r="F76" s="353">
        <f>'Terminal offers'!$E$64</f>
        <v>1.9E-2</v>
      </c>
      <c r="G76" s="354"/>
      <c r="H76" s="24">
        <f>IF('Terminal offers'!$G$64&gt;0,'Terminal offers'!$G$64,'Terminal offers'!$G$68)</f>
        <v>1.9E-2</v>
      </c>
      <c r="I76" s="24">
        <f>IF('Terminal offers'!$H$64&gt;0,'Terminal offers'!$H$64,'Terminal offers'!$H$68)</f>
        <v>2.9711000000000001E-2</v>
      </c>
      <c r="J76" s="25">
        <f>'Terminal offers'!$J$64</f>
        <v>0</v>
      </c>
      <c r="K76" s="65">
        <f t="shared" si="12"/>
        <v>1.6388888888888888</v>
      </c>
      <c r="L76" s="26">
        <f t="shared" si="13"/>
        <v>0</v>
      </c>
      <c r="M76" s="25">
        <f>F76*(C83+C84)</f>
        <v>37.304817675835494</v>
      </c>
      <c r="N76" s="65">
        <f>(H76*C85)+(I76*C86)</f>
        <v>7.7215754814061004</v>
      </c>
      <c r="O76" s="28">
        <f t="shared" si="15"/>
        <v>46.665282046130478</v>
      </c>
      <c r="P76" s="62">
        <f t="shared" si="14"/>
        <v>2351.5760323984186</v>
      </c>
      <c r="Q76" s="151">
        <f>(P76+O76)/P76-1</f>
        <v>1.9844258234991363E-2</v>
      </c>
      <c r="R76" s="13"/>
    </row>
    <row r="77" spans="1:18">
      <c r="A77" s="13"/>
      <c r="B77" s="137" t="str">
        <f>'Terminal offers'!$A$63</f>
        <v>Quest PocketPay</v>
      </c>
      <c r="C77" s="131">
        <f>'Terminal offers'!$B$63</f>
        <v>0</v>
      </c>
      <c r="D77" s="131">
        <f>'Terminal offers'!$C$63</f>
        <v>25.3</v>
      </c>
      <c r="E77" s="140">
        <f>'Terminal offers'!$D$63</f>
        <v>0</v>
      </c>
      <c r="F77" s="231">
        <f>'Terminal offers'!$E$63</f>
        <v>0.30800000000000005</v>
      </c>
      <c r="G77" s="232">
        <f>'Terminal offers'!$F$63</f>
        <v>2.0020000000000003E-2</v>
      </c>
      <c r="H77" s="128">
        <f>IF('Terminal offers'!$G$63&gt;0,'Terminal offers'!$G$63,'Terminal offers'!$G$68)</f>
        <v>2.3276000000000005E-2</v>
      </c>
      <c r="I77" s="128">
        <f>IF('Terminal offers'!$H$63&gt;0,'Terminal offers'!$H$63,'Terminal offers'!$H$68)</f>
        <v>2.9711000000000001E-2</v>
      </c>
      <c r="J77" s="129">
        <f>'Terminal offers'!$J$63</f>
        <v>0</v>
      </c>
      <c r="K77" s="131">
        <f t="shared" si="12"/>
        <v>0</v>
      </c>
      <c r="L77" s="130">
        <f t="shared" si="13"/>
        <v>25.3</v>
      </c>
      <c r="M77" s="138">
        <f>((F77*C88)+(G77*C84))</f>
        <v>38.40476697282898</v>
      </c>
      <c r="N77" s="139">
        <f>(H77*C85)+(I77*C86)</f>
        <v>9.2430594897311593</v>
      </c>
      <c r="O77" s="132">
        <f t="shared" si="15"/>
        <v>72.94782646256013</v>
      </c>
      <c r="P77" s="140">
        <f t="shared" si="14"/>
        <v>2351.5760323984186</v>
      </c>
      <c r="Q77" s="152">
        <f>(P77+O77)/P77-1</f>
        <v>3.1020824101595901E-2</v>
      </c>
      <c r="R77" s="13"/>
    </row>
    <row r="78" spans="1:18">
      <c r="A78" s="13"/>
      <c r="B78" s="67"/>
      <c r="C78" s="15"/>
      <c r="D78" s="16"/>
      <c r="E78" s="16"/>
      <c r="F78" s="16"/>
      <c r="G78" s="16"/>
      <c r="H78" s="16"/>
      <c r="I78" s="16"/>
      <c r="J78" s="15"/>
      <c r="K78" s="15"/>
      <c r="L78" s="15"/>
      <c r="M78" s="15"/>
      <c r="N78" s="15"/>
      <c r="O78" s="15"/>
      <c r="P78" s="134" t="s">
        <v>13</v>
      </c>
      <c r="Q78" s="144">
        <f>AVERAGE(Q68:Q77)</f>
        <v>2.2997048430531231E-2</v>
      </c>
      <c r="R78" s="13"/>
    </row>
    <row r="79" spans="1:18">
      <c r="A79" s="13"/>
      <c r="B79" s="40" t="s">
        <v>108</v>
      </c>
      <c r="C79" s="41"/>
      <c r="D79" s="251"/>
      <c r="E79" s="251"/>
      <c r="F79" s="251"/>
      <c r="G79" s="251"/>
      <c r="H79" s="251"/>
      <c r="I79" s="251"/>
      <c r="J79" s="251"/>
      <c r="K79" s="251"/>
      <c r="L79" s="251"/>
      <c r="M79" s="251"/>
      <c r="N79" s="251"/>
      <c r="O79" s="251"/>
      <c r="P79" s="135" t="s">
        <v>17</v>
      </c>
      <c r="Q79" s="145">
        <f>MIN(Q68:Q77)</f>
        <v>1.7702281046078072E-2</v>
      </c>
      <c r="R79" s="13"/>
    </row>
    <row r="80" spans="1:18">
      <c r="A80" s="13"/>
      <c r="B80" s="42" t="s">
        <v>33</v>
      </c>
      <c r="C80" s="43">
        <f>'1. Monthly revenue &amp; trips '!C6*1.1</f>
        <v>2351.5760323984186</v>
      </c>
      <c r="D80" s="251"/>
      <c r="E80" s="251"/>
      <c r="F80" s="251"/>
      <c r="G80" s="251"/>
      <c r="H80" s="251"/>
      <c r="I80" s="251"/>
      <c r="J80" s="251"/>
      <c r="K80" s="251"/>
      <c r="L80" s="251"/>
      <c r="M80" s="251"/>
      <c r="N80" s="251"/>
      <c r="O80" s="251"/>
      <c r="P80" s="136" t="s">
        <v>18</v>
      </c>
      <c r="Q80" s="146">
        <f>MAX(Q68:Q77)</f>
        <v>3.1020824101595901E-2</v>
      </c>
      <c r="R80" s="13"/>
    </row>
    <row r="81" spans="1:18">
      <c r="A81" s="13"/>
      <c r="B81" s="42" t="s">
        <v>21</v>
      </c>
      <c r="C81" s="45">
        <f>'8. Monthly revenue and trips'!C4</f>
        <v>28.489485170139162</v>
      </c>
      <c r="D81" s="251"/>
      <c r="E81" s="251"/>
      <c r="F81" s="251"/>
      <c r="G81" s="251"/>
      <c r="H81" s="251"/>
      <c r="I81" s="251"/>
      <c r="J81" s="251"/>
      <c r="K81" s="251"/>
      <c r="L81" s="251"/>
      <c r="M81" s="251"/>
      <c r="N81" s="251"/>
      <c r="O81" s="251"/>
      <c r="P81" s="15"/>
      <c r="Q81" s="15"/>
      <c r="R81" s="13"/>
    </row>
    <row r="82" spans="1:18">
      <c r="A82" s="13"/>
      <c r="B82" s="42"/>
      <c r="C82" s="45"/>
      <c r="D82" s="251"/>
      <c r="E82" s="251"/>
      <c r="F82" s="251"/>
      <c r="G82" s="251"/>
      <c r="H82" s="251"/>
      <c r="I82" s="251"/>
      <c r="J82" s="251"/>
      <c r="K82" s="251"/>
      <c r="L82" s="251"/>
      <c r="M82" s="251"/>
      <c r="N82" s="251"/>
      <c r="O82" s="251"/>
      <c r="P82" s="15"/>
      <c r="Q82" s="15"/>
      <c r="R82" s="13"/>
    </row>
    <row r="83" spans="1:18">
      <c r="A83" s="13"/>
      <c r="B83" s="42" t="s">
        <v>34</v>
      </c>
      <c r="C83" s="46">
        <f>'8. Monthly revenue and trips'!C19*'6. Sensitivity(mPOS) '!C80</f>
        <v>98.027038087229187</v>
      </c>
      <c r="D83" s="251"/>
      <c r="E83" s="251"/>
      <c r="F83" s="251"/>
      <c r="G83" s="251"/>
      <c r="H83" s="251"/>
      <c r="I83" s="251"/>
      <c r="J83" s="251"/>
      <c r="K83" s="251"/>
      <c r="L83" s="251"/>
      <c r="M83" s="251"/>
      <c r="N83" s="251"/>
      <c r="O83" s="251"/>
      <c r="P83" s="15"/>
      <c r="Q83" s="15"/>
      <c r="R83" s="13"/>
    </row>
    <row r="84" spans="1:18">
      <c r="A84" s="13"/>
      <c r="B84" s="42" t="s">
        <v>197</v>
      </c>
      <c r="C84" s="46">
        <f>'8. Monthly revenue and trips'!C20*'6. Sensitivity(mPOS) '!C80</f>
        <v>1865.3844185356918</v>
      </c>
      <c r="D84" s="251"/>
      <c r="E84" s="251"/>
      <c r="F84" s="251"/>
      <c r="G84" s="251"/>
      <c r="H84" s="251"/>
      <c r="I84" s="251"/>
      <c r="J84" s="251"/>
      <c r="K84" s="251"/>
      <c r="L84" s="251"/>
      <c r="M84" s="251"/>
      <c r="N84" s="251"/>
      <c r="O84" s="251"/>
      <c r="P84" s="15"/>
      <c r="Q84" s="15"/>
      <c r="R84" s="13"/>
    </row>
    <row r="85" spans="1:18">
      <c r="A85" s="13"/>
      <c r="B85" s="42" t="s">
        <v>39</v>
      </c>
      <c r="C85" s="46">
        <f>'8. Monthly revenue and trips'!C21*'6. Sensitivity(mPOS) '!C80</f>
        <v>355.81945938378294</v>
      </c>
      <c r="D85" s="251"/>
      <c r="E85" s="251"/>
      <c r="F85" s="251"/>
      <c r="G85" s="251"/>
      <c r="H85" s="251"/>
      <c r="I85" s="251"/>
      <c r="J85" s="251"/>
      <c r="K85" s="251"/>
      <c r="L85" s="251"/>
      <c r="M85" s="251"/>
      <c r="N85" s="251"/>
      <c r="O85" s="251"/>
      <c r="P85" s="15"/>
      <c r="Q85" s="15"/>
      <c r="R85" s="13"/>
    </row>
    <row r="86" spans="1:18">
      <c r="A86" s="13"/>
      <c r="B86" s="42" t="s">
        <v>114</v>
      </c>
      <c r="C86" s="46">
        <f>'8. Monthly revenue and trips'!C22*'6. Sensitivity(mPOS) '!C80</f>
        <v>32.345116391714328</v>
      </c>
      <c r="D86" s="251"/>
      <c r="E86" s="251"/>
      <c r="F86" s="251"/>
      <c r="G86" s="251"/>
      <c r="H86" s="251"/>
      <c r="I86" s="251"/>
      <c r="J86" s="251"/>
      <c r="K86" s="251"/>
      <c r="L86" s="251"/>
      <c r="M86" s="251"/>
      <c r="N86" s="251"/>
      <c r="O86" s="251"/>
      <c r="P86" s="15"/>
      <c r="Q86" s="15"/>
      <c r="R86" s="13"/>
    </row>
    <row r="87" spans="1:18">
      <c r="A87" s="13"/>
      <c r="B87" s="42"/>
      <c r="C87" s="46"/>
      <c r="D87" s="251"/>
      <c r="E87" s="251"/>
      <c r="F87" s="251"/>
      <c r="G87" s="251"/>
      <c r="H87" s="251"/>
      <c r="I87" s="251"/>
      <c r="J87" s="251"/>
      <c r="K87" s="251"/>
      <c r="L87" s="251"/>
      <c r="M87" s="251"/>
      <c r="N87" s="251"/>
      <c r="O87" s="251"/>
      <c r="P87" s="15"/>
      <c r="Q87" s="15"/>
      <c r="R87" s="13"/>
    </row>
    <row r="88" spans="1:18">
      <c r="A88" s="13"/>
      <c r="B88" s="42" t="s">
        <v>38</v>
      </c>
      <c r="C88" s="51">
        <f>C83/$C$81</f>
        <v>3.4408146550143628</v>
      </c>
      <c r="D88" s="251"/>
      <c r="E88" s="251"/>
      <c r="F88" s="251"/>
      <c r="G88" s="251"/>
      <c r="H88" s="251"/>
      <c r="I88" s="251"/>
      <c r="J88" s="251"/>
      <c r="K88" s="251"/>
      <c r="L88" s="251"/>
      <c r="M88" s="251"/>
      <c r="N88" s="251"/>
      <c r="O88" s="251"/>
      <c r="P88" s="15"/>
      <c r="Q88" s="15"/>
      <c r="R88" s="13"/>
    </row>
    <row r="89" spans="1:18">
      <c r="A89" s="13"/>
      <c r="B89" s="42" t="s">
        <v>198</v>
      </c>
      <c r="C89" s="51">
        <f t="shared" ref="C89:C90" si="17">C84/$C$81</f>
        <v>65.476241757112106</v>
      </c>
      <c r="D89" s="251"/>
      <c r="E89" s="251"/>
      <c r="F89" s="251"/>
      <c r="G89" s="251"/>
      <c r="H89" s="251"/>
      <c r="I89" s="251"/>
      <c r="J89" s="251"/>
      <c r="K89" s="251"/>
      <c r="L89" s="251"/>
      <c r="M89" s="251"/>
      <c r="N89" s="251"/>
      <c r="O89" s="251"/>
      <c r="P89" s="15"/>
      <c r="Q89" s="15"/>
      <c r="R89" s="13"/>
    </row>
    <row r="90" spans="1:18">
      <c r="A90" s="13"/>
      <c r="B90" s="42" t="s">
        <v>41</v>
      </c>
      <c r="C90" s="51">
        <f t="shared" si="17"/>
        <v>12.489501205754673</v>
      </c>
      <c r="D90" s="251"/>
      <c r="E90" s="251"/>
      <c r="F90" s="251"/>
      <c r="G90" s="251"/>
      <c r="H90" s="251"/>
      <c r="I90" s="251"/>
      <c r="J90" s="251"/>
      <c r="K90" s="251"/>
      <c r="L90" s="251"/>
      <c r="M90" s="251"/>
      <c r="N90" s="251"/>
      <c r="O90" s="251"/>
      <c r="P90" s="15"/>
      <c r="Q90" s="15"/>
      <c r="R90" s="13"/>
    </row>
    <row r="91" spans="1:18">
      <c r="A91" s="13"/>
      <c r="B91" s="44" t="s">
        <v>113</v>
      </c>
      <c r="C91" s="54">
        <f>C86/$C$81</f>
        <v>1.1353352367917267</v>
      </c>
      <c r="D91" s="251"/>
      <c r="E91" s="251"/>
      <c r="F91" s="251"/>
      <c r="G91" s="251"/>
      <c r="H91" s="251"/>
      <c r="I91" s="251"/>
      <c r="J91" s="251"/>
      <c r="K91" s="251"/>
      <c r="L91" s="251"/>
      <c r="M91" s="251"/>
      <c r="N91" s="251"/>
      <c r="O91" s="251"/>
      <c r="P91" s="15"/>
      <c r="Q91" s="15"/>
      <c r="R91" s="13"/>
    </row>
    <row r="92" spans="1:18" ht="12.75" customHeight="1">
      <c r="A92" s="13"/>
      <c r="B92" s="13"/>
      <c r="C92" s="13"/>
      <c r="D92" s="14"/>
      <c r="E92" s="14"/>
      <c r="F92" s="14"/>
      <c r="G92" s="14"/>
      <c r="H92" s="14"/>
      <c r="I92" s="14"/>
      <c r="J92" s="13"/>
      <c r="K92" s="13"/>
      <c r="L92" s="13"/>
      <c r="M92" s="13"/>
      <c r="N92" s="13"/>
      <c r="O92" s="13"/>
      <c r="P92" s="13"/>
      <c r="Q92" s="13"/>
      <c r="R92" s="13"/>
    </row>
    <row r="93" spans="1:18" ht="12.75" customHeight="1">
      <c r="A93" s="13"/>
      <c r="B93" s="13"/>
      <c r="C93" s="13"/>
      <c r="D93" s="14"/>
      <c r="E93" s="14"/>
      <c r="F93" s="14"/>
      <c r="G93" s="14"/>
      <c r="H93" s="14"/>
      <c r="I93" s="14"/>
      <c r="J93" s="13"/>
      <c r="K93" s="13"/>
      <c r="L93" s="13"/>
      <c r="M93" s="13"/>
      <c r="N93" s="13"/>
      <c r="O93" s="13"/>
      <c r="P93" s="13"/>
      <c r="Q93" s="13"/>
      <c r="R93" s="13"/>
    </row>
    <row r="94" spans="1:18" ht="28.5" customHeight="1">
      <c r="A94" s="13"/>
      <c r="B94" s="375" t="s">
        <v>112</v>
      </c>
      <c r="C94" s="376"/>
      <c r="D94" s="376"/>
      <c r="E94" s="376"/>
      <c r="F94" s="376"/>
      <c r="G94" s="376"/>
      <c r="H94" s="376"/>
      <c r="I94" s="376"/>
      <c r="J94" s="376"/>
      <c r="K94" s="376"/>
      <c r="L94" s="376"/>
      <c r="M94" s="376"/>
      <c r="N94" s="376"/>
      <c r="O94" s="376"/>
      <c r="P94" s="376"/>
      <c r="Q94" s="377"/>
      <c r="R94" s="13"/>
    </row>
    <row r="95" spans="1:18">
      <c r="A95" s="13"/>
      <c r="B95" s="13"/>
      <c r="C95" s="13"/>
      <c r="D95" s="14"/>
      <c r="E95" s="14"/>
      <c r="F95" s="14"/>
      <c r="G95" s="14"/>
      <c r="H95" s="14"/>
      <c r="I95" s="14"/>
      <c r="J95" s="13"/>
      <c r="K95" s="13"/>
      <c r="L95" s="13"/>
      <c r="M95" s="13"/>
      <c r="N95" s="13"/>
      <c r="O95" s="13"/>
      <c r="P95" s="13"/>
      <c r="Q95" s="13"/>
      <c r="R95" s="13"/>
    </row>
    <row r="96" spans="1:18" ht="12" customHeight="1">
      <c r="A96" s="13"/>
      <c r="B96" s="17"/>
      <c r="C96" s="358" t="s">
        <v>10</v>
      </c>
      <c r="D96" s="359"/>
      <c r="E96" s="359"/>
      <c r="F96" s="359"/>
      <c r="G96" s="359"/>
      <c r="H96" s="359"/>
      <c r="I96" s="359"/>
      <c r="J96" s="359"/>
      <c r="K96" s="361" t="s">
        <v>101</v>
      </c>
      <c r="L96" s="362"/>
      <c r="M96" s="362"/>
      <c r="N96" s="362"/>
      <c r="O96" s="363"/>
      <c r="P96" s="18" t="s">
        <v>8</v>
      </c>
      <c r="Q96" s="351" t="s">
        <v>104</v>
      </c>
      <c r="R96" s="13"/>
    </row>
    <row r="97" spans="1:18" ht="33.75">
      <c r="A97" s="13"/>
      <c r="B97" s="73" t="s">
        <v>25</v>
      </c>
      <c r="C97" s="20" t="s">
        <v>27</v>
      </c>
      <c r="D97" s="20" t="s">
        <v>20</v>
      </c>
      <c r="E97" s="20" t="s">
        <v>19</v>
      </c>
      <c r="F97" s="20" t="s">
        <v>94</v>
      </c>
      <c r="G97" s="72" t="s">
        <v>102</v>
      </c>
      <c r="H97" s="20" t="s">
        <v>95</v>
      </c>
      <c r="I97" s="20" t="s">
        <v>96</v>
      </c>
      <c r="J97" s="71" t="s">
        <v>14</v>
      </c>
      <c r="K97" s="20" t="s">
        <v>97</v>
      </c>
      <c r="L97" s="20" t="s">
        <v>16</v>
      </c>
      <c r="M97" s="61" t="s">
        <v>98</v>
      </c>
      <c r="N97" s="20" t="s">
        <v>99</v>
      </c>
      <c r="O97" s="75" t="s">
        <v>15</v>
      </c>
      <c r="P97" s="74" t="s">
        <v>100</v>
      </c>
      <c r="Q97" s="352"/>
      <c r="R97" s="13"/>
    </row>
    <row r="98" spans="1:18">
      <c r="A98" s="13"/>
      <c r="B98" s="21" t="str">
        <f>'Terminal offers'!$A$57</f>
        <v>ANZ Fastpay</v>
      </c>
      <c r="C98" s="65">
        <f>'Terminal offers'!$B$57</f>
        <v>0</v>
      </c>
      <c r="D98" s="62">
        <f>'Terminal offers'!$C$57</f>
        <v>5</v>
      </c>
      <c r="E98" s="62">
        <f>'Terminal offers'!$D$57</f>
        <v>0</v>
      </c>
      <c r="F98" s="228">
        <f>'Terminal offers'!$E$57</f>
        <v>0.3</v>
      </c>
      <c r="G98" s="23">
        <f>'Terminal offers'!$F$57</f>
        <v>2.3E-2</v>
      </c>
      <c r="H98" s="109">
        <f>IF('Terminal offers'!$G$57&gt;0,'Terminal offers'!G148,'Terminal offers'!$G$68)</f>
        <v>2.3276000000000005E-2</v>
      </c>
      <c r="I98" s="109">
        <f>IF('Terminal offers'!$H$57&gt;0,'Terminal offers'!$H$57,'Terminal offers'!$H$68)</f>
        <v>2.9711000000000001E-2</v>
      </c>
      <c r="J98" s="63">
        <f>'Terminal offers'!$J$57</f>
        <v>0</v>
      </c>
      <c r="K98" s="223">
        <f t="shared" ref="K98:K107" si="18">C98/36</f>
        <v>0</v>
      </c>
      <c r="L98" s="62">
        <f t="shared" ref="L98:L107" si="19">D98+J98</f>
        <v>5</v>
      </c>
      <c r="M98" s="64">
        <f>(F98*C118)+MAX((G98*C114),'Terminal offers'!I57)</f>
        <v>35.947706745947904</v>
      </c>
      <c r="N98" s="65">
        <f>(H98*C115)+(I98*C116)</f>
        <v>7.5625032188709458</v>
      </c>
      <c r="O98" s="28">
        <f>SUM(K98:N98)</f>
        <v>48.510209964818849</v>
      </c>
      <c r="P98" s="62">
        <f>$C$110</f>
        <v>1924.0167537805241</v>
      </c>
      <c r="Q98" s="149">
        <f>(P98+O98)/P98-1</f>
        <v>2.5212987293120159E-2</v>
      </c>
      <c r="R98" s="13"/>
    </row>
    <row r="99" spans="1:18">
      <c r="A99" s="13"/>
      <c r="B99" s="118" t="str">
        <f>'Terminal offers'!$A$59</f>
        <v>Commonwealth Bank Emmy</v>
      </c>
      <c r="C99" s="222">
        <f>'Terminal offers'!$B$59</f>
        <v>0</v>
      </c>
      <c r="D99" s="113">
        <f>'Terminal offers'!$C$59</f>
        <v>30</v>
      </c>
      <c r="E99" s="113">
        <f>'Terminal offers'!$D$59</f>
        <v>1500</v>
      </c>
      <c r="F99" s="371">
        <f>'Terminal offers'!$E$59</f>
        <v>1.4999999999999999E-2</v>
      </c>
      <c r="G99" s="372"/>
      <c r="H99" s="115">
        <f>IF('Terminal offers'!$G$59&gt;0,'Terminal offers'!$G$59,'Terminal offers'!$G$68)</f>
        <v>2.3276000000000005E-2</v>
      </c>
      <c r="I99" s="115">
        <f>IF('Terminal offers'!$H$59&gt;0,'Terminal offers'!$H$59,'Terminal offers'!$H$68)</f>
        <v>2.9711000000000001E-2</v>
      </c>
      <c r="J99" s="121">
        <f>'Terminal offers'!$J$59</f>
        <v>0</v>
      </c>
      <c r="K99" s="122">
        <f t="shared" si="18"/>
        <v>0</v>
      </c>
      <c r="L99" s="120">
        <f t="shared" si="19"/>
        <v>30</v>
      </c>
      <c r="M99" s="121">
        <f>IF((C113+C114)&lt;=E99,0,F99*((C113+C114)-E99))</f>
        <v>1.5964133312813009</v>
      </c>
      <c r="N99" s="116">
        <f>(H99*C115)+(I99*C116)</f>
        <v>7.5625032188709458</v>
      </c>
      <c r="O99" s="117">
        <f>SUM(K99:N99)</f>
        <v>39.158916550152249</v>
      </c>
      <c r="P99" s="113">
        <f>$C$110</f>
        <v>1924.0167537805241</v>
      </c>
      <c r="Q99" s="150">
        <f>(P99+O99)/P99-1</f>
        <v>2.0352690002937157E-2</v>
      </c>
      <c r="R99" s="13"/>
    </row>
    <row r="100" spans="1:18">
      <c r="A100" s="13"/>
      <c r="B100" s="31" t="str">
        <f>'Terminal offers'!$A$61</f>
        <v>NAB Now</v>
      </c>
      <c r="C100" s="62">
        <f>'Terminal offers'!$B$61</f>
        <v>135</v>
      </c>
      <c r="D100" s="62">
        <f>'Terminal offers'!$C$61</f>
        <v>10</v>
      </c>
      <c r="E100" s="62">
        <f>'Terminal offers'!$D$61</f>
        <v>0</v>
      </c>
      <c r="F100" s="229">
        <f>'Terminal offers'!$E$61</f>
        <v>0.3</v>
      </c>
      <c r="G100" s="23">
        <f>'Terminal offers'!$F$61</f>
        <v>1.7000000000000001E-2</v>
      </c>
      <c r="H100" s="24">
        <f>IF('Terminal offers'!$G$61&gt;0,'Terminal offers'!$G$61,'Terminal offers'!$G$68)</f>
        <v>2.3276000000000005E-2</v>
      </c>
      <c r="I100" s="24">
        <f>IF('Terminal offers'!$H$61&gt;0,'Terminal offers'!$H$61,'Terminal offers'!$H$68)</f>
        <v>2.9711000000000001E-2</v>
      </c>
      <c r="J100" s="25">
        <f>'Terminal offers'!$J$61</f>
        <v>0</v>
      </c>
      <c r="K100" s="65">
        <f t="shared" si="18"/>
        <v>3.75</v>
      </c>
      <c r="L100" s="26">
        <f t="shared" si="19"/>
        <v>10</v>
      </c>
      <c r="M100" s="66">
        <f>MAX((F100*C118)+(G100*C114),'Terminal offers'!I61)</f>
        <v>26.79036505495451</v>
      </c>
      <c r="N100" s="65">
        <f>(H100*C115)+(I100*C116)</f>
        <v>7.5625032188709458</v>
      </c>
      <c r="O100" s="28">
        <f t="shared" ref="O100:O107" si="20">SUM(K100:N100)</f>
        <v>48.10286827382545</v>
      </c>
      <c r="P100" s="62">
        <f t="shared" ref="P100:P106" si="21">$C$110</f>
        <v>1924.0167537805241</v>
      </c>
      <c r="Q100" s="151">
        <f t="shared" ref="Q100:Q105" si="22">(P100+O100)/P100-1</f>
        <v>2.5001273081072473E-2</v>
      </c>
      <c r="R100" s="13"/>
    </row>
    <row r="101" spans="1:18">
      <c r="A101" s="13"/>
      <c r="B101" s="118" t="str">
        <f>'Terminal offers'!$A$66</f>
        <v>Westpac Genie</v>
      </c>
      <c r="C101" s="122">
        <f>'Terminal offers'!$B$66</f>
        <v>100</v>
      </c>
      <c r="D101" s="113">
        <f>'Terminal offers'!$C$66</f>
        <v>0</v>
      </c>
      <c r="E101" s="113">
        <f>'Terminal offers'!$D$66</f>
        <v>0</v>
      </c>
      <c r="F101" s="371">
        <f>'Terminal offers'!$E$66</f>
        <v>1.95E-2</v>
      </c>
      <c r="G101" s="372"/>
      <c r="H101" s="115">
        <f>IF('Terminal offers'!$G$66&gt;0,'Terminal offers'!$G$66,'Terminal offers'!$G$68)</f>
        <v>2.3276000000000005E-2</v>
      </c>
      <c r="I101" s="115">
        <f>IF('Terminal offers'!$H$66&gt;0,'Terminal offers'!$H$66,'Terminal offers'!$H$68)</f>
        <v>2.9711000000000001E-2</v>
      </c>
      <c r="J101" s="119">
        <f>'Terminal offers'!$J$66</f>
        <v>0</v>
      </c>
      <c r="K101" s="122">
        <f t="shared" si="18"/>
        <v>2.7777777777777777</v>
      </c>
      <c r="L101" s="120">
        <f t="shared" si="19"/>
        <v>0</v>
      </c>
      <c r="M101" s="121">
        <f>F101*(C113+C114)</f>
        <v>31.32533733066569</v>
      </c>
      <c r="N101" s="116">
        <f>(H101*C115)+(I101*C116)</f>
        <v>7.5625032188709458</v>
      </c>
      <c r="O101" s="117">
        <f t="shared" si="20"/>
        <v>41.665618327314412</v>
      </c>
      <c r="P101" s="113">
        <f t="shared" si="21"/>
        <v>1924.0167537805241</v>
      </c>
      <c r="Q101" s="150">
        <f t="shared" si="22"/>
        <v>2.1655538209553127E-2</v>
      </c>
      <c r="R101" s="13"/>
    </row>
    <row r="102" spans="1:18">
      <c r="A102" s="13"/>
      <c r="B102" s="31" t="str">
        <f>'Terminal offers'!$A$58</f>
        <v>Bendigo Bank GoPOS Lite</v>
      </c>
      <c r="C102" s="224">
        <f>'Terminal offers'!$B$58</f>
        <v>0</v>
      </c>
      <c r="D102" s="62">
        <f>'Terminal offers'!$C$58</f>
        <v>13.200000000000001</v>
      </c>
      <c r="E102" s="62">
        <f>'Terminal offers'!$D$58</f>
        <v>0</v>
      </c>
      <c r="F102" s="226">
        <f>'Terminal offers'!$E$58</f>
        <v>0.27500000000000002</v>
      </c>
      <c r="G102" s="23">
        <f>'Terminal offers'!$F$58</f>
        <v>2.0900000000000002E-2</v>
      </c>
      <c r="H102" s="24">
        <f>IF('Terminal offers'!$G$58&gt;0,'Terminal offers'!$G$58,'Terminal offers'!$G$68)</f>
        <v>2.3276000000000005E-2</v>
      </c>
      <c r="I102" s="24">
        <f>IF('Terminal offers'!$H$58&gt;0,'Terminal offers'!$H$58,'Terminal offers'!$H$68)</f>
        <v>2.9711000000000001E-2</v>
      </c>
      <c r="J102" s="32">
        <f>'Terminal offers'!$J$58</f>
        <v>0</v>
      </c>
      <c r="K102" s="65">
        <f t="shared" si="18"/>
        <v>0</v>
      </c>
      <c r="L102" s="26">
        <f t="shared" si="19"/>
        <v>13.200000000000001</v>
      </c>
      <c r="M102" s="25">
        <f>(C118*F102)+(G102*C114)</f>
        <v>32.672256854338563</v>
      </c>
      <c r="N102" s="65">
        <f>(H102*C115)+(I102*C116)</f>
        <v>7.5625032188709458</v>
      </c>
      <c r="O102" s="28">
        <f t="shared" si="20"/>
        <v>53.43476007320951</v>
      </c>
      <c r="P102" s="62">
        <f t="shared" si="21"/>
        <v>1924.0167537805241</v>
      </c>
      <c r="Q102" s="151">
        <f t="shared" si="22"/>
        <v>2.7772502483782935E-2</v>
      </c>
      <c r="R102" s="13"/>
    </row>
    <row r="103" spans="1:18">
      <c r="A103" s="13"/>
      <c r="B103" s="118" t="str">
        <f>'Terminal offers'!$A$65</f>
        <v>St George Mobile PayWay</v>
      </c>
      <c r="C103" s="122">
        <f>'Terminal offers'!$B$65</f>
        <v>100</v>
      </c>
      <c r="D103" s="113">
        <f>'Terminal offers'!$C$65</f>
        <v>0</v>
      </c>
      <c r="E103" s="113">
        <f>'Terminal offers'!$D$65</f>
        <v>0</v>
      </c>
      <c r="F103" s="230">
        <f>'Terminal offers'!$E$65</f>
        <v>0.3</v>
      </c>
      <c r="G103" s="114">
        <f>'Terminal offers'!$F$65</f>
        <v>2.4E-2</v>
      </c>
      <c r="H103" s="115">
        <f>IF('Terminal offers'!$G$65&gt;0,'Terminal offers'!$G$65,'Terminal offers'!$G$68)</f>
        <v>2.3276000000000005E-2</v>
      </c>
      <c r="I103" s="115">
        <f>IF('Terminal offers'!$H$65&gt;0,'Terminal offers'!$H$65,'Terminal offers'!$H$68)</f>
        <v>2.9711000000000001E-2</v>
      </c>
      <c r="J103" s="119">
        <f>'Terminal offers'!$J$65</f>
        <v>0</v>
      </c>
      <c r="K103" s="122">
        <f t="shared" si="18"/>
        <v>2.7777777777777777</v>
      </c>
      <c r="L103" s="120">
        <f t="shared" si="19"/>
        <v>0</v>
      </c>
      <c r="M103" s="121">
        <f>(F103*C118)+(G103*C114)</f>
        <v>37.473930361113467</v>
      </c>
      <c r="N103" s="116">
        <f>(H103*C115)+(I103*C116)</f>
        <v>7.5625032188709458</v>
      </c>
      <c r="O103" s="117">
        <f t="shared" si="20"/>
        <v>47.81421135776219</v>
      </c>
      <c r="P103" s="113">
        <f t="shared" si="21"/>
        <v>1924.0167537805241</v>
      </c>
      <c r="Q103" s="150">
        <f t="shared" si="22"/>
        <v>2.4851244805333073E-2</v>
      </c>
      <c r="R103" s="13"/>
    </row>
    <row r="104" spans="1:18">
      <c r="A104" s="13"/>
      <c r="B104" s="31" t="str">
        <f>'Terminal offers'!$A$60</f>
        <v>Mint mPOS</v>
      </c>
      <c r="C104" s="27">
        <f>'Terminal offers'!$B$60</f>
        <v>0</v>
      </c>
      <c r="D104" s="27">
        <f>IF(C110&gt;2000,0,10)</f>
        <v>10</v>
      </c>
      <c r="E104" s="62">
        <f>'Terminal offers'!$D$60</f>
        <v>0</v>
      </c>
      <c r="F104" s="226">
        <f>'Terminal offers'!$E$60</f>
        <v>0.25</v>
      </c>
      <c r="G104" s="23">
        <f>'Terminal offers'!$F$60</f>
        <v>1.6899999999999998E-2</v>
      </c>
      <c r="H104" s="24">
        <f>IF('Terminal offers'!$G$60&gt;0,'Terminal offers'!$G$60,'Terminal offers'!$G$68)</f>
        <v>2.3276000000000005E-2</v>
      </c>
      <c r="I104" s="24">
        <f>IF('Terminal offers'!$H$60&gt;0,'Terminal offers'!$H$60,'Terminal offers'!$H$68)</f>
        <v>2.9711000000000001E-2</v>
      </c>
      <c r="J104" s="25">
        <f>'Terminal offers'!$J$60</f>
        <v>0</v>
      </c>
      <c r="K104" s="65">
        <f t="shared" si="18"/>
        <v>0</v>
      </c>
      <c r="L104" s="26">
        <f t="shared" si="19"/>
        <v>10</v>
      </c>
      <c r="M104" s="32">
        <f>(F104*C118)+(G104*C114)</f>
        <v>26.496982093914635</v>
      </c>
      <c r="N104" s="65">
        <f>(H104*C115)+(I104*C116)</f>
        <v>7.5625032188709458</v>
      </c>
      <c r="O104" s="28">
        <f t="shared" si="20"/>
        <v>44.059485312785583</v>
      </c>
      <c r="P104" s="62">
        <f t="shared" si="21"/>
        <v>1924.0167537805241</v>
      </c>
      <c r="Q104" s="151">
        <f t="shared" si="22"/>
        <v>2.2899740985213635E-2</v>
      </c>
      <c r="R104" s="13"/>
    </row>
    <row r="105" spans="1:18">
      <c r="A105" s="13"/>
      <c r="B105" s="118" t="str">
        <f>'Terminal offers'!$A$62</f>
        <v>PayPal Here</v>
      </c>
      <c r="C105" s="122">
        <f>'Terminal offers'!$B$62</f>
        <v>99</v>
      </c>
      <c r="D105" s="122">
        <f>'Terminal offers'!$C$62</f>
        <v>0</v>
      </c>
      <c r="E105" s="113">
        <f>'Terminal offers'!$D$62</f>
        <v>0</v>
      </c>
      <c r="F105" s="371">
        <f>'Terminal offers'!$E$62</f>
        <v>1.95E-2</v>
      </c>
      <c r="G105" s="372"/>
      <c r="H105" s="115">
        <f>IF('Terminal offers'!$G$62&gt;0,'Terminal offers'!$G$62,'Terminal offers'!$G$68)</f>
        <v>1.95E-2</v>
      </c>
      <c r="I105" s="115">
        <f>IF('Terminal offers'!$H$62&gt;0,'Terminal offers'!$H$62,'Terminal offers'!$H$68)</f>
        <v>2.9711000000000001E-2</v>
      </c>
      <c r="J105" s="119">
        <f>'Terminal offers'!$J$62</f>
        <v>0</v>
      </c>
      <c r="K105" s="122">
        <f t="shared" si="18"/>
        <v>2.75</v>
      </c>
      <c r="L105" s="120">
        <f t="shared" si="19"/>
        <v>0</v>
      </c>
      <c r="M105" s="121">
        <f>F105*(C113+C114)</f>
        <v>31.32533733066569</v>
      </c>
      <c r="N105" s="116">
        <f>(H105*C115)+(I105*C116)</f>
        <v>6.4632151727165379</v>
      </c>
      <c r="O105" s="117">
        <f t="shared" si="20"/>
        <v>40.538552503382228</v>
      </c>
      <c r="P105" s="113">
        <f t="shared" si="21"/>
        <v>1924.0167537805241</v>
      </c>
      <c r="Q105" s="150">
        <f t="shared" si="22"/>
        <v>2.1069750262687537E-2</v>
      </c>
      <c r="R105" s="13"/>
    </row>
    <row r="106" spans="1:18">
      <c r="A106" s="13"/>
      <c r="B106" s="31" t="str">
        <f>'Terminal offers'!$A$64</f>
        <v>Square</v>
      </c>
      <c r="C106" s="27">
        <f>'Terminal offers'!$B$64</f>
        <v>59</v>
      </c>
      <c r="D106" s="62">
        <f>'Terminal offers'!$C$64</f>
        <v>0</v>
      </c>
      <c r="E106" s="62">
        <f>'Terminal offers'!$D$64</f>
        <v>0</v>
      </c>
      <c r="F106" s="353">
        <f>'Terminal offers'!$E$64</f>
        <v>1.9E-2</v>
      </c>
      <c r="G106" s="354"/>
      <c r="H106" s="24">
        <f>IF('Terminal offers'!$G$64&gt;0,'Terminal offers'!$G$64,'Terminal offers'!$G$68)</f>
        <v>1.9E-2</v>
      </c>
      <c r="I106" s="24">
        <f>IF('Terminal offers'!$H$64&gt;0,'Terminal offers'!$H$64,'Terminal offers'!$H$68)</f>
        <v>2.9711000000000001E-2</v>
      </c>
      <c r="J106" s="25">
        <f>'Terminal offers'!$J$64</f>
        <v>0</v>
      </c>
      <c r="K106" s="65">
        <f t="shared" si="18"/>
        <v>1.6388888888888888</v>
      </c>
      <c r="L106" s="26">
        <f t="shared" si="19"/>
        <v>0</v>
      </c>
      <c r="M106" s="25">
        <f>F106*(C113+C114)</f>
        <v>30.522123552956312</v>
      </c>
      <c r="N106" s="65">
        <f>(H106*C115)+(I106*C116)</f>
        <v>6.3176526666049906</v>
      </c>
      <c r="O106" s="28">
        <f t="shared" si="20"/>
        <v>38.478665108450194</v>
      </c>
      <c r="P106" s="62">
        <f t="shared" si="21"/>
        <v>1924.0167537805241</v>
      </c>
      <c r="Q106" s="151">
        <f>(P106+O106)/P106-1</f>
        <v>1.9999132041258472E-2</v>
      </c>
      <c r="R106" s="13"/>
    </row>
    <row r="107" spans="1:18">
      <c r="A107" s="13"/>
      <c r="B107" s="137" t="str">
        <f>'Terminal offers'!$A$63</f>
        <v>Quest PocketPay</v>
      </c>
      <c r="C107" s="131">
        <f>'Terminal offers'!$B$63</f>
        <v>0</v>
      </c>
      <c r="D107" s="131">
        <f>'Terminal offers'!$C$63</f>
        <v>25.3</v>
      </c>
      <c r="E107" s="140">
        <f>'Terminal offers'!$D$63</f>
        <v>0</v>
      </c>
      <c r="F107" s="231">
        <f>'Terminal offers'!$E$63</f>
        <v>0.30800000000000005</v>
      </c>
      <c r="G107" s="232">
        <f>'Terminal offers'!$F$63</f>
        <v>2.0020000000000003E-2</v>
      </c>
      <c r="H107" s="128">
        <f>IF('Terminal offers'!$G$63&gt;0,'Terminal offers'!$G$63,'Terminal offers'!$G$68)</f>
        <v>2.3276000000000005E-2</v>
      </c>
      <c r="I107" s="128">
        <f>IF('Terminal offers'!$H$63&gt;0,'Terminal offers'!$H$63,'Terminal offers'!$H$68)</f>
        <v>2.9711000000000001E-2</v>
      </c>
      <c r="J107" s="129">
        <f>'Terminal offers'!$J$63</f>
        <v>0</v>
      </c>
      <c r="K107" s="131">
        <f t="shared" si="18"/>
        <v>0</v>
      </c>
      <c r="L107" s="130">
        <f t="shared" si="19"/>
        <v>25.3</v>
      </c>
      <c r="M107" s="138">
        <f>((F107*C118)+(G107*C114))</f>
        <v>31.422082068678254</v>
      </c>
      <c r="N107" s="139">
        <f>(H107*C115)+(I107*C116)</f>
        <v>7.5625032188709458</v>
      </c>
      <c r="O107" s="132">
        <f t="shared" si="20"/>
        <v>64.284585287549206</v>
      </c>
      <c r="P107" s="140">
        <f>$C$110</f>
        <v>1924.0167537805241</v>
      </c>
      <c r="Q107" s="152">
        <f>(P107+O107)/P107-1</f>
        <v>3.3411655673598162E-2</v>
      </c>
      <c r="R107" s="13"/>
    </row>
    <row r="108" spans="1:18">
      <c r="A108" s="13"/>
      <c r="B108" s="67"/>
      <c r="C108" s="15"/>
      <c r="D108" s="16"/>
      <c r="E108" s="16"/>
      <c r="F108" s="16"/>
      <c r="G108" s="16"/>
      <c r="H108" s="16"/>
      <c r="I108" s="16"/>
      <c r="J108" s="15"/>
      <c r="K108" s="15"/>
      <c r="L108" s="15"/>
      <c r="M108" s="15"/>
      <c r="N108" s="15"/>
      <c r="O108" s="15"/>
      <c r="P108" s="134" t="s">
        <v>13</v>
      </c>
      <c r="Q108" s="144">
        <f>AVERAGE(Q98:Q107)</f>
        <v>2.4222651483855672E-2</v>
      </c>
      <c r="R108" s="13"/>
    </row>
    <row r="109" spans="1:18">
      <c r="A109" s="13"/>
      <c r="B109" s="40" t="s">
        <v>108</v>
      </c>
      <c r="C109" s="41"/>
      <c r="D109" s="251"/>
      <c r="E109" s="251"/>
      <c r="F109" s="251"/>
      <c r="G109" s="251"/>
      <c r="H109" s="251"/>
      <c r="I109" s="251"/>
      <c r="J109" s="251"/>
      <c r="K109" s="251"/>
      <c r="L109" s="251"/>
      <c r="M109" s="251"/>
      <c r="N109" s="251"/>
      <c r="O109" s="251"/>
      <c r="P109" s="135" t="s">
        <v>17</v>
      </c>
      <c r="Q109" s="145">
        <f>MIN(Q98:Q107)</f>
        <v>1.9999132041258472E-2</v>
      </c>
      <c r="R109" s="13"/>
    </row>
    <row r="110" spans="1:18">
      <c r="A110" s="13"/>
      <c r="B110" s="42" t="s">
        <v>33</v>
      </c>
      <c r="C110" s="43">
        <f>'1. Monthly revenue &amp; trips '!C6*0.9</f>
        <v>1924.0167537805241</v>
      </c>
      <c r="D110" s="251"/>
      <c r="E110" s="251"/>
      <c r="F110" s="251"/>
      <c r="G110" s="251"/>
      <c r="H110" s="251"/>
      <c r="I110" s="251"/>
      <c r="J110" s="251"/>
      <c r="K110" s="251"/>
      <c r="L110" s="251"/>
      <c r="M110" s="251"/>
      <c r="N110" s="251"/>
      <c r="O110" s="251"/>
      <c r="P110" s="136" t="s">
        <v>18</v>
      </c>
      <c r="Q110" s="146">
        <f>MAX(Q98:Q107)</f>
        <v>3.3411655673598162E-2</v>
      </c>
      <c r="R110" s="13"/>
    </row>
    <row r="111" spans="1:18">
      <c r="A111" s="13"/>
      <c r="B111" s="42" t="s">
        <v>21</v>
      </c>
      <c r="C111" s="45">
        <f>'8. Monthly revenue and trips'!C4</f>
        <v>28.489485170139162</v>
      </c>
      <c r="D111" s="251"/>
      <c r="E111" s="251"/>
      <c r="F111" s="251"/>
      <c r="G111" s="251"/>
      <c r="H111" s="251"/>
      <c r="I111" s="251"/>
      <c r="J111" s="251"/>
      <c r="K111" s="251"/>
      <c r="L111" s="251"/>
      <c r="M111" s="251"/>
      <c r="N111" s="251"/>
      <c r="O111" s="251"/>
      <c r="P111" s="15"/>
      <c r="Q111" s="15"/>
      <c r="R111" s="13"/>
    </row>
    <row r="112" spans="1:18">
      <c r="A112" s="13"/>
      <c r="B112" s="42"/>
      <c r="C112" s="45"/>
      <c r="D112" s="251"/>
      <c r="E112" s="251"/>
      <c r="F112" s="251"/>
      <c r="G112" s="251"/>
      <c r="H112" s="251"/>
      <c r="I112" s="251"/>
      <c r="J112" s="251"/>
      <c r="K112" s="251"/>
      <c r="L112" s="251"/>
      <c r="M112" s="251"/>
      <c r="N112" s="251"/>
      <c r="O112" s="251"/>
      <c r="P112" s="15"/>
      <c r="Q112" s="15"/>
      <c r="R112" s="13"/>
    </row>
    <row r="113" spans="1:18">
      <c r="A113" s="13"/>
      <c r="B113" s="42" t="s">
        <v>34</v>
      </c>
      <c r="C113" s="46">
        <f>'8. Monthly revenue and trips'!C19*'6. Sensitivity(mPOS) '!C110</f>
        <v>80.203940253187511</v>
      </c>
      <c r="D113" s="251"/>
      <c r="E113" s="251"/>
      <c r="F113" s="251"/>
      <c r="G113" s="251"/>
      <c r="H113" s="251"/>
      <c r="I113" s="251"/>
      <c r="J113" s="251"/>
      <c r="K113" s="251"/>
      <c r="L113" s="251"/>
      <c r="M113" s="251"/>
      <c r="N113" s="251"/>
      <c r="O113" s="251"/>
      <c r="P113" s="15"/>
      <c r="Q113" s="15"/>
      <c r="R113" s="13"/>
    </row>
    <row r="114" spans="1:18">
      <c r="A114" s="13"/>
      <c r="B114" s="42" t="s">
        <v>197</v>
      </c>
      <c r="C114" s="46">
        <f>'8. Monthly revenue and trips'!C20*'6. Sensitivity(mPOS) '!C110</f>
        <v>1526.2236151655659</v>
      </c>
      <c r="D114" s="251"/>
      <c r="E114" s="251"/>
      <c r="F114" s="251"/>
      <c r="G114" s="251"/>
      <c r="H114" s="251"/>
      <c r="I114" s="251"/>
      <c r="J114" s="251"/>
      <c r="K114" s="251"/>
      <c r="L114" s="251"/>
      <c r="M114" s="251"/>
      <c r="N114" s="251"/>
      <c r="O114" s="251"/>
      <c r="P114" s="15"/>
      <c r="Q114" s="15"/>
      <c r="R114" s="13"/>
    </row>
    <row r="115" spans="1:18">
      <c r="A115" s="13"/>
      <c r="B115" s="42" t="s">
        <v>39</v>
      </c>
      <c r="C115" s="46">
        <f>'8. Monthly revenue and trips'!C21*'6. Sensitivity(mPOS) '!C110</f>
        <v>291.1250122230951</v>
      </c>
      <c r="D115" s="251"/>
      <c r="E115" s="251"/>
      <c r="F115" s="251"/>
      <c r="G115" s="251"/>
      <c r="H115" s="251"/>
      <c r="I115" s="251"/>
      <c r="J115" s="251"/>
      <c r="K115" s="251"/>
      <c r="L115" s="251"/>
      <c r="M115" s="251"/>
      <c r="N115" s="251"/>
      <c r="O115" s="251"/>
      <c r="P115" s="15"/>
      <c r="Q115" s="15"/>
      <c r="R115" s="13"/>
    </row>
    <row r="116" spans="1:18">
      <c r="A116" s="13"/>
      <c r="B116" s="42" t="s">
        <v>114</v>
      </c>
      <c r="C116" s="46">
        <f>'8. Monthly revenue and trips'!C22*'6. Sensitivity(mPOS) '!C110</f>
        <v>26.464186138675359</v>
      </c>
      <c r="D116" s="251"/>
      <c r="E116" s="251"/>
      <c r="F116" s="251"/>
      <c r="G116" s="251"/>
      <c r="H116" s="251"/>
      <c r="I116" s="251"/>
      <c r="J116" s="251"/>
      <c r="K116" s="251"/>
      <c r="L116" s="251"/>
      <c r="M116" s="251"/>
      <c r="N116" s="251"/>
      <c r="O116" s="251"/>
      <c r="P116" s="15"/>
      <c r="Q116" s="15"/>
      <c r="R116" s="13"/>
    </row>
    <row r="117" spans="1:18">
      <c r="A117" s="13"/>
      <c r="B117" s="42"/>
      <c r="C117" s="46"/>
      <c r="D117" s="251"/>
      <c r="E117" s="251"/>
      <c r="F117" s="251"/>
      <c r="G117" s="251"/>
      <c r="H117" s="251"/>
      <c r="I117" s="251"/>
      <c r="J117" s="251"/>
      <c r="K117" s="251"/>
      <c r="L117" s="251"/>
      <c r="M117" s="251"/>
      <c r="N117" s="251"/>
      <c r="O117" s="251"/>
      <c r="P117" s="15"/>
      <c r="Q117" s="15"/>
      <c r="R117" s="13"/>
    </row>
    <row r="118" spans="1:18">
      <c r="A118" s="13"/>
      <c r="B118" s="42" t="s">
        <v>38</v>
      </c>
      <c r="C118" s="51">
        <f>C113/$C$111</f>
        <v>2.8152119904662967</v>
      </c>
      <c r="D118" s="251"/>
      <c r="E118" s="251"/>
      <c r="F118" s="251"/>
      <c r="G118" s="251"/>
      <c r="H118" s="251"/>
      <c r="I118" s="251"/>
      <c r="J118" s="251"/>
      <c r="K118" s="251"/>
      <c r="L118" s="251"/>
      <c r="M118" s="251"/>
      <c r="N118" s="251"/>
      <c r="O118" s="251"/>
      <c r="P118" s="15"/>
      <c r="Q118" s="15"/>
      <c r="R118" s="13"/>
    </row>
    <row r="119" spans="1:18">
      <c r="A119" s="13"/>
      <c r="B119" s="42" t="s">
        <v>198</v>
      </c>
      <c r="C119" s="51">
        <f t="shared" ref="C119:C120" si="23">C114/$C$111</f>
        <v>53.571470528546264</v>
      </c>
      <c r="D119" s="251"/>
      <c r="E119" s="251"/>
      <c r="F119" s="251"/>
      <c r="G119" s="251"/>
      <c r="H119" s="251"/>
      <c r="I119" s="251"/>
      <c r="J119" s="251"/>
      <c r="K119" s="251"/>
      <c r="L119" s="251"/>
      <c r="M119" s="251"/>
      <c r="N119" s="251"/>
      <c r="O119" s="251"/>
      <c r="P119" s="15"/>
      <c r="Q119" s="15"/>
      <c r="R119" s="13"/>
    </row>
    <row r="120" spans="1:18">
      <c r="A120" s="13"/>
      <c r="B120" s="42" t="s">
        <v>41</v>
      </c>
      <c r="C120" s="51">
        <f t="shared" si="23"/>
        <v>10.218682804708369</v>
      </c>
      <c r="D120" s="251"/>
      <c r="E120" s="251"/>
      <c r="F120" s="251"/>
      <c r="G120" s="251"/>
      <c r="H120" s="251"/>
      <c r="I120" s="251"/>
      <c r="J120" s="251"/>
      <c r="K120" s="251"/>
      <c r="L120" s="251"/>
      <c r="M120" s="251"/>
      <c r="N120" s="251"/>
      <c r="O120" s="251"/>
      <c r="P120" s="15"/>
      <c r="Q120" s="15"/>
      <c r="R120" s="13"/>
    </row>
    <row r="121" spans="1:18">
      <c r="A121" s="13"/>
      <c r="B121" s="44" t="s">
        <v>113</v>
      </c>
      <c r="C121" s="54">
        <f>C116/$C$111</f>
        <v>0.92891064828413994</v>
      </c>
      <c r="D121" s="251"/>
      <c r="E121" s="251"/>
      <c r="F121" s="251"/>
      <c r="G121" s="251"/>
      <c r="H121" s="251"/>
      <c r="I121" s="251"/>
      <c r="J121" s="251"/>
      <c r="K121" s="251"/>
      <c r="L121" s="251"/>
      <c r="M121" s="251"/>
      <c r="N121" s="251"/>
      <c r="O121" s="251"/>
      <c r="P121" s="15"/>
      <c r="Q121" s="15"/>
      <c r="R121" s="13"/>
    </row>
    <row r="122" spans="1:18">
      <c r="A122" s="13"/>
      <c r="B122" s="13"/>
      <c r="C122" s="13"/>
      <c r="D122" s="14"/>
      <c r="E122" s="14"/>
      <c r="F122" s="14"/>
      <c r="G122" s="14"/>
      <c r="H122" s="14"/>
      <c r="I122" s="14"/>
      <c r="J122" s="13"/>
      <c r="K122" s="13"/>
      <c r="L122" s="13"/>
      <c r="M122" s="13"/>
      <c r="N122" s="13"/>
      <c r="O122" s="13"/>
      <c r="P122" s="13"/>
      <c r="Q122" s="13"/>
      <c r="R122" s="13"/>
    </row>
  </sheetData>
  <mergeCells count="33">
    <mergeCell ref="F99:G99"/>
    <mergeCell ref="F101:G101"/>
    <mergeCell ref="F105:G105"/>
    <mergeCell ref="F106:G106"/>
    <mergeCell ref="F46:G46"/>
    <mergeCell ref="F69:G69"/>
    <mergeCell ref="F71:G71"/>
    <mergeCell ref="F75:G75"/>
    <mergeCell ref="F76:G76"/>
    <mergeCell ref="C96:J96"/>
    <mergeCell ref="Q6:Q7"/>
    <mergeCell ref="Q36:Q37"/>
    <mergeCell ref="Q66:Q67"/>
    <mergeCell ref="Q96:Q97"/>
    <mergeCell ref="B2:Q2"/>
    <mergeCell ref="B4:Q4"/>
    <mergeCell ref="B34:Q34"/>
    <mergeCell ref="B64:Q64"/>
    <mergeCell ref="B94:Q94"/>
    <mergeCell ref="F9:G9"/>
    <mergeCell ref="F11:G11"/>
    <mergeCell ref="F15:G15"/>
    <mergeCell ref="F16:G16"/>
    <mergeCell ref="F39:G39"/>
    <mergeCell ref="F41:G41"/>
    <mergeCell ref="F45:G45"/>
    <mergeCell ref="K96:O96"/>
    <mergeCell ref="C6:J6"/>
    <mergeCell ref="K6:O6"/>
    <mergeCell ref="C36:J36"/>
    <mergeCell ref="K36:O36"/>
    <mergeCell ref="C66:J66"/>
    <mergeCell ref="K66:O66"/>
  </mergeCells>
  <pageMargins left="0.7" right="0.7" top="0.75" bottom="0.75" header="0.3" footer="0.3"/>
  <pageSetup paperSize="8" scale="4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Explanatory Sheet</vt:lpstr>
      <vt:lpstr>Terminal offers</vt:lpstr>
      <vt:lpstr>Two terminal assumption &gt;&gt;</vt:lpstr>
      <vt:lpstr>1. Monthly revenue &amp; trips </vt:lpstr>
      <vt:lpstr>2. Costs(all EFTPOS offers) </vt:lpstr>
      <vt:lpstr>3. Benchmarking(EFTPOS) </vt:lpstr>
      <vt:lpstr>4. Benchmarking(mPOS) </vt:lpstr>
      <vt:lpstr>5. Sensitivity(EFTPOS) </vt:lpstr>
      <vt:lpstr>6. Sensitivity(mPOS) </vt:lpstr>
      <vt:lpstr>7. Charts </vt:lpstr>
      <vt:lpstr>Single terminal assumption &gt;&gt;</vt:lpstr>
      <vt:lpstr>8. Monthly revenue and trips</vt:lpstr>
      <vt:lpstr>9. Costs(all EFTPOS offers)</vt:lpstr>
      <vt:lpstr>10. Benchmarking (EFTPOS)</vt:lpstr>
      <vt:lpstr>11. Benchmarking (mPOS)</vt:lpstr>
      <vt:lpstr>12. Sensitivity (EFTPOS)</vt:lpstr>
      <vt:lpstr>13. Sensitivity (mPOS)</vt:lpstr>
      <vt:lpstr>14. Charts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2019-06-25T06:49:01Z</dcterms:created>
  <dcterms:modified xsi:type="dcterms:W3CDTF">2019-06-27T00:33:08Z</dcterms:modified>
</cp:coreProperties>
</file>