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https://escvic-my.sharepoint.com/personal/jason_cox_esc_vic_gov_au/Documents/Desktop/"/>
    </mc:Choice>
  </mc:AlternateContent>
  <xr:revisionPtr revIDLastSave="0" documentId="8_{42D7DA59-AEF1-4EC2-A2AD-E60F0A61686E}" xr6:coauthVersionLast="47" xr6:coauthVersionMax="47" xr10:uidLastSave="{00000000-0000-0000-0000-000000000000}"/>
  <workbookProtection workbookAlgorithmName="SHA-512" workbookHashValue="fhPpLGcMUakytcP7oN3Kvf27kp/1f4Roq4YIDs8UXHeVBHlpTF2uI9U3IHeL6Rx+WdXVPVfW5XxviBVAIJOX0Q==" workbookSaltValue="+//KVY4QfwsHWFyz91KDpw==" workbookSpinCount="100000" lockStructure="1"/>
  <bookViews>
    <workbookView xWindow="20370" yWindow="-120" windowWidth="29040" windowHeight="15840" tabRatio="826" xr2:uid="{21F7D13D-9013-43E7-9BFA-8F11B659F51E}"/>
  </bookViews>
  <sheets>
    <sheet name="Instructions for use" sheetId="9" r:id="rId1"/>
    <sheet name="TM-21 inputs" sheetId="1" r:id="rId2"/>
    <sheet name="Visualisations" sheetId="4" r:id="rId3"/>
    <sheet name="Report (Temp only interpolat'n)" sheetId="11" r:id="rId4"/>
    <sheet name="Report (Current only interpl'n)" sheetId="10" r:id="rId5"/>
    <sheet name="Report (Temp &amp; Current intpl'n)" sheetId="12" r:id="rId6"/>
    <sheet name="hidden sum calcs" sheetId="7" state="hidden" r:id="rId7"/>
    <sheet name="hidden sheet 1" sheetId="8" state="hidden" r:id="rId8"/>
  </sheets>
  <definedNames>
    <definedName name="dropdown">'hidden sheet 1'!$X$6:$X$9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 i="7" l="1"/>
  <c r="AG5" i="7"/>
  <c r="V49" i="1" l="1"/>
  <c r="M49" i="1"/>
  <c r="D49" i="1"/>
  <c r="B1" i="10" s="1"/>
  <c r="Y17" i="8"/>
  <c r="U49" i="1"/>
  <c r="L49" i="1"/>
  <c r="C49" i="1"/>
  <c r="A1" i="12" s="1"/>
  <c r="L37" i="1"/>
  <c r="E27" i="12" s="1"/>
  <c r="X37" i="1"/>
  <c r="U37" i="1"/>
  <c r="B1" i="12" l="1"/>
  <c r="B1" i="11"/>
  <c r="A1" i="10"/>
  <c r="A1" i="11"/>
  <c r="C24" i="10"/>
  <c r="C25" i="11"/>
  <c r="E16" i="1" l="1"/>
  <c r="F16" i="1" s="1"/>
  <c r="E7" i="10" s="1"/>
  <c r="E15" i="1"/>
  <c r="F15" i="1" s="1"/>
  <c r="E5" i="10" s="1"/>
  <c r="F22" i="1"/>
  <c r="C25" i="10" s="1"/>
  <c r="D4" i="11"/>
  <c r="C4" i="11"/>
  <c r="D4" i="10"/>
  <c r="C4" i="10"/>
  <c r="K1" i="4"/>
  <c r="M1" i="4"/>
  <c r="O1" i="4"/>
  <c r="Q1" i="4"/>
  <c r="S1" i="4"/>
  <c r="I16" i="4"/>
  <c r="I17" i="4" s="1"/>
  <c r="I18" i="4" s="1"/>
  <c r="F3" i="12"/>
  <c r="E3" i="12"/>
  <c r="D3" i="12"/>
  <c r="C3" i="12"/>
  <c r="AG3" i="7"/>
  <c r="AG2" i="7"/>
  <c r="AM4" i="7" l="1"/>
  <c r="AN4" i="7"/>
  <c r="AN5" i="7"/>
  <c r="AN2" i="7"/>
  <c r="AM2" i="7"/>
  <c r="AN3" i="7"/>
  <c r="AM3" i="7"/>
  <c r="AM5" i="7"/>
  <c r="G6" i="12"/>
  <c r="E7" i="11"/>
  <c r="G4" i="12"/>
  <c r="E5" i="11"/>
  <c r="E26" i="12"/>
  <c r="C26" i="11"/>
  <c r="Z25" i="7"/>
  <c r="Z24" i="7"/>
  <c r="W16" i="7"/>
  <c r="AC16" i="7"/>
  <c r="AC14" i="7"/>
  <c r="T26" i="7"/>
  <c r="T25" i="7"/>
  <c r="W14" i="7"/>
  <c r="W15" i="7" s="1"/>
  <c r="D14" i="7"/>
  <c r="D12" i="7"/>
  <c r="Q6" i="8" s="1"/>
  <c r="E26" i="1"/>
  <c r="E27" i="1"/>
  <c r="E28" i="1"/>
  <c r="AF29" i="8" s="1"/>
  <c r="AD29" i="8" s="1"/>
  <c r="F8" i="12"/>
  <c r="E8" i="12"/>
  <c r="D8" i="12"/>
  <c r="C8" i="12"/>
  <c r="F6" i="12"/>
  <c r="E6" i="12"/>
  <c r="D6" i="12"/>
  <c r="C6" i="12"/>
  <c r="F5" i="12"/>
  <c r="E5" i="12"/>
  <c r="D5" i="12"/>
  <c r="C5" i="12"/>
  <c r="F4" i="12"/>
  <c r="E4" i="12"/>
  <c r="D4" i="12"/>
  <c r="C4" i="12"/>
  <c r="D9" i="11"/>
  <c r="C9" i="11"/>
  <c r="D7" i="11"/>
  <c r="C7" i="11"/>
  <c r="D6" i="11"/>
  <c r="C6" i="11"/>
  <c r="D5" i="11"/>
  <c r="C5" i="11"/>
  <c r="Z6" i="8"/>
  <c r="Z7" i="8"/>
  <c r="Z8" i="8"/>
  <c r="Z9" i="8"/>
  <c r="D9" i="10"/>
  <c r="C9" i="10"/>
  <c r="D7" i="10"/>
  <c r="C7" i="10"/>
  <c r="D6" i="10"/>
  <c r="C6" i="10"/>
  <c r="D5" i="10"/>
  <c r="C5" i="10"/>
  <c r="F21" i="1"/>
  <c r="AK14" i="8"/>
  <c r="AK13" i="8"/>
  <c r="E29" i="1"/>
  <c r="E30" i="1"/>
  <c r="E31" i="1"/>
  <c r="E32" i="1"/>
  <c r="E33" i="1"/>
  <c r="E6" i="8"/>
  <c r="Y16" i="8" l="1"/>
  <c r="B51" i="4"/>
  <c r="B22" i="10"/>
  <c r="AG8" i="8"/>
  <c r="AE8" i="8" s="1"/>
  <c r="AE28" i="8" s="1"/>
  <c r="AG28" i="8"/>
  <c r="AF8" i="8"/>
  <c r="AD8" i="8" s="1"/>
  <c r="AD28" i="8" s="1"/>
  <c r="AF28" i="8"/>
  <c r="AG7" i="8"/>
  <c r="AE7" i="8" s="1"/>
  <c r="AE27" i="8" s="1"/>
  <c r="AG27" i="8"/>
  <c r="AF7" i="8"/>
  <c r="AD7" i="8" s="1"/>
  <c r="AD27" i="8" s="1"/>
  <c r="AF27" i="8"/>
  <c r="AF10" i="8"/>
  <c r="AD10" i="8" s="1"/>
  <c r="AF30" i="8"/>
  <c r="AD30" i="8" s="1"/>
  <c r="AG10" i="8"/>
  <c r="AE10" i="8" s="1"/>
  <c r="AG30" i="8"/>
  <c r="AE30" i="8" s="1"/>
  <c r="AG9" i="8"/>
  <c r="AE9" i="8" s="1"/>
  <c r="AG29" i="8"/>
  <c r="AE29" i="8" s="1"/>
  <c r="AC15" i="7"/>
  <c r="B23" i="11" s="1"/>
  <c r="B22" i="11"/>
  <c r="E1" i="7"/>
  <c r="E3" i="7" s="1"/>
  <c r="J21" i="4" s="1"/>
  <c r="A25" i="10"/>
  <c r="E23" i="12"/>
  <c r="A26" i="11"/>
  <c r="AC11" i="7"/>
  <c r="U14" i="7"/>
  <c r="W11" i="7"/>
  <c r="AF9" i="8"/>
  <c r="AD9" i="8" s="1"/>
  <c r="A12" i="12"/>
  <c r="A13" i="11"/>
  <c r="A13" i="10"/>
  <c r="E7" i="7"/>
  <c r="AF33" i="7"/>
  <c r="AF25" i="7"/>
  <c r="M20" i="7"/>
  <c r="M21" i="7"/>
  <c r="AD14" i="8"/>
  <c r="AE14" i="8"/>
  <c r="U15" i="7" l="1"/>
  <c r="E2" i="7"/>
  <c r="AK18" i="8"/>
  <c r="AK21" i="8"/>
  <c r="AK20" i="8"/>
  <c r="AG21" i="8"/>
  <c r="AG22" i="8"/>
  <c r="AI20" i="8"/>
  <c r="AK19" i="8"/>
  <c r="AI19" i="8"/>
  <c r="AG19" i="8"/>
  <c r="AK22" i="8"/>
  <c r="AG20" i="8"/>
  <c r="AG18" i="8"/>
  <c r="AJ8" i="8"/>
  <c r="AJ7" i="8"/>
  <c r="J36" i="8"/>
  <c r="J34" i="8"/>
  <c r="E36" i="8"/>
  <c r="E34" i="8"/>
  <c r="J8" i="8"/>
  <c r="J6" i="8"/>
  <c r="E8" i="8"/>
  <c r="AF26" i="7"/>
  <c r="AF34" i="7"/>
  <c r="AG1" i="7"/>
  <c r="AG7" i="7" s="1"/>
  <c r="AG6" i="7" s="1"/>
  <c r="AJ1" i="7"/>
  <c r="AH25" i="7"/>
  <c r="AH26" i="7" s="1"/>
  <c r="AJ25" i="7"/>
  <c r="AJ26" i="7" s="1"/>
  <c r="AH33" i="7"/>
  <c r="AI33" i="7"/>
  <c r="AJ33" i="7"/>
  <c r="AK33" i="7"/>
  <c r="T9" i="1"/>
  <c r="T10" i="1"/>
  <c r="T7" i="1"/>
  <c r="AE21" i="8" l="1"/>
  <c r="AE18" i="8"/>
  <c r="AE22" i="8"/>
  <c r="AK14" i="7"/>
  <c r="T2" i="4" s="1"/>
  <c r="AE19" i="8"/>
  <c r="AE20" i="8"/>
  <c r="J35" i="8"/>
  <c r="F40" i="8"/>
  <c r="H12" i="7"/>
  <c r="S6" i="8" s="1"/>
  <c r="F12" i="8"/>
  <c r="K40" i="8"/>
  <c r="J12" i="7"/>
  <c r="J13" i="7" s="1"/>
  <c r="T7" i="8" s="1"/>
  <c r="K41" i="8"/>
  <c r="J14" i="7"/>
  <c r="Q14" i="7" s="1"/>
  <c r="K12" i="8"/>
  <c r="F12" i="7"/>
  <c r="F41" i="8"/>
  <c r="H14" i="7"/>
  <c r="S8" i="8" s="1"/>
  <c r="E7" i="8"/>
  <c r="C7" i="12" s="1"/>
  <c r="J7" i="8"/>
  <c r="E35" i="8"/>
  <c r="AK16" i="7"/>
  <c r="AK15" i="7" l="1"/>
  <c r="F17" i="12" s="1"/>
  <c r="F16" i="12"/>
  <c r="F15" i="12"/>
  <c r="C44" i="1"/>
  <c r="C22" i="10" s="1"/>
  <c r="AJ14" i="7"/>
  <c r="AI14" i="7"/>
  <c r="D15" i="12" s="1"/>
  <c r="F13" i="7"/>
  <c r="R7" i="8" s="1"/>
  <c r="V14" i="7"/>
  <c r="N12" i="7"/>
  <c r="D8" i="11"/>
  <c r="D7" i="12"/>
  <c r="C8" i="11"/>
  <c r="E7" i="12"/>
  <c r="F7" i="12"/>
  <c r="C8" i="10"/>
  <c r="C44" i="8"/>
  <c r="D8" i="10"/>
  <c r="T6" i="8"/>
  <c r="Q12" i="7"/>
  <c r="Q11" i="7" s="1"/>
  <c r="R6" i="8"/>
  <c r="O12" i="7"/>
  <c r="D13" i="7"/>
  <c r="Q7" i="8" s="1"/>
  <c r="AK11" i="7"/>
  <c r="S2" i="4" s="1"/>
  <c r="P12" i="7"/>
  <c r="H13" i="7"/>
  <c r="S7" i="8" s="1"/>
  <c r="I11" i="7"/>
  <c r="H11" i="7" s="1"/>
  <c r="P14" i="7"/>
  <c r="T8" i="8"/>
  <c r="K11" i="7"/>
  <c r="J11" i="7" s="1"/>
  <c r="E9" i="8"/>
  <c r="E10" i="8" s="1"/>
  <c r="C16" i="8"/>
  <c r="Q13" i="7"/>
  <c r="E5" i="7"/>
  <c r="E37" i="8"/>
  <c r="E38" i="8" s="1"/>
  <c r="C45" i="8" s="1"/>
  <c r="J37" i="8"/>
  <c r="H44" i="8"/>
  <c r="J9" i="8"/>
  <c r="J10" i="8" s="1"/>
  <c r="H16" i="8"/>
  <c r="J44" i="8" l="1"/>
  <c r="I44" i="8"/>
  <c r="J16" i="7" s="1"/>
  <c r="D44" i="8"/>
  <c r="H16" i="7" s="1"/>
  <c r="E44" i="8"/>
  <c r="G44" i="8" s="1"/>
  <c r="C46" i="8"/>
  <c r="D45" i="8"/>
  <c r="H17" i="7" s="1"/>
  <c r="E45" i="8"/>
  <c r="I16" i="8"/>
  <c r="F16" i="7" s="1"/>
  <c r="J16" i="8"/>
  <c r="D16" i="8"/>
  <c r="D16" i="7" s="1"/>
  <c r="E16" i="8"/>
  <c r="E16" i="7" s="1"/>
  <c r="AG14" i="7"/>
  <c r="B15" i="12" s="1"/>
  <c r="AH14" i="7"/>
  <c r="E24" i="12"/>
  <c r="C23" i="11"/>
  <c r="R2" i="4"/>
  <c r="AA14" i="7"/>
  <c r="AA15" i="7" s="1"/>
  <c r="AB14" i="7"/>
  <c r="AB15" i="7" s="1"/>
  <c r="B16" i="11" s="1"/>
  <c r="O13" i="7"/>
  <c r="V15" i="7"/>
  <c r="C17" i="8"/>
  <c r="P13" i="7"/>
  <c r="P11" i="7"/>
  <c r="N13" i="7"/>
  <c r="H17" i="8"/>
  <c r="E6" i="7"/>
  <c r="J38" i="8"/>
  <c r="H45" i="8" s="1"/>
  <c r="C24" i="7"/>
  <c r="C25" i="7" s="1"/>
  <c r="C26" i="7" s="1"/>
  <c r="C28" i="7" s="1"/>
  <c r="C29" i="7" s="1"/>
  <c r="C30" i="7" s="1"/>
  <c r="C32" i="7" s="1"/>
  <c r="C33" i="7" s="1"/>
  <c r="C34" i="7" s="1"/>
  <c r="C35" i="7" s="1"/>
  <c r="C36" i="7" s="1"/>
  <c r="C37" i="7" s="1"/>
  <c r="C38" i="7" s="1"/>
  <c r="C39" i="7" s="1"/>
  <c r="C40" i="7" s="1"/>
  <c r="C41" i="7" s="1"/>
  <c r="I16" i="7" l="1"/>
  <c r="H46" i="8"/>
  <c r="J45" i="8"/>
  <c r="L45" i="8" s="1"/>
  <c r="I45" i="8"/>
  <c r="J17" i="7" s="1"/>
  <c r="C47" i="8"/>
  <c r="E46" i="8"/>
  <c r="I18" i="7" s="1"/>
  <c r="D46" i="8"/>
  <c r="H18" i="7" s="1"/>
  <c r="H18" i="8"/>
  <c r="I17" i="8"/>
  <c r="F17" i="7" s="1"/>
  <c r="J17" i="8"/>
  <c r="G17" i="7" s="1"/>
  <c r="G16" i="8"/>
  <c r="C18" i="8"/>
  <c r="D17" i="8"/>
  <c r="D17" i="7" s="1"/>
  <c r="E17" i="8"/>
  <c r="E17" i="7" s="1"/>
  <c r="G16" i="7"/>
  <c r="J22" i="4"/>
  <c r="J23" i="4" s="1"/>
  <c r="J24" i="4" s="1"/>
  <c r="K16" i="7"/>
  <c r="L44" i="8"/>
  <c r="I17" i="7"/>
  <c r="G45" i="8"/>
  <c r="L16" i="8"/>
  <c r="G46" i="8" l="1"/>
  <c r="H47" i="8"/>
  <c r="I46" i="8"/>
  <c r="J18" i="7" s="1"/>
  <c r="J46" i="8"/>
  <c r="K18" i="7" s="1"/>
  <c r="C48" i="8"/>
  <c r="D47" i="8"/>
  <c r="H19" i="7" s="1"/>
  <c r="E47" i="8"/>
  <c r="I19" i="7" s="1"/>
  <c r="H19" i="8"/>
  <c r="I18" i="8"/>
  <c r="F18" i="7" s="1"/>
  <c r="J18" i="8"/>
  <c r="G18" i="7" s="1"/>
  <c r="C19" i="8"/>
  <c r="D18" i="8"/>
  <c r="D18" i="7" s="1"/>
  <c r="E18" i="8"/>
  <c r="E18" i="7" s="1"/>
  <c r="J25" i="4"/>
  <c r="J26" i="4" s="1"/>
  <c r="J27" i="4" s="1"/>
  <c r="J28" i="4" s="1"/>
  <c r="J29" i="4" s="1"/>
  <c r="J30" i="4" s="1"/>
  <c r="J31" i="4" s="1"/>
  <c r="J32" i="4" s="1"/>
  <c r="J33" i="4" s="1"/>
  <c r="J34" i="4" s="1"/>
  <c r="J35" i="4" s="1"/>
  <c r="J36" i="4" s="1"/>
  <c r="J37" i="4" s="1"/>
  <c r="J38" i="4" s="1"/>
  <c r="J39" i="4" s="1"/>
  <c r="J40" i="4" s="1"/>
  <c r="J41" i="4" s="1"/>
  <c r="J42" i="4" s="1"/>
  <c r="J43" i="4" s="1"/>
  <c r="J44" i="4" s="1"/>
  <c r="J45" i="4" s="1"/>
  <c r="J46" i="4" s="1"/>
  <c r="J47" i="4" s="1"/>
  <c r="J48" i="4" s="1"/>
  <c r="J49" i="4" s="1"/>
  <c r="J50" i="4" s="1"/>
  <c r="J51" i="4" s="1"/>
  <c r="AJ14" i="8" s="1"/>
  <c r="G17" i="8"/>
  <c r="L17" i="8"/>
  <c r="K17" i="7"/>
  <c r="G18" i="8" l="1"/>
  <c r="H48" i="8"/>
  <c r="J47" i="8"/>
  <c r="I47" i="8"/>
  <c r="J19" i="7" s="1"/>
  <c r="G47" i="8"/>
  <c r="C49" i="8"/>
  <c r="E48" i="8"/>
  <c r="I20" i="7" s="1"/>
  <c r="D48" i="8"/>
  <c r="H20" i="7" s="1"/>
  <c r="H20" i="8"/>
  <c r="I19" i="8"/>
  <c r="F19" i="7" s="1"/>
  <c r="J19" i="8"/>
  <c r="G19" i="7" s="1"/>
  <c r="C20" i="8"/>
  <c r="E19" i="8"/>
  <c r="E19" i="7" s="1"/>
  <c r="D19" i="8"/>
  <c r="D19" i="7" s="1"/>
  <c r="L18" i="8"/>
  <c r="L46" i="8"/>
  <c r="G48" i="8" l="1"/>
  <c r="H49" i="8"/>
  <c r="I48" i="8"/>
  <c r="J20" i="7" s="1"/>
  <c r="J48" i="8"/>
  <c r="K20" i="7" s="1"/>
  <c r="C50" i="8"/>
  <c r="E49" i="8"/>
  <c r="I21" i="7" s="1"/>
  <c r="D49" i="8"/>
  <c r="H21" i="7" s="1"/>
  <c r="H21" i="8"/>
  <c r="J20" i="8"/>
  <c r="G20" i="7" s="1"/>
  <c r="I20" i="8"/>
  <c r="F20" i="7" s="1"/>
  <c r="G19" i="8"/>
  <c r="C21" i="8"/>
  <c r="E20" i="8"/>
  <c r="E20" i="7" s="1"/>
  <c r="D20" i="8"/>
  <c r="D20" i="7" s="1"/>
  <c r="L47" i="8"/>
  <c r="K19" i="7"/>
  <c r="L19" i="8"/>
  <c r="H50" i="8" l="1"/>
  <c r="I49" i="8"/>
  <c r="J21" i="7" s="1"/>
  <c r="J49" i="8"/>
  <c r="K21" i="7" s="1"/>
  <c r="G49" i="8"/>
  <c r="C51" i="8"/>
  <c r="E50" i="8"/>
  <c r="I22" i="7" s="1"/>
  <c r="D50" i="8"/>
  <c r="H22" i="7" s="1"/>
  <c r="H22" i="8"/>
  <c r="J21" i="8"/>
  <c r="G21" i="7" s="1"/>
  <c r="I21" i="8"/>
  <c r="F21" i="7" s="1"/>
  <c r="C22" i="8"/>
  <c r="E21" i="8"/>
  <c r="E21" i="7" s="1"/>
  <c r="D21" i="8"/>
  <c r="D21" i="7" s="1"/>
  <c r="G20" i="8"/>
  <c r="L48" i="8"/>
  <c r="L20" i="8"/>
  <c r="G50" i="8" l="1"/>
  <c r="G21" i="8"/>
  <c r="H51" i="8"/>
  <c r="I50" i="8"/>
  <c r="J22" i="7" s="1"/>
  <c r="J50" i="8"/>
  <c r="K22" i="7" s="1"/>
  <c r="C52" i="8"/>
  <c r="D51" i="8"/>
  <c r="H23" i="7" s="1"/>
  <c r="E51" i="8"/>
  <c r="I23" i="7" s="1"/>
  <c r="J22" i="8"/>
  <c r="I22" i="8"/>
  <c r="F22" i="7" s="1"/>
  <c r="H23" i="8"/>
  <c r="E22" i="8"/>
  <c r="D22" i="8"/>
  <c r="D22" i="7" s="1"/>
  <c r="C23" i="8"/>
  <c r="L49" i="8"/>
  <c r="L21" i="8"/>
  <c r="H52" i="8" l="1"/>
  <c r="J51" i="8"/>
  <c r="K23" i="7" s="1"/>
  <c r="I51" i="8"/>
  <c r="J23" i="7" s="1"/>
  <c r="G51" i="8"/>
  <c r="C53" i="8"/>
  <c r="D52" i="8"/>
  <c r="H24" i="7" s="1"/>
  <c r="E52" i="8"/>
  <c r="I24" i="7" s="1"/>
  <c r="J23" i="8"/>
  <c r="I23" i="8"/>
  <c r="F23" i="7" s="1"/>
  <c r="H24" i="8"/>
  <c r="G22" i="7"/>
  <c r="L22" i="8"/>
  <c r="E23" i="8"/>
  <c r="D23" i="8"/>
  <c r="D23" i="7" s="1"/>
  <c r="C24" i="8"/>
  <c r="G22" i="8"/>
  <c r="E22" i="7"/>
  <c r="L50" i="8"/>
  <c r="H53" i="8" l="1"/>
  <c r="J52" i="8"/>
  <c r="K24" i="7" s="1"/>
  <c r="I52" i="8"/>
  <c r="J24" i="7" s="1"/>
  <c r="C54" i="8"/>
  <c r="D53" i="8"/>
  <c r="H25" i="7" s="1"/>
  <c r="E53" i="8"/>
  <c r="I25" i="7" s="1"/>
  <c r="G52" i="8"/>
  <c r="J24" i="8"/>
  <c r="I24" i="8"/>
  <c r="F24" i="7" s="1"/>
  <c r="H25" i="8"/>
  <c r="L23" i="8"/>
  <c r="G23" i="7"/>
  <c r="D24" i="8"/>
  <c r="D24" i="7" s="1"/>
  <c r="E24" i="8"/>
  <c r="C25" i="8"/>
  <c r="G23" i="8"/>
  <c r="E23" i="7"/>
  <c r="L51" i="8"/>
  <c r="H54" i="8" l="1"/>
  <c r="I53" i="8"/>
  <c r="J25" i="7" s="1"/>
  <c r="J53" i="8"/>
  <c r="K25" i="7" s="1"/>
  <c r="G53" i="8"/>
  <c r="C55" i="8"/>
  <c r="D54" i="8"/>
  <c r="H26" i="7" s="1"/>
  <c r="E54" i="8"/>
  <c r="I26" i="7" s="1"/>
  <c r="J25" i="8"/>
  <c r="I25" i="8"/>
  <c r="F25" i="7" s="1"/>
  <c r="H26" i="8"/>
  <c r="L24" i="8"/>
  <c r="G24" i="7"/>
  <c r="D25" i="8"/>
  <c r="D25" i="7" s="1"/>
  <c r="E25" i="8"/>
  <c r="C26" i="8"/>
  <c r="E24" i="7"/>
  <c r="G24" i="8"/>
  <c r="L52" i="8"/>
  <c r="G54" i="8" l="1"/>
  <c r="H55" i="8"/>
  <c r="I54" i="8"/>
  <c r="J26" i="7" s="1"/>
  <c r="J54" i="8"/>
  <c r="K26" i="7" s="1"/>
  <c r="C56" i="8"/>
  <c r="D55" i="8"/>
  <c r="H28" i="7" s="1"/>
  <c r="E55" i="8"/>
  <c r="I28" i="7" s="1"/>
  <c r="I26" i="8"/>
  <c r="F26" i="7" s="1"/>
  <c r="J26" i="8"/>
  <c r="H27" i="8"/>
  <c r="G25" i="7"/>
  <c r="L25" i="8"/>
  <c r="E26" i="8"/>
  <c r="D26" i="8"/>
  <c r="D26" i="7" s="1"/>
  <c r="C27" i="8"/>
  <c r="G25" i="8"/>
  <c r="E25" i="7"/>
  <c r="L53" i="8"/>
  <c r="H56" i="8" l="1"/>
  <c r="J55" i="8"/>
  <c r="K28" i="7" s="1"/>
  <c r="I55" i="8"/>
  <c r="J28" i="7" s="1"/>
  <c r="G55" i="8"/>
  <c r="S10" i="8" s="1"/>
  <c r="E56" i="8"/>
  <c r="D56" i="8"/>
  <c r="H29" i="7" s="1"/>
  <c r="C57" i="8"/>
  <c r="I27" i="8"/>
  <c r="F28" i="7" s="1"/>
  <c r="J27" i="8"/>
  <c r="H28" i="8"/>
  <c r="G26" i="7"/>
  <c r="L26" i="8"/>
  <c r="E27" i="8"/>
  <c r="D27" i="8"/>
  <c r="D28" i="7" s="1"/>
  <c r="C28" i="8"/>
  <c r="G26" i="8"/>
  <c r="E26" i="7"/>
  <c r="L54" i="8"/>
  <c r="S11" i="8" l="1"/>
  <c r="P17" i="7" s="1"/>
  <c r="I56" i="8"/>
  <c r="J29" i="7" s="1"/>
  <c r="J56" i="8"/>
  <c r="H57" i="8"/>
  <c r="D57" i="8"/>
  <c r="H30" i="7" s="1"/>
  <c r="E57" i="8"/>
  <c r="G56" i="8"/>
  <c r="I29" i="7"/>
  <c r="I28" i="8"/>
  <c r="F29" i="7" s="1"/>
  <c r="J28" i="8"/>
  <c r="H29" i="8"/>
  <c r="L27" i="8"/>
  <c r="G28" i="7"/>
  <c r="E28" i="8"/>
  <c r="D28" i="8"/>
  <c r="D29" i="7" s="1"/>
  <c r="C29" i="8"/>
  <c r="G27" i="8"/>
  <c r="E28" i="7"/>
  <c r="L55" i="8"/>
  <c r="T10" i="8" s="1"/>
  <c r="P16" i="7"/>
  <c r="S12" i="8"/>
  <c r="P18" i="7" s="1"/>
  <c r="S13" i="8" l="1"/>
  <c r="P19" i="7" s="1"/>
  <c r="P20" i="7" s="1"/>
  <c r="P21" i="7" s="1"/>
  <c r="I57" i="8"/>
  <c r="J30" i="7" s="1"/>
  <c r="J57" i="8"/>
  <c r="K29" i="7"/>
  <c r="L56" i="8"/>
  <c r="G57" i="8"/>
  <c r="I30" i="7"/>
  <c r="I29" i="8"/>
  <c r="F30" i="7" s="1"/>
  <c r="J29" i="8"/>
  <c r="L28" i="8"/>
  <c r="G29" i="7"/>
  <c r="E29" i="8"/>
  <c r="D29" i="8"/>
  <c r="D30" i="7" s="1"/>
  <c r="E29" i="7"/>
  <c r="G28" i="8"/>
  <c r="E10" i="12"/>
  <c r="T11" i="8"/>
  <c r="E11" i="12" l="1"/>
  <c r="L57" i="8"/>
  <c r="K30" i="7"/>
  <c r="L29" i="8"/>
  <c r="G30" i="7"/>
  <c r="G29" i="8"/>
  <c r="Q10" i="8" s="1"/>
  <c r="E30" i="7"/>
  <c r="E12" i="12"/>
  <c r="Q16" i="7"/>
  <c r="T12" i="8"/>
  <c r="Q18" i="7" s="1"/>
  <c r="Q17" i="7"/>
  <c r="T13" i="8"/>
  <c r="Q19" i="7" s="1"/>
  <c r="R10" i="8" l="1"/>
  <c r="O16" i="7" s="1"/>
  <c r="R11" i="8"/>
  <c r="Q11" i="8"/>
  <c r="N16" i="7"/>
  <c r="Q12" i="8"/>
  <c r="N18" i="7" s="1"/>
  <c r="F11" i="12"/>
  <c r="F10" i="12"/>
  <c r="Q20" i="7"/>
  <c r="Q21" i="7" s="1"/>
  <c r="R12" i="8" l="1"/>
  <c r="O18" i="7" s="1"/>
  <c r="D11" i="10" s="1"/>
  <c r="R13" i="8"/>
  <c r="O19" i="7" s="1"/>
  <c r="O17" i="7"/>
  <c r="N17" i="7"/>
  <c r="Q13" i="8"/>
  <c r="N19" i="7" s="1"/>
  <c r="C11" i="10"/>
  <c r="C11" i="11"/>
  <c r="C10" i="12"/>
  <c r="F12" i="12"/>
  <c r="N14" i="7"/>
  <c r="F13" i="8"/>
  <c r="D11" i="11" l="1"/>
  <c r="D10" i="12"/>
  <c r="D12" i="11"/>
  <c r="D12" i="10"/>
  <c r="O20" i="7"/>
  <c r="O21" i="7" s="1"/>
  <c r="D11" i="12"/>
  <c r="N20" i="7"/>
  <c r="N21" i="7" s="1"/>
  <c r="C12" i="11"/>
  <c r="C11" i="12"/>
  <c r="C12" i="10"/>
  <c r="AA16" i="7"/>
  <c r="T3" i="4" s="1"/>
  <c r="O20" i="4" s="1"/>
  <c r="N11" i="7"/>
  <c r="AA11" i="7"/>
  <c r="Q8" i="8"/>
  <c r="E11" i="7"/>
  <c r="D11" i="7" s="1"/>
  <c r="D13" i="10" l="1"/>
  <c r="D13" i="11"/>
  <c r="D12" i="12"/>
  <c r="C13" i="10"/>
  <c r="C13" i="11"/>
  <c r="C12" i="12"/>
  <c r="AH22" i="8"/>
  <c r="AJ18" i="8"/>
  <c r="AH18" i="8"/>
  <c r="AH19" i="8"/>
  <c r="AF21" i="8"/>
  <c r="AF20" i="8"/>
  <c r="AJ22" i="8"/>
  <c r="AD22" i="8" s="1"/>
  <c r="AJ19" i="8"/>
  <c r="AD19" i="8" s="1"/>
  <c r="AJ20" i="8"/>
  <c r="AJ21" i="8"/>
  <c r="AH21" i="8"/>
  <c r="AH20" i="8"/>
  <c r="K13" i="8"/>
  <c r="F14" i="7"/>
  <c r="U16" i="7" s="1"/>
  <c r="AD18" i="8" l="1"/>
  <c r="V16" i="7"/>
  <c r="AD20" i="8"/>
  <c r="AD21" i="8"/>
  <c r="O14" i="7"/>
  <c r="R8" i="8"/>
  <c r="G11" i="7"/>
  <c r="F11" i="7" s="1"/>
  <c r="AJ5" i="7" l="1" a="1"/>
  <c r="AJ5" i="7" s="1"/>
  <c r="AJ16" i="7" s="1"/>
  <c r="D20" i="12" s="1"/>
  <c r="AJ3" i="7" a="1"/>
  <c r="AJ3" i="7" s="1"/>
  <c r="Y19" i="8" s="1"/>
  <c r="AJ2" i="7" a="1"/>
  <c r="AJ2" i="7" s="1"/>
  <c r="Y18" i="8" s="1"/>
  <c r="AJ4" i="7" a="1"/>
  <c r="AJ4" i="7" s="1"/>
  <c r="AI16" i="7" s="1"/>
  <c r="D17" i="12" s="1"/>
  <c r="U11" i="7"/>
  <c r="C45" i="1"/>
  <c r="C23" i="10" s="1"/>
  <c r="O11" i="7"/>
  <c r="AB16" i="7"/>
  <c r="AB11" i="7" s="1"/>
  <c r="V11" i="7"/>
  <c r="S14" i="4"/>
  <c r="R17" i="4"/>
  <c r="S17" i="4"/>
  <c r="R15" i="4"/>
  <c r="S18" i="4"/>
  <c r="S15" i="4"/>
  <c r="S16" i="4"/>
  <c r="R16" i="4"/>
  <c r="R18" i="4"/>
  <c r="R14" i="4"/>
  <c r="AA17" i="7" l="1"/>
  <c r="AA18" i="7"/>
  <c r="AB17" i="7"/>
  <c r="AB18" i="7"/>
  <c r="U17" i="7"/>
  <c r="U18" i="7"/>
  <c r="V17" i="7"/>
  <c r="V18" i="7"/>
  <c r="AG16" i="7"/>
  <c r="B17" i="12" s="1"/>
  <c r="AH16" i="7"/>
  <c r="B20" i="12" s="1"/>
  <c r="E25" i="12"/>
  <c r="C24" i="11"/>
  <c r="Y20" i="8" l="1"/>
  <c r="Y22" i="8" s="1"/>
  <c r="W19" i="7"/>
  <c r="B18" i="10" s="1"/>
  <c r="B16" i="10"/>
  <c r="AC19" i="7"/>
  <c r="B17" i="11"/>
  <c r="AC20" i="7"/>
  <c r="B20" i="11" s="1"/>
  <c r="B18" i="11"/>
  <c r="W21" i="7"/>
  <c r="B17" i="10"/>
  <c r="Y21" i="8" l="1"/>
  <c r="Y24" i="8" s="1"/>
  <c r="W20" i="7"/>
  <c r="B19" i="10" s="1"/>
  <c r="W22" i="7"/>
  <c r="B21" i="10" s="1"/>
  <c r="B20" i="10"/>
  <c r="AC21" i="7"/>
  <c r="AC22" i="7"/>
  <c r="B24" i="11" s="1"/>
  <c r="B19" i="11"/>
  <c r="AH15" i="7"/>
  <c r="L20" i="4"/>
  <c r="M6" i="4"/>
  <c r="AH11" i="7"/>
  <c r="M20" i="4"/>
  <c r="O6" i="4"/>
  <c r="AI15" i="7"/>
  <c r="AI11" i="7"/>
  <c r="K6" i="4"/>
  <c r="K20" i="4"/>
  <c r="AG11" i="7"/>
  <c r="AG15" i="7"/>
  <c r="B16" i="12" s="1"/>
  <c r="N20" i="4"/>
  <c r="AJ15" i="7"/>
  <c r="Q6" i="4"/>
  <c r="AJ11" i="7"/>
  <c r="F19" i="1" l="1"/>
  <c r="E28" i="12" s="1"/>
  <c r="D16" i="12"/>
  <c r="Q2" i="4"/>
  <c r="AJ17" i="7"/>
  <c r="AJ18" i="7"/>
  <c r="O2" i="4"/>
  <c r="N2" i="4" s="1"/>
  <c r="AI18" i="7"/>
  <c r="D19" i="12" s="1"/>
  <c r="AI17" i="7"/>
  <c r="M2" i="4"/>
  <c r="L2" i="4" s="1"/>
  <c r="AH17" i="7"/>
  <c r="AH18" i="7"/>
  <c r="K2" i="4"/>
  <c r="AG18" i="7"/>
  <c r="AG17" i="7"/>
  <c r="P2" i="4"/>
  <c r="W23" i="7"/>
  <c r="B23" i="10" s="1"/>
  <c r="W24" i="7"/>
  <c r="B24" i="10" s="1"/>
  <c r="AC23" i="7"/>
  <c r="B21" i="11"/>
  <c r="C21" i="10" l="1"/>
  <c r="O55" i="4"/>
  <c r="O9" i="4" s="1"/>
  <c r="O53" i="4"/>
  <c r="O7" i="4" s="1"/>
  <c r="O56" i="4"/>
  <c r="O10" i="4" s="1"/>
  <c r="O54" i="4"/>
  <c r="O8" i="4" s="1"/>
  <c r="O57" i="4"/>
  <c r="O11" i="4" s="1"/>
  <c r="O58" i="4"/>
  <c r="O12" i="4" s="1"/>
  <c r="O59" i="4"/>
  <c r="O13" i="4" s="1"/>
  <c r="O60" i="4"/>
  <c r="O14" i="4" s="1"/>
  <c r="O61" i="4"/>
  <c r="O15" i="4" s="1"/>
  <c r="O62" i="4"/>
  <c r="O16" i="4" s="1"/>
  <c r="O63" i="4"/>
  <c r="O17" i="4" s="1"/>
  <c r="O64" i="4"/>
  <c r="O18" i="4" s="1"/>
  <c r="Q53" i="4"/>
  <c r="Q7" i="4" s="1"/>
  <c r="Q54" i="4"/>
  <c r="Q8" i="4" s="1"/>
  <c r="Q55" i="4"/>
  <c r="Q9" i="4" s="1"/>
  <c r="Q56" i="4"/>
  <c r="Q10" i="4" s="1"/>
  <c r="Q57" i="4"/>
  <c r="Q11" i="4" s="1"/>
  <c r="Q58" i="4"/>
  <c r="Q12" i="4" s="1"/>
  <c r="Q59" i="4"/>
  <c r="Q13" i="4" s="1"/>
  <c r="Q60" i="4"/>
  <c r="Q14" i="4" s="1"/>
  <c r="Q61" i="4"/>
  <c r="Q15" i="4" s="1"/>
  <c r="Q62" i="4"/>
  <c r="Q16" i="4" s="1"/>
  <c r="Q63" i="4"/>
  <c r="Q17" i="4" s="1"/>
  <c r="Q64" i="4"/>
  <c r="Q18" i="4" s="1"/>
  <c r="K53" i="4"/>
  <c r="K7" i="4" s="1"/>
  <c r="K54" i="4"/>
  <c r="K8" i="4" s="1"/>
  <c r="K55" i="4"/>
  <c r="K9" i="4" s="1"/>
  <c r="K56" i="4"/>
  <c r="K10" i="4" s="1"/>
  <c r="K59" i="4"/>
  <c r="K13" i="4" s="1"/>
  <c r="K60" i="4"/>
  <c r="K14" i="4" s="1"/>
  <c r="K57" i="4"/>
  <c r="K11" i="4" s="1"/>
  <c r="K61" i="4"/>
  <c r="K15" i="4" s="1"/>
  <c r="K58" i="4"/>
  <c r="K12" i="4" s="1"/>
  <c r="K62" i="4"/>
  <c r="K16" i="4" s="1"/>
  <c r="K63" i="4"/>
  <c r="K17" i="4" s="1"/>
  <c r="K64" i="4"/>
  <c r="K18" i="4" s="1"/>
  <c r="R36" i="4"/>
  <c r="J2" i="4"/>
  <c r="J59" i="4" s="1"/>
  <c r="J13" i="4" s="1"/>
  <c r="M53" i="4"/>
  <c r="M7" i="4" s="1"/>
  <c r="M54" i="4"/>
  <c r="M8" i="4" s="1"/>
  <c r="M59" i="4"/>
  <c r="M13" i="4" s="1"/>
  <c r="M55" i="4"/>
  <c r="M9" i="4" s="1"/>
  <c r="M56" i="4"/>
  <c r="M10" i="4" s="1"/>
  <c r="M60" i="4"/>
  <c r="M14" i="4" s="1"/>
  <c r="M57" i="4"/>
  <c r="M11" i="4" s="1"/>
  <c r="M61" i="4"/>
  <c r="M15" i="4" s="1"/>
  <c r="M58" i="4"/>
  <c r="M12" i="4" s="1"/>
  <c r="M62" i="4"/>
  <c r="M16" i="4" s="1"/>
  <c r="M63" i="4"/>
  <c r="M17" i="4" s="1"/>
  <c r="M64" i="4"/>
  <c r="M18" i="4" s="1"/>
  <c r="N59" i="4"/>
  <c r="N13" i="4" s="1"/>
  <c r="N60" i="4"/>
  <c r="N14" i="4" s="1"/>
  <c r="N61" i="4"/>
  <c r="N15" i="4" s="1"/>
  <c r="N62" i="4"/>
  <c r="N16" i="4" s="1"/>
  <c r="N63" i="4"/>
  <c r="N17" i="4" s="1"/>
  <c r="N64" i="4"/>
  <c r="N18" i="4" s="1"/>
  <c r="N53" i="4"/>
  <c r="N7" i="4" s="1"/>
  <c r="N54" i="4"/>
  <c r="N8" i="4" s="1"/>
  <c r="N55" i="4"/>
  <c r="N9" i="4" s="1"/>
  <c r="N56" i="4"/>
  <c r="N10" i="4" s="1"/>
  <c r="N57" i="4"/>
  <c r="N11" i="4" s="1"/>
  <c r="N58" i="4"/>
  <c r="N12" i="4" s="1"/>
  <c r="L60" i="4"/>
  <c r="L14" i="4" s="1"/>
  <c r="L62" i="4"/>
  <c r="L16" i="4" s="1"/>
  <c r="L64" i="4"/>
  <c r="L18" i="4" s="1"/>
  <c r="L61" i="4"/>
  <c r="L15" i="4" s="1"/>
  <c r="L63" i="4"/>
  <c r="L17" i="4" s="1"/>
  <c r="L59" i="4"/>
  <c r="L13" i="4" s="1"/>
  <c r="L53" i="4"/>
  <c r="L7" i="4" s="1"/>
  <c r="L54" i="4"/>
  <c r="L8" i="4" s="1"/>
  <c r="L55" i="4"/>
  <c r="L9" i="4" s="1"/>
  <c r="L56" i="4"/>
  <c r="L10" i="4" s="1"/>
  <c r="L57" i="4"/>
  <c r="L11" i="4" s="1"/>
  <c r="L58" i="4"/>
  <c r="L12" i="4" s="1"/>
  <c r="P59" i="4"/>
  <c r="P13" i="4" s="1"/>
  <c r="P63" i="4"/>
  <c r="P17" i="4" s="1"/>
  <c r="P61" i="4"/>
  <c r="P15" i="4" s="1"/>
  <c r="P64" i="4"/>
  <c r="P18" i="4" s="1"/>
  <c r="P60" i="4"/>
  <c r="P14" i="4" s="1"/>
  <c r="P62" i="4"/>
  <c r="P16" i="4" s="1"/>
  <c r="P53" i="4"/>
  <c r="P7" i="4" s="1"/>
  <c r="P54" i="4"/>
  <c r="P8" i="4" s="1"/>
  <c r="P55" i="4"/>
  <c r="P9" i="4" s="1"/>
  <c r="P56" i="4"/>
  <c r="P10" i="4" s="1"/>
  <c r="P57" i="4"/>
  <c r="P11" i="4" s="1"/>
  <c r="P58" i="4"/>
  <c r="P12" i="4" s="1"/>
  <c r="W25" i="7"/>
  <c r="W26" i="7" s="1"/>
  <c r="B25" i="10" s="1"/>
  <c r="AC24" i="7"/>
  <c r="AC25" i="7" s="1"/>
  <c r="B26" i="11" s="1"/>
  <c r="B25" i="11"/>
  <c r="K4" i="4"/>
  <c r="B19" i="12"/>
  <c r="Q4" i="4"/>
  <c r="D22" i="12"/>
  <c r="M4" i="4"/>
  <c r="B22" i="12"/>
  <c r="Q3" i="4"/>
  <c r="D21" i="12"/>
  <c r="K3" i="4"/>
  <c r="B18" i="12"/>
  <c r="M3" i="4"/>
  <c r="B21" i="12"/>
  <c r="O3" i="4"/>
  <c r="D18" i="12"/>
  <c r="O4" i="4"/>
  <c r="AI21" i="7"/>
  <c r="AI19" i="7"/>
  <c r="AG21" i="7"/>
  <c r="AG19" i="7"/>
  <c r="S36" i="4"/>
  <c r="R34" i="4"/>
  <c r="R40" i="4"/>
  <c r="R37" i="4"/>
  <c r="R38" i="4"/>
  <c r="R39" i="4"/>
  <c r="R35" i="4"/>
  <c r="J64" i="4" l="1"/>
  <c r="J18" i="4" s="1"/>
  <c r="J63" i="4"/>
  <c r="J17" i="4" s="1"/>
  <c r="J56" i="4"/>
  <c r="J10" i="4" s="1"/>
  <c r="J58" i="4"/>
  <c r="J12" i="4" s="1"/>
  <c r="J53" i="4"/>
  <c r="J7" i="4" s="1"/>
  <c r="J62" i="4"/>
  <c r="J16" i="4" s="1"/>
  <c r="J54" i="4"/>
  <c r="J8" i="4" s="1"/>
  <c r="J61" i="4"/>
  <c r="J15" i="4" s="1"/>
  <c r="J57" i="4"/>
  <c r="J11" i="4" s="1"/>
  <c r="J60" i="4"/>
  <c r="J14" i="4" s="1"/>
  <c r="J55" i="4"/>
  <c r="J9" i="4" s="1"/>
  <c r="K24" i="4"/>
  <c r="K28" i="4"/>
  <c r="K45" i="4"/>
  <c r="K42" i="4"/>
  <c r="M21" i="4"/>
  <c r="K39" i="4"/>
  <c r="K27" i="4"/>
  <c r="K26" i="4"/>
  <c r="K49" i="4"/>
  <c r="K40" i="4"/>
  <c r="K33" i="4"/>
  <c r="K41" i="4"/>
  <c r="K51" i="4"/>
  <c r="K23" i="4"/>
  <c r="K21" i="4"/>
  <c r="K37" i="4"/>
  <c r="K25" i="4"/>
  <c r="K30" i="4"/>
  <c r="K22" i="4"/>
  <c r="K29" i="4"/>
  <c r="K34" i="4"/>
  <c r="K47" i="4"/>
  <c r="K31" i="4"/>
  <c r="K48" i="4"/>
  <c r="K44" i="4"/>
  <c r="K35" i="4"/>
  <c r="K38" i="4"/>
  <c r="K50" i="4"/>
  <c r="M35" i="4"/>
  <c r="M50" i="4"/>
  <c r="K32" i="4"/>
  <c r="M27" i="4"/>
  <c r="M28" i="4"/>
  <c r="M33" i="4"/>
  <c r="M23" i="4"/>
  <c r="M43" i="4"/>
  <c r="M42" i="4"/>
  <c r="M37" i="4"/>
  <c r="M48" i="4"/>
  <c r="M31" i="4"/>
  <c r="M26" i="4"/>
  <c r="M45" i="4"/>
  <c r="M40" i="4"/>
  <c r="M38" i="4"/>
  <c r="M25" i="4"/>
  <c r="M32" i="4"/>
  <c r="M51" i="4"/>
  <c r="M24" i="4"/>
  <c r="M46" i="4"/>
  <c r="M39" i="4"/>
  <c r="M29" i="4"/>
  <c r="M34" i="4"/>
  <c r="M44" i="4"/>
  <c r="M47" i="4"/>
  <c r="M41" i="4"/>
  <c r="M49" i="4"/>
  <c r="M22" i="4"/>
  <c r="M30" i="4"/>
  <c r="K36" i="4"/>
  <c r="M36" i="4"/>
  <c r="K46" i="4"/>
  <c r="K43" i="4"/>
  <c r="AI20" i="7"/>
  <c r="D24" i="12" s="1"/>
  <c r="D23" i="12"/>
  <c r="AG20" i="7"/>
  <c r="B24" i="12" s="1"/>
  <c r="B23" i="12"/>
  <c r="AG22" i="7"/>
  <c r="B26" i="12" s="1"/>
  <c r="B25" i="12"/>
  <c r="AI22" i="7"/>
  <c r="D26" i="12" s="1"/>
  <c r="D25" i="12"/>
  <c r="L36" i="4"/>
  <c r="N36" i="4"/>
  <c r="L29" i="4"/>
  <c r="L33" i="4"/>
  <c r="L34" i="4"/>
  <c r="L35" i="4"/>
  <c r="L42" i="4"/>
  <c r="L39" i="4"/>
  <c r="L40" i="4"/>
  <c r="L50" i="4"/>
  <c r="L30" i="4"/>
  <c r="L31" i="4"/>
  <c r="L27" i="4"/>
  <c r="L48" i="4"/>
  <c r="L26" i="4"/>
  <c r="L44" i="4"/>
  <c r="L46" i="4"/>
  <c r="L32" i="4"/>
  <c r="L23" i="4"/>
  <c r="L49" i="4"/>
  <c r="L41" i="4"/>
  <c r="L24" i="4"/>
  <c r="L22" i="4"/>
  <c r="L28" i="4"/>
  <c r="L37" i="4"/>
  <c r="L43" i="4"/>
  <c r="L38" i="4"/>
  <c r="L25" i="4"/>
  <c r="L21" i="4"/>
  <c r="L51" i="4"/>
  <c r="L45" i="4"/>
  <c r="L47" i="4"/>
  <c r="S37" i="4"/>
  <c r="S34" i="4"/>
  <c r="S38" i="4"/>
  <c r="S40" i="4"/>
  <c r="S39" i="4"/>
  <c r="S35" i="4"/>
  <c r="N30" i="4"/>
  <c r="N39" i="4"/>
  <c r="N29" i="4"/>
  <c r="N50" i="4"/>
  <c r="N45" i="4"/>
  <c r="N34" i="4"/>
  <c r="N23" i="4"/>
  <c r="N44" i="4"/>
  <c r="N51" i="4"/>
  <c r="N35" i="4"/>
  <c r="N32" i="4"/>
  <c r="N40" i="4"/>
  <c r="N41" i="4"/>
  <c r="N28" i="4"/>
  <c r="N47" i="4"/>
  <c r="N49" i="4"/>
  <c r="N33" i="4"/>
  <c r="N22" i="4"/>
  <c r="N24" i="4"/>
  <c r="N43" i="4"/>
  <c r="N25" i="4"/>
  <c r="N27" i="4"/>
  <c r="N31" i="4"/>
  <c r="N46" i="4"/>
  <c r="N26" i="4"/>
  <c r="N38" i="4"/>
  <c r="N37" i="4"/>
  <c r="N21" i="4"/>
  <c r="N48" i="4"/>
  <c r="N42" i="4"/>
  <c r="AG24" i="7" l="1"/>
  <c r="AG23" i="7"/>
  <c r="AI24" i="7"/>
  <c r="AI23" i="7"/>
  <c r="D27" i="12" s="1"/>
  <c r="D28" i="12" l="1"/>
  <c r="AG29" i="7"/>
  <c r="AG30" i="7" s="1"/>
  <c r="F20" i="12" s="1"/>
  <c r="AG27" i="7"/>
  <c r="AG28" i="7" s="1"/>
  <c r="AG31" i="7" s="1"/>
  <c r="B28" i="12"/>
  <c r="B27" i="12"/>
  <c r="AG25" i="7"/>
  <c r="AG26" i="7" s="1"/>
  <c r="AI25" i="7"/>
  <c r="AI26" i="7" s="1"/>
  <c r="AG32" i="7" l="1"/>
  <c r="F19" i="12"/>
  <c r="F18" i="12"/>
  <c r="AK17" i="7"/>
  <c r="S3" i="4" s="1"/>
  <c r="F21" i="12"/>
  <c r="F22" i="12" l="1"/>
  <c r="AK18" i="7"/>
  <c r="S4" i="4" s="1"/>
  <c r="O36" i="4" s="1"/>
  <c r="AG33" i="7"/>
  <c r="AG34" i="7" s="1"/>
  <c r="AK25" i="7" l="1"/>
  <c r="AK26" i="7" s="1"/>
  <c r="F23" i="12" s="1"/>
  <c r="O39" i="4"/>
  <c r="O23" i="4"/>
  <c r="O43" i="4"/>
  <c r="O30" i="4"/>
  <c r="O37" i="4"/>
  <c r="O27" i="4"/>
  <c r="O35" i="4"/>
  <c r="O28" i="4"/>
  <c r="O21" i="4"/>
  <c r="O25" i="4"/>
  <c r="O47" i="4"/>
  <c r="O51" i="4"/>
  <c r="O46" i="4"/>
  <c r="O41" i="4"/>
  <c r="O34" i="4"/>
  <c r="O26" i="4"/>
  <c r="O38" i="4"/>
  <c r="O42" i="4"/>
  <c r="O44" i="4"/>
  <c r="O49" i="4"/>
  <c r="O22" i="4"/>
  <c r="O48" i="4"/>
  <c r="O40" i="4"/>
  <c r="O24" i="4"/>
  <c r="O32" i="4"/>
  <c r="O33" i="4"/>
  <c r="O45" i="4"/>
  <c r="O50" i="4"/>
  <c r="O29" i="4"/>
  <c r="O31" i="4"/>
</calcChain>
</file>

<file path=xl/sharedStrings.xml><?xml version="1.0" encoding="utf-8"?>
<sst xmlns="http://schemas.openxmlformats.org/spreadsheetml/2006/main" count="482" uniqueCount="248">
  <si>
    <t>Product Name</t>
  </si>
  <si>
    <t>Product Description</t>
  </si>
  <si>
    <t>LM-80 Test Details</t>
  </si>
  <si>
    <t>General Details</t>
  </si>
  <si>
    <t>Test duration (hours)</t>
  </si>
  <si>
    <t>Test drive current 1 (mA)</t>
  </si>
  <si>
    <t>Test drive current 2 (mA)</t>
  </si>
  <si>
    <t>Test drive current 3 (mA)</t>
  </si>
  <si>
    <t>In-Situ Inputs</t>
  </si>
  <si>
    <t>Percentage of initial lumens to project to (%)</t>
  </si>
  <si>
    <t>A</t>
  </si>
  <si>
    <r>
      <t>α</t>
    </r>
    <r>
      <rPr>
        <vertAlign val="subscript"/>
        <sz val="11"/>
        <color theme="1"/>
        <rFont val="Calibri"/>
        <family val="2"/>
        <scheme val="minor"/>
      </rPr>
      <t>i</t>
    </r>
  </si>
  <si>
    <t>α</t>
  </si>
  <si>
    <t>B</t>
  </si>
  <si>
    <t>Time (h)</t>
  </si>
  <si>
    <t>Test drive current (mA)</t>
  </si>
  <si>
    <t>Test case temperature (°C)</t>
  </si>
  <si>
    <t>Time 
(hours)</t>
  </si>
  <si>
    <t>Temperature</t>
  </si>
  <si>
    <t>Average Luminous Flux (normalised)</t>
  </si>
  <si>
    <r>
      <t>Case Temperature (</t>
    </r>
    <r>
      <rPr>
        <sz val="11"/>
        <color theme="1"/>
        <rFont val="Calibri"/>
        <family val="2"/>
      </rPr>
      <t>°C)</t>
    </r>
  </si>
  <si>
    <t>Drive Current (mA)</t>
  </si>
  <si>
    <t>Case Temperature (K)</t>
  </si>
  <si>
    <t>Parameter</t>
  </si>
  <si>
    <t>Slope</t>
  </si>
  <si>
    <t>Intercept</t>
  </si>
  <si>
    <r>
      <t xml:space="preserve">Reported </t>
    </r>
    <r>
      <rPr>
        <sz val="11"/>
        <color theme="1"/>
        <rFont val="Calibri"/>
        <family val="2"/>
      </rPr>
      <t>α</t>
    </r>
  </si>
  <si>
    <t>Average Luminous Flux
(normalised, initial value = 1)</t>
  </si>
  <si>
    <t>Test duration (h)</t>
  </si>
  <si>
    <t>Extraction start time</t>
  </si>
  <si>
    <t>Extraction end time</t>
  </si>
  <si>
    <t>Number of measurement points</t>
  </si>
  <si>
    <t>expected increment</t>
  </si>
  <si>
    <r>
      <t>m</t>
    </r>
    <r>
      <rPr>
        <vertAlign val="subscript"/>
        <sz val="11"/>
        <color theme="1"/>
        <rFont val="Calibri"/>
        <family val="2"/>
      </rPr>
      <t>α</t>
    </r>
  </si>
  <si>
    <r>
      <t>b</t>
    </r>
    <r>
      <rPr>
        <vertAlign val="subscript"/>
        <sz val="11"/>
        <color theme="1"/>
        <rFont val="Calibri"/>
        <family val="2"/>
      </rPr>
      <t>α</t>
    </r>
  </si>
  <si>
    <r>
      <t>m</t>
    </r>
    <r>
      <rPr>
        <vertAlign val="subscript"/>
        <sz val="11"/>
        <color theme="1"/>
        <rFont val="Calibri"/>
        <family val="2"/>
        <scheme val="minor"/>
      </rPr>
      <t>B</t>
    </r>
  </si>
  <si>
    <r>
      <t>b</t>
    </r>
    <r>
      <rPr>
        <vertAlign val="subscript"/>
        <sz val="11"/>
        <color theme="1"/>
        <rFont val="Calibri"/>
        <family val="2"/>
        <scheme val="minor"/>
      </rPr>
      <t>B</t>
    </r>
  </si>
  <si>
    <t>Data</t>
  </si>
  <si>
    <t>Current</t>
  </si>
  <si>
    <t>1,1</t>
  </si>
  <si>
    <t>1,2</t>
  </si>
  <si>
    <t>2,2</t>
  </si>
  <si>
    <t>2,1</t>
  </si>
  <si>
    <t>Interpolation</t>
  </si>
  <si>
    <t>Conditions</t>
  </si>
  <si>
    <t>Case Temp 1</t>
  </si>
  <si>
    <t>Case Temp 2</t>
  </si>
  <si>
    <t>In situ Temp</t>
  </si>
  <si>
    <t>In situ Current</t>
  </si>
  <si>
    <t>Case Temp 3</t>
  </si>
  <si>
    <t>min interpolation temp (1,-)</t>
  </si>
  <si>
    <t>max interpolation temp (2,-)</t>
  </si>
  <si>
    <t>SET 1</t>
  </si>
  <si>
    <t>SET 2</t>
  </si>
  <si>
    <t>SET 3</t>
  </si>
  <si>
    <t>Test case temp (°C)</t>
  </si>
  <si>
    <t>Test current (mA)</t>
  </si>
  <si>
    <t># measurement points</t>
  </si>
  <si>
    <t># of measurement points</t>
  </si>
  <si>
    <t>expected time</t>
  </si>
  <si>
    <t>SET 4</t>
  </si>
  <si>
    <t>Case Temperature (°C)</t>
  </si>
  <si>
    <t>ln(avg flux)</t>
  </si>
  <si>
    <t>Approx. Time (h)</t>
  </si>
  <si>
    <t>-</t>
  </si>
  <si>
    <t xml:space="preserve"> </t>
  </si>
  <si>
    <t>data code</t>
  </si>
  <si>
    <t>data alpha</t>
  </si>
  <si>
    <t>data B</t>
  </si>
  <si>
    <t>SCALE FACTOR</t>
  </si>
  <si>
    <t>Test Drive Current vs Temperature matrix</t>
  </si>
  <si>
    <t>Product Test Conditions</t>
  </si>
  <si>
    <t>Interpolation region</t>
  </si>
  <si>
    <t>Projected Luminous Flux (normalised)</t>
  </si>
  <si>
    <t>Flux (norm.)</t>
  </si>
  <si>
    <t>MEASUREMENT DATA USED FOR PROJECTION</t>
  </si>
  <si>
    <t>LEAST SQUARES FIT DATA AND PARAMETERS CALCULATED FOR PROJECTION</t>
  </si>
  <si>
    <t xml:space="preserve">The product test conditions (denoted by red cross on graph) must lie within the interpolation region (outlined by the box around the LM80 data test conditions). </t>
  </si>
  <si>
    <t>x</t>
  </si>
  <si>
    <t>Test drive current 4 (mA)</t>
  </si>
  <si>
    <t>Case Temp 4</t>
  </si>
  <si>
    <t>Drive current for LED package/array/module (mA)</t>
  </si>
  <si>
    <t>max time for projection</t>
  </si>
  <si>
    <t>line for max projection hours</t>
  </si>
  <si>
    <t>line for LM value</t>
  </si>
  <si>
    <t>y</t>
  </si>
  <si>
    <t>Time (hours)</t>
  </si>
  <si>
    <t>Sample size</t>
  </si>
  <si>
    <t>Text-based user input cells</t>
  </si>
  <si>
    <t>Number-only user input cells</t>
  </si>
  <si>
    <t>How to input data</t>
  </si>
  <si>
    <t>Using the TM-21 inputs page</t>
  </si>
  <si>
    <t>What data can be used?</t>
  </si>
  <si>
    <t>Sample Set Data</t>
  </si>
  <si>
    <t>What is the calculator for?</t>
  </si>
  <si>
    <t>How can I check that my 
data is suitable for use?</t>
  </si>
  <si>
    <t>Temperature only  Interpolation</t>
  </si>
  <si>
    <t>Sample Size</t>
  </si>
  <si>
    <t>Current only  Interpolation</t>
  </si>
  <si>
    <t>Description of LED Light source tested</t>
  </si>
  <si>
    <t>Flux maintenance</t>
  </si>
  <si>
    <t>LM-80 Test 1</t>
  </si>
  <si>
    <t>LM-80 Test 2</t>
  </si>
  <si>
    <t>LM-80 Test 3</t>
  </si>
  <si>
    <t>LM-80 Test 4</t>
  </si>
  <si>
    <t>DUT drive current used in the test (mA)</t>
  </si>
  <si>
    <t>Test duration used for projection (hours)</t>
  </si>
  <si>
    <t>LM-80 Test Data: Sample Set 1</t>
  </si>
  <si>
    <t>LM-80 Test Data: Sample Set 2</t>
  </si>
  <si>
    <t>LM-80 Test Data: Sample Set 3</t>
  </si>
  <si>
    <t>LM-80 Test Data: Sample Set 4</t>
  </si>
  <si>
    <t>Interpolation type</t>
  </si>
  <si>
    <t>List for dropdown</t>
  </si>
  <si>
    <t>Temperature data interpolation</t>
  </si>
  <si>
    <t>Current data interpolation</t>
  </si>
  <si>
    <t>Simultaneous temperature &amp; current interpolation</t>
  </si>
  <si>
    <t>selected analysis type</t>
  </si>
  <si>
    <t>Drop down selection user input cells</t>
  </si>
  <si>
    <t>current only</t>
  </si>
  <si>
    <t>temp only</t>
  </si>
  <si>
    <t>temp&amp;curr</t>
  </si>
  <si>
    <t>Drive Current</t>
  </si>
  <si>
    <t>Case Temperature</t>
  </si>
  <si>
    <r>
      <t xml:space="preserve">This table summarises the LEAST SQUARES FIT PARAMETERS FOR PROJECTION (see for example, </t>
    </r>
    <r>
      <rPr>
        <b/>
        <sz val="11"/>
        <color theme="1"/>
        <rFont val="Calibri"/>
        <family val="2"/>
        <scheme val="minor"/>
      </rPr>
      <t>Table E-18, p25 of TM-21-19</t>
    </r>
    <r>
      <rPr>
        <sz val="11"/>
        <color theme="1"/>
        <rFont val="Calibri"/>
        <family val="2"/>
        <scheme val="minor"/>
      </rPr>
      <t>). It uses values of luminous flux and (actual) time shown in the data sets on this page.</t>
    </r>
  </si>
  <si>
    <r>
      <t>This step in the data takes the numbers input on the TM-21 inputs page, and extracts only the data points that meet the criteria according to TM-21-19 section</t>
    </r>
    <r>
      <rPr>
        <b/>
        <sz val="11"/>
        <color theme="1"/>
        <rFont val="Calibri"/>
        <family val="2"/>
        <scheme val="minor"/>
      </rPr>
      <t xml:space="preserve"> 5.2.3 Data Used for Curve-Fit.</t>
    </r>
    <r>
      <rPr>
        <sz val="11"/>
        <color theme="1"/>
        <rFont val="Calibri"/>
        <family val="2"/>
        <scheme val="minor"/>
      </rPr>
      <t xml:space="preserve">
It also takes the log of avg flux. 
N.B. there is an "</t>
    </r>
    <r>
      <rPr>
        <sz val="11"/>
        <color rgb="FF0070C0"/>
        <rFont val="Calibri"/>
        <family val="2"/>
        <scheme val="minor"/>
      </rPr>
      <t>expected time</t>
    </r>
    <r>
      <rPr>
        <sz val="11"/>
        <color theme="1"/>
        <rFont val="Calibri"/>
        <family val="2"/>
        <scheme val="minor"/>
      </rPr>
      <t xml:space="preserve">" and actual time listed separately, to account for the possibility that actual (non-rounded) hours from test results can be input into the TM-21 inputs page, and in that case they must meet the criteria set out in section </t>
    </r>
    <r>
      <rPr>
        <b/>
        <sz val="11"/>
        <color theme="1"/>
        <rFont val="Calibri"/>
        <family val="2"/>
        <scheme val="minor"/>
      </rPr>
      <t>4.3 Flux Data Collection</t>
    </r>
    <r>
      <rPr>
        <sz val="11"/>
        <color theme="1"/>
        <rFont val="Calibri"/>
        <family val="2"/>
        <scheme val="minor"/>
      </rPr>
      <t>.</t>
    </r>
  </si>
  <si>
    <t>This is the dropdown list for selecting the interpolation type, and the binary expression of the interpolation type (selected analysis type) which is used to trigger the way results are calculated and displayed.</t>
  </si>
  <si>
    <t>Values from TM-21</t>
  </si>
  <si>
    <r>
      <t>The blue cells are used to draw the interpolation region boundary on the chart on the TM-21 inputs page. 
The orange cells are used to draw the lines for maximum projection duration (according to section</t>
    </r>
    <r>
      <rPr>
        <b/>
        <sz val="11"/>
        <color theme="1"/>
        <rFont val="Calibri"/>
        <family val="2"/>
        <scheme val="minor"/>
      </rPr>
      <t xml:space="preserve"> 5.2.5 Adjusment of results</t>
    </r>
    <r>
      <rPr>
        <sz val="11"/>
        <color theme="1"/>
        <rFont val="Calibri"/>
        <family val="2"/>
        <scheme val="minor"/>
      </rPr>
      <t>), and for the level of the flux maintenance life to be projected to (e.g. 70%).</t>
    </r>
  </si>
  <si>
    <t>Current 1</t>
  </si>
  <si>
    <t>Current 2</t>
  </si>
  <si>
    <r>
      <t xml:space="preserve">PARAMETERS OF </t>
    </r>
    <r>
      <rPr>
        <b/>
        <sz val="11"/>
        <color theme="1"/>
        <rFont val="Calibri"/>
        <family val="2"/>
        <scheme val="minor"/>
      </rPr>
      <t xml:space="preserve">CURRENT AND TEMPERATURE </t>
    </r>
    <r>
      <rPr>
        <sz val="11"/>
        <color theme="1"/>
        <rFont val="Calibri"/>
        <family val="2"/>
        <scheme val="minor"/>
      </rPr>
      <t>INTERPOLATION</t>
    </r>
  </si>
  <si>
    <r>
      <t>B</t>
    </r>
    <r>
      <rPr>
        <vertAlign val="subscript"/>
        <sz val="11"/>
        <color theme="1"/>
        <rFont val="Calibri"/>
        <family val="2"/>
        <scheme val="minor"/>
      </rPr>
      <t>0</t>
    </r>
  </si>
  <si>
    <r>
      <t>PARAMETERS OF</t>
    </r>
    <r>
      <rPr>
        <b/>
        <sz val="11"/>
        <color theme="1"/>
        <rFont val="Calibri"/>
        <family val="2"/>
        <scheme val="minor"/>
      </rPr>
      <t xml:space="preserve"> CURRENT ONLY</t>
    </r>
    <r>
      <rPr>
        <sz val="11"/>
        <color theme="1"/>
        <rFont val="Calibri"/>
        <family val="2"/>
        <scheme val="minor"/>
      </rPr>
      <t xml:space="preserve"> INTERPOLATION</t>
    </r>
  </si>
  <si>
    <r>
      <t>PARAMETERS OF</t>
    </r>
    <r>
      <rPr>
        <b/>
        <sz val="11"/>
        <color theme="1"/>
        <rFont val="Calibri"/>
        <family val="2"/>
        <scheme val="minor"/>
      </rPr>
      <t xml:space="preserve"> TEMPERATURE ONLY </t>
    </r>
    <r>
      <rPr>
        <sz val="11"/>
        <color theme="1"/>
        <rFont val="Calibri"/>
        <family val="2"/>
        <scheme val="minor"/>
      </rPr>
      <t>INTERPOLATION</t>
    </r>
  </si>
  <si>
    <t>Drive current low @ max temp</t>
  </si>
  <si>
    <t>Drive current hi @ max temp</t>
  </si>
  <si>
    <t>Drive current hi @ min temp</t>
  </si>
  <si>
    <t>Drive current low @ min temp</t>
  </si>
  <si>
    <t>Temperature &amp; Current  Interpolation</t>
  </si>
  <si>
    <t>Printing a summary report</t>
  </si>
  <si>
    <t>The Visualisations page</t>
  </si>
  <si>
    <t>The purpose of this graph is to allow you to interpret the result, and conduct a visual check on the output of the calculator.</t>
  </si>
  <si>
    <t>Test product identifier</t>
  </si>
  <si>
    <t>Avg. Luminous Flux
(%)</t>
  </si>
  <si>
    <t>Avg. Luminous Flux (%)</t>
  </si>
  <si>
    <t>To Draw LM-80 test data points</t>
  </si>
  <si>
    <t>The Visualisations page shows you a graph of the projection of flux maintenance life for the LM-80 test data input, and the resultant interpolation based on the product drive current and case temperature.</t>
  </si>
  <si>
    <t>Input power (W)</t>
  </si>
  <si>
    <t>Input Power for LED package/array/module (W)</t>
  </si>
  <si>
    <t>Is the analysis using current interpolation?</t>
  </si>
  <si>
    <r>
      <t xml:space="preserve">Is the DUT input power </t>
    </r>
    <r>
      <rPr>
        <sz val="11"/>
        <color theme="1"/>
        <rFont val="Calibri"/>
        <family val="2"/>
      </rPr>
      <t>≤</t>
    </r>
    <r>
      <rPr>
        <sz val="11"/>
        <color theme="1"/>
        <rFont val="Calibri"/>
        <family val="2"/>
        <scheme val="minor"/>
      </rPr>
      <t>0.6W?</t>
    </r>
  </si>
  <si>
    <t>min current</t>
  </si>
  <si>
    <t>max current</t>
  </si>
  <si>
    <t>Is ratio max:min&gt;2</t>
  </si>
  <si>
    <t>Is ratio max:min&gt;1.5</t>
  </si>
  <si>
    <t xml:space="preserve">max:min current ratio </t>
  </si>
  <si>
    <t>Current interpolation - red flag condition</t>
  </si>
  <si>
    <t>Red Flag for current difference?</t>
  </si>
  <si>
    <t>Min test duration (h)</t>
  </si>
  <si>
    <t>N.B. In this table, all intermediate maximum reported L-values are limited by the minimum test duration across all four LM80 data sets</t>
  </si>
  <si>
    <t>sort ASC</t>
  </si>
  <si>
    <t>sort DESC</t>
  </si>
  <si>
    <t>Temp</t>
  </si>
  <si>
    <r>
      <t>E</t>
    </r>
    <r>
      <rPr>
        <vertAlign val="subscript"/>
        <sz val="11"/>
        <color theme="1"/>
        <rFont val="Calibri"/>
        <family val="2"/>
        <scheme val="minor"/>
      </rPr>
      <t>a</t>
    </r>
    <r>
      <rPr>
        <sz val="11"/>
        <color theme="1"/>
        <rFont val="Calibri"/>
        <family val="2"/>
        <scheme val="minor"/>
      </rPr>
      <t>/k</t>
    </r>
    <r>
      <rPr>
        <vertAlign val="subscript"/>
        <sz val="11"/>
        <color theme="1"/>
        <rFont val="Calibri"/>
        <family val="2"/>
        <scheme val="minor"/>
      </rPr>
      <t>B</t>
    </r>
  </si>
  <si>
    <r>
      <t>α</t>
    </r>
    <r>
      <rPr>
        <vertAlign val="subscript"/>
        <sz val="11"/>
        <color theme="1"/>
        <rFont val="Calibri"/>
        <family val="2"/>
        <scheme val="minor"/>
      </rPr>
      <t>i,n</t>
    </r>
  </si>
  <si>
    <r>
      <t>B</t>
    </r>
    <r>
      <rPr>
        <vertAlign val="subscript"/>
        <sz val="11"/>
        <color theme="1"/>
        <rFont val="Calibri"/>
        <family val="2"/>
        <scheme val="minor"/>
      </rPr>
      <t>i,n</t>
    </r>
  </si>
  <si>
    <t>This calculator is designed to be compatible with Excel 2019 and Office 365. Older versions of Excel may not permit full calculator functionality.</t>
  </si>
  <si>
    <r>
      <t>In-situ case temperature 
(T</t>
    </r>
    <r>
      <rPr>
        <b/>
        <vertAlign val="subscript"/>
        <sz val="11"/>
        <color theme="1"/>
        <rFont val="Arial"/>
        <family val="2"/>
      </rPr>
      <t>C</t>
    </r>
    <r>
      <rPr>
        <b/>
        <sz val="11"/>
        <color theme="1"/>
        <rFont val="Arial"/>
        <family val="2"/>
      </rPr>
      <t xml:space="preserve"> °C)</t>
    </r>
  </si>
  <si>
    <r>
      <t xml:space="preserve">The scale factor allows the user to input a number to change the length of the x-axis of this graph. </t>
    </r>
    <r>
      <rPr>
        <b/>
        <sz val="11"/>
        <color theme="1"/>
        <rFont val="Arial"/>
        <family val="2"/>
      </rPr>
      <t>Numbers between 1 and 2 are typically the most appropriate selection for this factor</t>
    </r>
    <r>
      <rPr>
        <sz val="11"/>
        <color theme="1"/>
        <rFont val="Arial"/>
        <family val="2"/>
      </rPr>
      <t>. Larger numbers will extend the length of the graph (increasing the number of hours of projection shown).</t>
    </r>
  </si>
  <si>
    <t>Example of dropdown selection input cell format →</t>
  </si>
  <si>
    <t>Example of text input cell format →</t>
  </si>
  <si>
    <t>Example of number-only input cell format →</t>
  </si>
  <si>
    <r>
      <t>Sample size</t>
    </r>
    <r>
      <rPr>
        <i/>
        <sz val="8"/>
        <color theme="1"/>
        <rFont val="Arial"/>
        <family val="2"/>
      </rPr>
      <t xml:space="preserve"> (minimum value across all sample sets)</t>
    </r>
  </si>
  <si>
    <r>
      <t xml:space="preserve">Test duration (hours) </t>
    </r>
    <r>
      <rPr>
        <i/>
        <sz val="8"/>
        <color theme="1"/>
        <rFont val="Arial"/>
        <family val="2"/>
      </rPr>
      <t>*calculated</t>
    </r>
  </si>
  <si>
    <r>
      <t>In-situ case temperature (T</t>
    </r>
    <r>
      <rPr>
        <b/>
        <vertAlign val="subscript"/>
        <sz val="8"/>
        <color theme="1"/>
        <rFont val="Arial"/>
        <family val="2"/>
      </rPr>
      <t>C</t>
    </r>
    <r>
      <rPr>
        <b/>
        <sz val="8"/>
        <color theme="1"/>
        <rFont val="Arial"/>
        <family val="2"/>
      </rPr>
      <t xml:space="preserve"> °C)</t>
    </r>
  </si>
  <si>
    <r>
      <t>Tested case temperature 1 (T</t>
    </r>
    <r>
      <rPr>
        <vertAlign val="subscript"/>
        <sz val="8"/>
        <color theme="1"/>
        <rFont val="Arial"/>
        <family val="2"/>
      </rPr>
      <t>C</t>
    </r>
    <r>
      <rPr>
        <sz val="8"/>
        <color theme="1"/>
        <rFont val="Arial"/>
        <family val="2"/>
      </rPr>
      <t xml:space="preserve"> °C)</t>
    </r>
  </si>
  <si>
    <r>
      <t>Tested case temperature 2 (T</t>
    </r>
    <r>
      <rPr>
        <vertAlign val="subscript"/>
        <sz val="8"/>
        <color theme="1"/>
        <rFont val="Arial"/>
        <family val="2"/>
      </rPr>
      <t>C</t>
    </r>
    <r>
      <rPr>
        <sz val="8"/>
        <color theme="1"/>
        <rFont val="Arial"/>
        <family val="2"/>
      </rPr>
      <t xml:space="preserve"> °C)</t>
    </r>
  </si>
  <si>
    <r>
      <t>Tested case temperature 3 (T</t>
    </r>
    <r>
      <rPr>
        <vertAlign val="subscript"/>
        <sz val="8"/>
        <color theme="1"/>
        <rFont val="Arial"/>
        <family val="2"/>
      </rPr>
      <t>C</t>
    </r>
    <r>
      <rPr>
        <sz val="8"/>
        <color theme="1"/>
        <rFont val="Arial"/>
        <family val="2"/>
      </rPr>
      <t xml:space="preserve"> °C)</t>
    </r>
  </si>
  <si>
    <r>
      <t>Tested case temperature 4 (T</t>
    </r>
    <r>
      <rPr>
        <vertAlign val="subscript"/>
        <sz val="8"/>
        <color theme="1"/>
        <rFont val="Arial"/>
        <family val="2"/>
      </rPr>
      <t>C</t>
    </r>
    <r>
      <rPr>
        <sz val="8"/>
        <color theme="1"/>
        <rFont val="Arial"/>
        <family val="2"/>
      </rPr>
      <t xml:space="preserve"> °C)</t>
    </r>
  </si>
  <si>
    <t>Tested case temperature (°C)</t>
  </si>
  <si>
    <r>
      <t>T</t>
    </r>
    <r>
      <rPr>
        <vertAlign val="subscript"/>
        <sz val="11"/>
        <color theme="1"/>
        <rFont val="Arial"/>
        <family val="2"/>
      </rPr>
      <t>s,2</t>
    </r>
    <r>
      <rPr>
        <sz val="11"/>
        <color theme="1"/>
        <rFont val="Arial"/>
        <family val="2"/>
      </rPr>
      <t xml:space="preserve"> (K)</t>
    </r>
  </si>
  <si>
    <r>
      <t>α</t>
    </r>
    <r>
      <rPr>
        <vertAlign val="subscript"/>
        <sz val="11"/>
        <color theme="1"/>
        <rFont val="Arial"/>
        <family val="2"/>
      </rPr>
      <t>2</t>
    </r>
  </si>
  <si>
    <r>
      <t>B</t>
    </r>
    <r>
      <rPr>
        <vertAlign val="subscript"/>
        <sz val="11"/>
        <color theme="1"/>
        <rFont val="Arial"/>
        <family val="2"/>
      </rPr>
      <t>2</t>
    </r>
  </si>
  <si>
    <r>
      <t>m</t>
    </r>
    <r>
      <rPr>
        <vertAlign val="subscript"/>
        <sz val="11"/>
        <color theme="1"/>
        <rFont val="Arial"/>
        <family val="2"/>
      </rPr>
      <t>B</t>
    </r>
  </si>
  <si>
    <r>
      <t>b</t>
    </r>
    <r>
      <rPr>
        <vertAlign val="subscript"/>
        <sz val="11"/>
        <color theme="1"/>
        <rFont val="Arial"/>
        <family val="2"/>
      </rPr>
      <t>B</t>
    </r>
  </si>
  <si>
    <r>
      <t>T</t>
    </r>
    <r>
      <rPr>
        <vertAlign val="subscript"/>
        <sz val="11"/>
        <color theme="1"/>
        <rFont val="Arial"/>
        <family val="2"/>
      </rPr>
      <t>s,i</t>
    </r>
    <r>
      <rPr>
        <sz val="11"/>
        <color theme="1"/>
        <rFont val="Arial"/>
        <family val="2"/>
      </rPr>
      <t xml:space="preserve"> (°C)</t>
    </r>
  </si>
  <si>
    <r>
      <t>T</t>
    </r>
    <r>
      <rPr>
        <vertAlign val="subscript"/>
        <sz val="11"/>
        <color theme="1"/>
        <rFont val="Arial"/>
        <family val="2"/>
      </rPr>
      <t>s,i</t>
    </r>
    <r>
      <rPr>
        <sz val="11"/>
        <color theme="1"/>
        <rFont val="Arial"/>
        <family val="2"/>
      </rPr>
      <t xml:space="preserve"> (K)</t>
    </r>
  </si>
  <si>
    <r>
      <t>α</t>
    </r>
    <r>
      <rPr>
        <vertAlign val="subscript"/>
        <sz val="11"/>
        <color theme="1"/>
        <rFont val="Arial"/>
        <family val="2"/>
      </rPr>
      <t>i</t>
    </r>
  </si>
  <si>
    <r>
      <t>B</t>
    </r>
    <r>
      <rPr>
        <vertAlign val="subscript"/>
        <sz val="11"/>
        <color theme="1"/>
        <rFont val="Arial"/>
        <family val="2"/>
      </rPr>
      <t>0</t>
    </r>
  </si>
  <si>
    <r>
      <t>m</t>
    </r>
    <r>
      <rPr>
        <vertAlign val="subscript"/>
        <sz val="11"/>
        <color theme="1"/>
        <rFont val="Arial"/>
        <family val="2"/>
      </rPr>
      <t>A</t>
    </r>
  </si>
  <si>
    <r>
      <t>b</t>
    </r>
    <r>
      <rPr>
        <vertAlign val="subscript"/>
        <sz val="11"/>
        <color theme="1"/>
        <rFont val="Arial"/>
        <family val="2"/>
      </rPr>
      <t>A</t>
    </r>
  </si>
  <si>
    <r>
      <t>I</t>
    </r>
    <r>
      <rPr>
        <vertAlign val="subscript"/>
        <sz val="11"/>
        <color theme="1"/>
        <rFont val="Arial"/>
        <family val="2"/>
      </rPr>
      <t>s,i</t>
    </r>
    <r>
      <rPr>
        <sz val="11"/>
        <color theme="1"/>
        <rFont val="Arial"/>
        <family val="2"/>
      </rPr>
      <t xml:space="preserve"> (mA)</t>
    </r>
  </si>
  <si>
    <r>
      <t>T</t>
    </r>
    <r>
      <rPr>
        <vertAlign val="subscript"/>
        <sz val="11"/>
        <color theme="1"/>
        <rFont val="Arial"/>
        <family val="2"/>
      </rPr>
      <t>s,1</t>
    </r>
    <r>
      <rPr>
        <sz val="11"/>
        <color theme="1"/>
        <rFont val="Arial"/>
        <family val="2"/>
      </rPr>
      <t xml:space="preserve"> (°C)</t>
    </r>
  </si>
  <si>
    <r>
      <t>T</t>
    </r>
    <r>
      <rPr>
        <vertAlign val="subscript"/>
        <sz val="11"/>
        <color theme="1"/>
        <rFont val="Arial"/>
        <family val="2"/>
      </rPr>
      <t xml:space="preserve">s,2 </t>
    </r>
    <r>
      <rPr>
        <sz val="11"/>
        <color theme="1"/>
        <rFont val="Arial"/>
        <family val="2"/>
      </rPr>
      <t>(°C)</t>
    </r>
  </si>
  <si>
    <r>
      <t>T</t>
    </r>
    <r>
      <rPr>
        <vertAlign val="subscript"/>
        <sz val="11"/>
        <color theme="1"/>
        <rFont val="Arial"/>
        <family val="2"/>
      </rPr>
      <t>A,1</t>
    </r>
    <r>
      <rPr>
        <sz val="11"/>
        <color theme="1"/>
        <rFont val="Arial"/>
        <family val="2"/>
      </rPr>
      <t xml:space="preserve"> (K)</t>
    </r>
  </si>
  <si>
    <r>
      <t>T</t>
    </r>
    <r>
      <rPr>
        <vertAlign val="subscript"/>
        <sz val="11"/>
        <color theme="1"/>
        <rFont val="Arial"/>
        <family val="2"/>
      </rPr>
      <t>A,2</t>
    </r>
    <r>
      <rPr>
        <sz val="11"/>
        <color theme="1"/>
        <rFont val="Arial"/>
        <family val="2"/>
      </rPr>
      <t xml:space="preserve"> (K)</t>
    </r>
  </si>
  <si>
    <r>
      <t>I</t>
    </r>
    <r>
      <rPr>
        <vertAlign val="subscript"/>
        <sz val="11"/>
        <color theme="1"/>
        <rFont val="Arial"/>
        <family val="2"/>
      </rPr>
      <t>1,1</t>
    </r>
    <r>
      <rPr>
        <sz val="11"/>
        <color theme="1"/>
        <rFont val="Arial"/>
        <family val="2"/>
      </rPr>
      <t xml:space="preserve"> (mA)</t>
    </r>
  </si>
  <si>
    <r>
      <t>I</t>
    </r>
    <r>
      <rPr>
        <vertAlign val="subscript"/>
        <sz val="11"/>
        <color theme="1"/>
        <rFont val="Arial"/>
        <family val="2"/>
      </rPr>
      <t>2,1</t>
    </r>
    <r>
      <rPr>
        <sz val="11"/>
        <color theme="1"/>
        <rFont val="Arial"/>
        <family val="2"/>
      </rPr>
      <t xml:space="preserve"> (mA)</t>
    </r>
  </si>
  <si>
    <r>
      <t>α</t>
    </r>
    <r>
      <rPr>
        <vertAlign val="subscript"/>
        <sz val="11"/>
        <color theme="1"/>
        <rFont val="Arial"/>
        <family val="2"/>
      </rPr>
      <t>1,1</t>
    </r>
  </si>
  <si>
    <r>
      <t>α</t>
    </r>
    <r>
      <rPr>
        <vertAlign val="subscript"/>
        <sz val="11"/>
        <color theme="1"/>
        <rFont val="Arial"/>
        <family val="2"/>
      </rPr>
      <t>2,1</t>
    </r>
  </si>
  <si>
    <r>
      <t>B</t>
    </r>
    <r>
      <rPr>
        <vertAlign val="subscript"/>
        <sz val="11"/>
        <color theme="1"/>
        <rFont val="Arial"/>
        <family val="2"/>
      </rPr>
      <t>1,1</t>
    </r>
  </si>
  <si>
    <r>
      <t>B</t>
    </r>
    <r>
      <rPr>
        <vertAlign val="subscript"/>
        <sz val="11"/>
        <color theme="1"/>
        <rFont val="Arial"/>
        <family val="2"/>
      </rPr>
      <t>2,1</t>
    </r>
  </si>
  <si>
    <r>
      <t>I</t>
    </r>
    <r>
      <rPr>
        <vertAlign val="subscript"/>
        <sz val="11"/>
        <color theme="1"/>
        <rFont val="Arial"/>
        <family val="2"/>
      </rPr>
      <t>1,2</t>
    </r>
    <r>
      <rPr>
        <sz val="11"/>
        <color theme="1"/>
        <rFont val="Arial"/>
        <family val="2"/>
      </rPr>
      <t xml:space="preserve"> (mA)</t>
    </r>
  </si>
  <si>
    <r>
      <t>I</t>
    </r>
    <r>
      <rPr>
        <vertAlign val="subscript"/>
        <sz val="11"/>
        <color theme="1"/>
        <rFont val="Arial"/>
        <family val="2"/>
      </rPr>
      <t>2,2</t>
    </r>
    <r>
      <rPr>
        <sz val="11"/>
        <color theme="1"/>
        <rFont val="Arial"/>
        <family val="2"/>
      </rPr>
      <t xml:space="preserve"> (mA)</t>
    </r>
  </si>
  <si>
    <r>
      <t>α</t>
    </r>
    <r>
      <rPr>
        <vertAlign val="subscript"/>
        <sz val="11"/>
        <color theme="1"/>
        <rFont val="Arial"/>
        <family val="2"/>
      </rPr>
      <t>1,2</t>
    </r>
  </si>
  <si>
    <r>
      <t>α</t>
    </r>
    <r>
      <rPr>
        <vertAlign val="subscript"/>
        <sz val="11"/>
        <color theme="1"/>
        <rFont val="Arial"/>
        <family val="2"/>
      </rPr>
      <t>2,2</t>
    </r>
  </si>
  <si>
    <r>
      <t>B</t>
    </r>
    <r>
      <rPr>
        <vertAlign val="subscript"/>
        <sz val="11"/>
        <color theme="1"/>
        <rFont val="Arial"/>
        <family val="2"/>
      </rPr>
      <t>1,2</t>
    </r>
  </si>
  <si>
    <r>
      <t>B</t>
    </r>
    <r>
      <rPr>
        <vertAlign val="subscript"/>
        <sz val="11"/>
        <color theme="1"/>
        <rFont val="Arial"/>
        <family val="2"/>
      </rPr>
      <t>2,2</t>
    </r>
  </si>
  <si>
    <r>
      <t>m</t>
    </r>
    <r>
      <rPr>
        <vertAlign val="subscript"/>
        <sz val="11"/>
        <color theme="1"/>
        <rFont val="Arial"/>
        <family val="2"/>
      </rPr>
      <t>α,1</t>
    </r>
  </si>
  <si>
    <r>
      <t>m</t>
    </r>
    <r>
      <rPr>
        <vertAlign val="subscript"/>
        <sz val="11"/>
        <color theme="1"/>
        <rFont val="Arial"/>
        <family val="2"/>
      </rPr>
      <t>α,2</t>
    </r>
  </si>
  <si>
    <r>
      <t>b</t>
    </r>
    <r>
      <rPr>
        <vertAlign val="subscript"/>
        <sz val="11"/>
        <color theme="1"/>
        <rFont val="Arial"/>
        <family val="2"/>
      </rPr>
      <t>α,1</t>
    </r>
  </si>
  <si>
    <r>
      <t>b</t>
    </r>
    <r>
      <rPr>
        <vertAlign val="subscript"/>
        <sz val="11"/>
        <color theme="1"/>
        <rFont val="Arial"/>
        <family val="2"/>
      </rPr>
      <t>α,2</t>
    </r>
  </si>
  <si>
    <r>
      <t>m</t>
    </r>
    <r>
      <rPr>
        <vertAlign val="subscript"/>
        <sz val="11"/>
        <color theme="1"/>
        <rFont val="Arial"/>
        <family val="2"/>
      </rPr>
      <t>B,1</t>
    </r>
  </si>
  <si>
    <r>
      <t>m</t>
    </r>
    <r>
      <rPr>
        <vertAlign val="subscript"/>
        <sz val="11"/>
        <color theme="1"/>
        <rFont val="Arial"/>
        <family val="2"/>
      </rPr>
      <t>B,2</t>
    </r>
  </si>
  <si>
    <r>
      <t>b</t>
    </r>
    <r>
      <rPr>
        <vertAlign val="subscript"/>
        <sz val="11"/>
        <color theme="1"/>
        <rFont val="Arial"/>
        <family val="2"/>
      </rPr>
      <t>B,1</t>
    </r>
  </si>
  <si>
    <r>
      <t>b</t>
    </r>
    <r>
      <rPr>
        <vertAlign val="subscript"/>
        <sz val="11"/>
        <color theme="1"/>
        <rFont val="Arial"/>
        <family val="2"/>
      </rPr>
      <t>B,2</t>
    </r>
  </si>
  <si>
    <r>
      <t>α</t>
    </r>
    <r>
      <rPr>
        <vertAlign val="subscript"/>
        <sz val="11"/>
        <color theme="1"/>
        <rFont val="Arial"/>
        <family val="2"/>
      </rPr>
      <t>i,1</t>
    </r>
  </si>
  <si>
    <r>
      <t>α</t>
    </r>
    <r>
      <rPr>
        <vertAlign val="subscript"/>
        <sz val="11"/>
        <color theme="1"/>
        <rFont val="Arial"/>
        <family val="2"/>
      </rPr>
      <t>i,2</t>
    </r>
  </si>
  <si>
    <r>
      <t>B</t>
    </r>
    <r>
      <rPr>
        <vertAlign val="subscript"/>
        <sz val="11"/>
        <color theme="1"/>
        <rFont val="Arial"/>
        <family val="2"/>
      </rPr>
      <t>i,1</t>
    </r>
  </si>
  <si>
    <r>
      <t>B</t>
    </r>
    <r>
      <rPr>
        <vertAlign val="subscript"/>
        <sz val="11"/>
        <color theme="1"/>
        <rFont val="Arial"/>
        <family val="2"/>
      </rPr>
      <t>i,2</t>
    </r>
  </si>
  <si>
    <t>Use this factor to increase the size of the horizontal axis scale, values &gt;1 will give a longer projection in time</t>
  </si>
  <si>
    <t>Yellow cells require user input and accept numbers only. Do not include notation for units of measurement in these cells.</t>
  </si>
  <si>
    <t>User instructions for using the TM-21-19 calculator</t>
  </si>
  <si>
    <r>
      <t xml:space="preserve">For </t>
    </r>
    <r>
      <rPr>
        <i/>
        <u/>
        <sz val="11"/>
        <rFont val="Arial"/>
        <family val="2"/>
      </rPr>
      <t>Temperature Data Interpolation</t>
    </r>
    <r>
      <rPr>
        <sz val="11"/>
        <rFont val="Arial"/>
        <family val="2"/>
      </rPr>
      <t xml:space="preserve">:
Two sample sets are required for temperature data interpolation. The tested case temperatures used for this interpolation shall include the closest lower temperature, and the closest higher temperature to the in-situ case temperature to be interpolated. The corresponding drive currents for these two sample sets must be equal, and at or above the in-situ drive current.
For </t>
    </r>
    <r>
      <rPr>
        <i/>
        <u/>
        <sz val="11"/>
        <rFont val="Arial"/>
        <family val="2"/>
      </rPr>
      <t>Current Data Interpolation</t>
    </r>
    <r>
      <rPr>
        <sz val="11"/>
        <rFont val="Arial"/>
        <family val="2"/>
      </rPr>
      <t xml:space="preserve">:
Two sample sets are required for current data interpolation. The tested drive currents used for this interpolation shall include the closest lowest drive current, and the closest higher drive current to the in-situ drive current to be interpolated. The corresponding temperature for these two sample sets must be equal, and at or above the in-situ case temperature.
For DUTs with a maximum input power of 0.6W or less, the difference in drive current between any two data points being used for current interpolation shall not exceed a factor of 1.5. For DUTs with a maximum input power greater than 0.6W, the difference in drive current between any two data points shall not exceed a factor of 2.
For </t>
    </r>
    <r>
      <rPr>
        <i/>
        <u/>
        <sz val="11"/>
        <rFont val="Arial"/>
        <family val="2"/>
      </rPr>
      <t>Simultaneous Temperature and Current Interpolation</t>
    </r>
    <r>
      <rPr>
        <sz val="11"/>
        <rFont val="Arial"/>
        <family val="2"/>
      </rPr>
      <t>:
Four sample sets are generally required for this interpolation. This includes two sample sets at the closest lower temperature, with drive currents that are above and below the interpolation current; and two sample sets at the closest higher temperature, again with drive currents that are above and below the interpolation current. 
The upper and lower drive currents in each case are subject to the same requirements regarding maximum input power and difference in current.</t>
    </r>
  </si>
  <si>
    <r>
      <t xml:space="preserve">This calculator can be used for interpolation of ANSI/IES LM-80-15 (or LM-80-08) data for the projection of flux maintenance life. It can interpolate data in three ways:
  </t>
    </r>
    <r>
      <rPr>
        <sz val="11"/>
        <rFont val="Calibri"/>
        <family val="2"/>
      </rPr>
      <t>•</t>
    </r>
    <r>
      <rPr>
        <sz val="11"/>
        <rFont val="Arial"/>
        <family val="2"/>
      </rPr>
      <t xml:space="preserve"> </t>
    </r>
    <r>
      <rPr>
        <i/>
        <u/>
        <sz val="11"/>
        <rFont val="Arial"/>
        <family val="2"/>
      </rPr>
      <t>Temperature Data Interpolation</t>
    </r>
    <r>
      <rPr>
        <sz val="11"/>
        <rFont val="Arial"/>
        <family val="2"/>
      </rPr>
      <t xml:space="preserve">: when the in-situ case temperature is different from the temperatures used for the LM-80 tests, but the drive current is the same as used for the tests. This process requires </t>
    </r>
    <r>
      <rPr>
        <b/>
        <sz val="11"/>
        <rFont val="Arial"/>
        <family val="2"/>
      </rPr>
      <t xml:space="preserve">two sample sets </t>
    </r>
    <r>
      <rPr>
        <sz val="11"/>
        <rFont val="Arial"/>
        <family val="2"/>
      </rPr>
      <t xml:space="preserve">of LM-80 data.
  </t>
    </r>
    <r>
      <rPr>
        <sz val="11"/>
        <rFont val="Calibri"/>
        <family val="2"/>
      </rPr>
      <t>•</t>
    </r>
    <r>
      <rPr>
        <sz val="11"/>
        <rFont val="Arial"/>
        <family val="2"/>
      </rPr>
      <t xml:space="preserve"> </t>
    </r>
    <r>
      <rPr>
        <i/>
        <u/>
        <sz val="11"/>
        <rFont val="Arial"/>
        <family val="2"/>
      </rPr>
      <t>Current Data Interpolation</t>
    </r>
    <r>
      <rPr>
        <sz val="11"/>
        <rFont val="Arial"/>
        <family val="2"/>
      </rPr>
      <t xml:space="preserve">: where the in-situ Device Under Test (DUT) drive current is different from the drive current used for the LM-80 tests, but the case temperature is the same as used for the tests. This process requires </t>
    </r>
    <r>
      <rPr>
        <b/>
        <sz val="11"/>
        <rFont val="Arial"/>
        <family val="2"/>
      </rPr>
      <t>two sample sets</t>
    </r>
    <r>
      <rPr>
        <sz val="11"/>
        <rFont val="Arial"/>
        <family val="2"/>
      </rPr>
      <t xml:space="preserve"> of LM-80 data.
  </t>
    </r>
    <r>
      <rPr>
        <sz val="11"/>
        <rFont val="Calibri"/>
        <family val="2"/>
      </rPr>
      <t>•</t>
    </r>
    <r>
      <rPr>
        <sz val="11"/>
        <rFont val="Arial"/>
        <family val="2"/>
      </rPr>
      <t xml:space="preserve"> </t>
    </r>
    <r>
      <rPr>
        <i/>
        <u/>
        <sz val="11"/>
        <rFont val="Arial"/>
        <family val="2"/>
      </rPr>
      <t>Simultaneous Temperature and Current Interpolation</t>
    </r>
    <r>
      <rPr>
        <sz val="11"/>
        <rFont val="Arial"/>
        <family val="2"/>
      </rPr>
      <t xml:space="preserve">: When both in-situ DUT drive current and in-situ case temperature are different from the LM-80 test values. This process generally requires </t>
    </r>
    <r>
      <rPr>
        <b/>
        <sz val="11"/>
        <rFont val="Arial"/>
        <family val="2"/>
      </rPr>
      <t>four sample sets</t>
    </r>
    <r>
      <rPr>
        <sz val="11"/>
        <rFont val="Arial"/>
        <family val="2"/>
      </rPr>
      <t xml:space="preserve"> of LM-80 data.</t>
    </r>
  </si>
  <si>
    <t>In the graph on the TM-21 inputs page, the red cross corresponding to your product test conditions should lie in the interpolation region defined by your input LM-80 data sets. In addition to this check, there are several red flag text messages that will appear on the TM-21 inputs page. These warn the user if there are any other issues related to data suitability.</t>
  </si>
  <si>
    <t>Data is entered on the TM-21 input page only. All other pages use this input data to generate text, graphical outputs and the final report. Instructions on how to use the TM-21 page are detailed below.</t>
  </si>
  <si>
    <t>Dark blue cells on the TM-21 inputs page require user input by selecting from a dropdown list.</t>
  </si>
  <si>
    <t>Orange cells on the TM-21 inputs page require user input, and accept both text and number descriptions.</t>
  </si>
  <si>
    <r>
      <t>Input the unique product name that is associated with this test report. This cell ac</t>
    </r>
    <r>
      <rPr>
        <b/>
        <sz val="11"/>
        <rFont val="Arial"/>
        <family val="2"/>
      </rPr>
      <t>cepts both text and number descriptions.</t>
    </r>
  </si>
  <si>
    <r>
      <t>Input the description of the LED light sour</t>
    </r>
    <r>
      <rPr>
        <b/>
        <sz val="11"/>
        <rFont val="Arial"/>
        <family val="2"/>
      </rPr>
      <t>ce tested (e.g. manufacturer, model, catalogue</t>
    </r>
    <r>
      <rPr>
        <b/>
        <sz val="11"/>
        <color theme="1"/>
        <rFont val="Arial"/>
        <family val="2"/>
      </rPr>
      <t xml:space="preserve"> number). This cell accepts </t>
    </r>
    <r>
      <rPr>
        <b/>
        <sz val="11"/>
        <rFont val="Arial"/>
        <family val="2"/>
      </rPr>
      <t>both text and number descriptions.</t>
    </r>
  </si>
  <si>
    <t>For each reported sample set, input the DUT case temperature reported in the corresponding IES LM-80 test report. This value must be reported in degrees Celsius (°C), and written as a number only - do not include text indicating the unit of measure.</t>
  </si>
  <si>
    <t>Input a name, model number or other identifier for the product tested in the LM-80 test. This cell accepts both text and number descriptions.</t>
  </si>
  <si>
    <r>
      <rPr>
        <sz val="14"/>
        <color rgb="FF4986A0"/>
        <rFont val="Arial"/>
        <family val="2"/>
      </rPr>
      <t>Input cells:</t>
    </r>
    <r>
      <rPr>
        <b/>
        <sz val="14"/>
        <color rgb="FF002060"/>
        <rFont val="Arial"/>
        <family val="2"/>
      </rPr>
      <t xml:space="preserve"> </t>
    </r>
    <r>
      <rPr>
        <b/>
        <sz val="14"/>
        <color theme="1"/>
        <rFont val="Arial"/>
        <family val="2"/>
      </rPr>
      <t xml:space="preserve">instructions, </t>
    </r>
    <r>
      <rPr>
        <sz val="14"/>
        <color theme="1"/>
        <rFont val="Arial"/>
        <family val="2"/>
      </rPr>
      <t>descriptions</t>
    </r>
    <r>
      <rPr>
        <b/>
        <sz val="14"/>
        <color theme="1"/>
        <rFont val="Arial"/>
        <family val="2"/>
      </rPr>
      <t xml:space="preserve"> and</t>
    </r>
    <r>
      <rPr>
        <b/>
        <sz val="14"/>
        <color rgb="FFD50032"/>
        <rFont val="Arial"/>
        <family val="2"/>
      </rPr>
      <t xml:space="preserve"> </t>
    </r>
    <r>
      <rPr>
        <sz val="14"/>
        <color rgb="FFD50032"/>
        <rFont val="Arial"/>
        <family val="2"/>
      </rPr>
      <t>warnings</t>
    </r>
  </si>
  <si>
    <r>
      <t xml:space="preserve">This value is the product's </t>
    </r>
    <r>
      <rPr>
        <b/>
        <sz val="11"/>
        <rFont val="Arial"/>
        <family val="2"/>
      </rPr>
      <t>input power,</t>
    </r>
    <r>
      <rPr>
        <b/>
        <sz val="11"/>
        <color theme="1"/>
        <rFont val="Arial"/>
        <family val="2"/>
      </rPr>
      <t xml:space="preserve"> and is required to ensure the upper and lower drive currents used for any current interpolation meet </t>
    </r>
    <r>
      <rPr>
        <b/>
        <sz val="11"/>
        <rFont val="Arial"/>
        <family val="2"/>
      </rPr>
      <t xml:space="preserve">the requirements of this method (see </t>
    </r>
    <r>
      <rPr>
        <b/>
        <u/>
        <sz val="11"/>
        <rFont val="Arial"/>
        <family val="2"/>
      </rPr>
      <t>What data can be used?</t>
    </r>
    <r>
      <rPr>
        <b/>
        <sz val="11"/>
        <rFont val="Arial"/>
        <family val="2"/>
      </rPr>
      <t xml:space="preserve">). This value must be reported in watts (W). The value must be written as a number only - do not include text indicating the unit of measure.
</t>
    </r>
    <r>
      <rPr>
        <sz val="11"/>
        <rFont val="Arial"/>
        <family val="2"/>
      </rPr>
      <t xml:space="preserve">
If conducting a temperature data (only) interpolation, this cell will appear light blue (not yellow) and in this case does not require any input.</t>
    </r>
  </si>
  <si>
    <r>
      <rPr>
        <b/>
        <sz val="11"/>
        <rFont val="Arial"/>
        <family val="2"/>
      </rPr>
      <t xml:space="preserve">This value is the product's drive current to be used for current flux maintenance life interpolation. This value must be reported in milliamps (mA), and written as a number only - do not include text indicating the unit of measure.
</t>
    </r>
    <r>
      <rPr>
        <sz val="11"/>
        <rFont val="Arial"/>
        <family val="2"/>
      </rPr>
      <t xml:space="preserve">
This value must be either within the range of two reported sample set drive currents, or below the lowest reported sample set drive current (see </t>
    </r>
    <r>
      <rPr>
        <u/>
        <sz val="11"/>
        <rFont val="Arial"/>
        <family val="2"/>
      </rPr>
      <t>What data can be used?</t>
    </r>
    <r>
      <rPr>
        <sz val="11"/>
        <rFont val="Arial"/>
        <family val="2"/>
      </rPr>
      <t>).</t>
    </r>
  </si>
  <si>
    <r>
      <rPr>
        <b/>
        <sz val="14"/>
        <color theme="0"/>
        <rFont val="Arial"/>
        <family val="2"/>
      </rPr>
      <t xml:space="preserve">COMPLETE THIS STEP FIRST. </t>
    </r>
    <r>
      <rPr>
        <b/>
        <sz val="11"/>
        <color theme="0"/>
        <rFont val="Arial"/>
        <family val="2"/>
      </rPr>
      <t xml:space="preserve">
</t>
    </r>
    <r>
      <rPr>
        <b/>
        <sz val="11"/>
        <rFont val="Arial"/>
        <family val="2"/>
      </rPr>
      <t xml:space="preserve">
Select from the dropdown list according to the interpolation type to be conducted: temperate data, current data, or simultaneous temperature and current interpolation.</t>
    </r>
    <r>
      <rPr>
        <sz val="11"/>
        <rFont val="Arial"/>
        <family val="2"/>
      </rPr>
      <t xml:space="preserve">
The type of interpolation you select will affect how many tables appear on the TM-21 inputs sheet for the user to input sample sets. For more information on interpolation types and what data can be used, please refer to the instructions above.</t>
    </r>
  </si>
  <si>
    <r>
      <rPr>
        <b/>
        <sz val="11"/>
        <color theme="1"/>
        <rFont val="Arial"/>
        <family val="2"/>
      </rPr>
      <t xml:space="preserve">This value is the product's in-situ case temperature to be used for temperature flux maintenance life interpolation. This value must be reported in degrees </t>
    </r>
    <r>
      <rPr>
        <b/>
        <sz val="11"/>
        <rFont val="Arial"/>
        <family val="2"/>
      </rPr>
      <t>Celsius (°C), and written as a number only - do not include text indicating the unit of measure.</t>
    </r>
    <r>
      <rPr>
        <sz val="11"/>
        <color theme="1"/>
        <rFont val="Arial"/>
        <family val="2"/>
      </rPr>
      <t xml:space="preserve">
</t>
    </r>
    <r>
      <rPr>
        <sz val="11"/>
        <rFont val="Arial"/>
        <family val="2"/>
      </rPr>
      <t xml:space="preserve">
This value must be either within the range of two reported sample set case temperatures, or below the lowest reported sample set case temperature (see </t>
    </r>
    <r>
      <rPr>
        <u/>
        <sz val="11"/>
        <rFont val="Arial"/>
        <family val="2"/>
      </rPr>
      <t>What data can be used?</t>
    </r>
    <r>
      <rPr>
        <sz val="11"/>
        <rFont val="Arial"/>
        <family val="2"/>
      </rPr>
      <t xml:space="preserve">).
</t>
    </r>
    <r>
      <rPr>
        <sz val="11"/>
        <color rgb="FFD50032"/>
        <rFont val="Arial"/>
        <family val="2"/>
      </rPr>
      <t xml:space="preserve">
A red flag will alert the user to review this input if it appears this value has been misreported in Kelvin, (K), instead of degrees Celsius, (°C).</t>
    </r>
  </si>
  <si>
    <r>
      <rPr>
        <b/>
        <sz val="11"/>
        <color theme="1"/>
        <rFont val="Arial"/>
        <family val="2"/>
      </rPr>
      <t>Input the desired percentage of initial flux to project towards (e.g. for L</t>
    </r>
    <r>
      <rPr>
        <b/>
        <vertAlign val="subscript"/>
        <sz val="11"/>
        <color theme="1"/>
        <rFont val="Arial"/>
        <family val="2"/>
      </rPr>
      <t>70</t>
    </r>
    <r>
      <rPr>
        <b/>
        <sz val="11"/>
        <color theme="1"/>
        <rFont val="Arial"/>
        <family val="2"/>
      </rPr>
      <t xml:space="preserve">, this is 70%). It should be written as a whole number between 70 and 99. Input the number </t>
    </r>
    <r>
      <rPr>
        <b/>
        <sz val="11"/>
        <rFont val="Arial"/>
        <family val="2"/>
      </rPr>
      <t>only - do not include text indicating the unit of measure.</t>
    </r>
    <r>
      <rPr>
        <sz val="11"/>
        <color theme="1"/>
        <rFont val="Arial"/>
        <family val="2"/>
      </rPr>
      <t xml:space="preserve">
It is possible for the flux maintenance behaviour of a DUT to change over time and at different flux maintenance levels. For this reason,</t>
    </r>
    <r>
      <rPr>
        <sz val="11"/>
        <rFont val="Arial"/>
        <family val="2"/>
      </rPr>
      <t xml:space="preserve"> this method shall not be used to project lumen, photon or radiant flux maintenance below 70%. 
</t>
    </r>
    <r>
      <rPr>
        <sz val="11"/>
        <color rgb="FFD50032"/>
        <rFont val="Arial"/>
        <family val="2"/>
      </rPr>
      <t xml:space="preserve">
A red flag will alert the user if this number is less than 70.</t>
    </r>
  </si>
  <si>
    <r>
      <t xml:space="preserve">For each reported sample set, specify the input power of the DUT reported in the corresponding IES LM-80 test report. This value must be reported in watts (W), and written as a number only - do not include text indicating the unit of measure.
</t>
    </r>
    <r>
      <rPr>
        <sz val="11"/>
        <rFont val="Arial"/>
        <family val="2"/>
      </rPr>
      <t xml:space="preserve">
If conducting a temperature data (only) interpolation, this cell will appear blue and will not require input.</t>
    </r>
  </si>
  <si>
    <r>
      <t>For each reported sample set, input the DUT drive current used in the test as per the corresponding IES LM-80 report. This value must be reported in milliamps (m</t>
    </r>
    <r>
      <rPr>
        <b/>
        <sz val="11"/>
        <rFont val="Arial"/>
        <family val="2"/>
      </rPr>
      <t>A), and written as a number only - do not include text indicating the unit of measure.</t>
    </r>
    <r>
      <rPr>
        <b/>
        <sz val="11"/>
        <color theme="1"/>
        <rFont val="Arial"/>
        <family val="2"/>
      </rPr>
      <t xml:space="preserve">
</t>
    </r>
    <r>
      <rPr>
        <sz val="11"/>
        <color rgb="FFD50032"/>
        <rFont val="Arial"/>
        <family val="2"/>
      </rPr>
      <t xml:space="preserve">
A red flag alert will appear if the two test drive currents used for a current interpolation are further apart than permitted (see </t>
    </r>
    <r>
      <rPr>
        <u/>
        <sz val="11"/>
        <color rgb="FFD50032"/>
        <rFont val="Arial"/>
        <family val="2"/>
      </rPr>
      <t>What data can be used?</t>
    </r>
    <r>
      <rPr>
        <sz val="11"/>
        <color rgb="FFD50032"/>
        <rFont val="Arial"/>
        <family val="2"/>
      </rPr>
      <t xml:space="preserve"> for more information).</t>
    </r>
  </si>
  <si>
    <r>
      <rPr>
        <b/>
        <sz val="11"/>
        <color theme="1"/>
        <rFont val="Arial"/>
        <family val="2"/>
      </rPr>
      <t xml:space="preserve">Input the number of units tested in each individual reported sample set. </t>
    </r>
    <r>
      <rPr>
        <b/>
        <sz val="11"/>
        <rFont val="Arial"/>
        <family val="2"/>
      </rPr>
      <t>The value must be written as a number only - do not include text.</t>
    </r>
    <r>
      <rPr>
        <sz val="11"/>
        <color theme="1"/>
        <rFont val="Arial"/>
        <family val="2"/>
      </rPr>
      <t xml:space="preserve">
The recommended number for the sample set is a minimum of 20 units in order to be able to use a multiplicative factor of 6 times the test duration for flux maintenance life projection. When a sample size smaller than 20 is used, the sample size shall be noted in reporting of values derived from this method. For sample sizes ranging from 10 to 19, a multiplicative factor of 5.5 times the test duration is used for projection. For calculations, the lowest value of sample size across all sets will be used.
</t>
    </r>
    <r>
      <rPr>
        <sz val="11"/>
        <color rgb="FFD50032"/>
        <rFont val="Arial"/>
        <family val="2"/>
      </rPr>
      <t xml:space="preserve">
If the sample size is less than 10, the calculator results are not valid. A red flag will alert the user if this number is less than 10.</t>
    </r>
  </si>
  <si>
    <r>
      <rPr>
        <b/>
        <sz val="11"/>
        <rFont val="Arial"/>
        <family val="2"/>
      </rPr>
      <t>Input all data points for test time intervals contained in the corresponding IES LM-80 test report. These values must be reported in hours, and written as a number only - do not include text indicating the unit of measure.</t>
    </r>
    <r>
      <rPr>
        <sz val="11"/>
        <rFont val="Arial"/>
        <family val="2"/>
      </rPr>
      <t xml:space="preserve">
You may indicate the initial test value with a time of 0 (zero) hours. Many reports give intervals rounded to the nearest 1,000 hours. Exact time inputs (without rounding) are also acceptable.</t>
    </r>
  </si>
  <si>
    <t>Input all data points for average luminous flux (averaged across the sample size) contained in the corresponding IES LM-80 test report. These values can be input as a percentage (e.g. 99.87) or as a fraction of 1 (e.g. 0.9987) and can be specified up to four decimal places. These values must be written as a number only - do not include other text indicating the unit of measure.</t>
  </si>
  <si>
    <r>
      <t xml:space="preserve">Print the </t>
    </r>
    <r>
      <rPr>
        <b/>
        <sz val="11"/>
        <rFont val="Arial"/>
        <family val="2"/>
      </rPr>
      <t>TM-21 inputs</t>
    </r>
    <r>
      <rPr>
        <sz val="11"/>
        <rFont val="Arial"/>
        <family val="2"/>
      </rPr>
      <t xml:space="preserve"> sheet. This will be three pages in length - if you select a temperature-only or current-only interpolation, the third page will be blank.</t>
    </r>
  </si>
  <si>
    <r>
      <t xml:space="preserve">Print the appropriate </t>
    </r>
    <r>
      <rPr>
        <b/>
        <sz val="11"/>
        <color theme="1"/>
        <rFont val="Arial"/>
        <family val="2"/>
      </rPr>
      <t xml:space="preserve">Report </t>
    </r>
    <r>
      <rPr>
        <sz val="11"/>
        <color theme="1"/>
        <rFont val="Arial"/>
        <family val="2"/>
      </rPr>
      <t>page for the selected interpolation type.</t>
    </r>
  </si>
  <si>
    <r>
      <t xml:space="preserve">For each reported sample set, input the total test duration as per the corresponding IES LM-80 report. This value must be reported in hours, and written as a number only - do not include text indicating the unit of measure.
</t>
    </r>
    <r>
      <rPr>
        <sz val="11"/>
        <rFont val="Arial"/>
        <family val="2"/>
      </rPr>
      <t xml:space="preserve">
The value of test duration used in interpolation calculations is the minimum of the values reported for each sample set listed. This minimum value does not need to be specified by the user, it is calculated elsewhere on the TM-21 input page. 
</t>
    </r>
    <r>
      <rPr>
        <sz val="11"/>
        <color rgb="FFD50032"/>
        <rFont val="Arial"/>
        <family val="2"/>
      </rPr>
      <t>The minimum test duration required for inclusion in this projection method is 6,000 hours. A red flag will alert the user if the minimum test duration is less than 6,000 hours.</t>
    </r>
  </si>
  <si>
    <t>This calculator was developed by Light Naturally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</si>
</sst>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0000"/>
    <numFmt numFmtId="165" formatCode="0.000000"/>
    <numFmt numFmtId="166" formatCode="0.000E+00"/>
    <numFmt numFmtId="167" formatCode="0.0000E+00"/>
    <numFmt numFmtId="168" formatCode="[$-F800]dddd\,\ mmmm\ dd\,\ yyyy"/>
  </numFmts>
  <fonts count="74" x14ac:knownFonts="1">
    <font>
      <sz val="11"/>
      <color theme="1"/>
      <name val="Calibri"/>
      <family val="2"/>
      <scheme val="minor"/>
    </font>
    <font>
      <b/>
      <sz val="11"/>
      <color theme="1"/>
      <name val="Calibri"/>
      <family val="2"/>
      <scheme val="minor"/>
    </font>
    <font>
      <vertAlign val="subscript"/>
      <sz val="11"/>
      <color theme="1"/>
      <name val="Calibri"/>
      <family val="2"/>
      <scheme val="minor"/>
    </font>
    <font>
      <sz val="11"/>
      <color theme="1"/>
      <name val="Calibri"/>
      <family val="2"/>
    </font>
    <font>
      <b/>
      <sz val="11"/>
      <color theme="0"/>
      <name val="Calibri"/>
      <family val="2"/>
      <scheme val="minor"/>
    </font>
    <font>
      <vertAlign val="subscript"/>
      <sz val="11"/>
      <color theme="1"/>
      <name val="Calibri"/>
      <family val="2"/>
    </font>
    <font>
      <sz val="8"/>
      <name val="Calibri"/>
      <family val="2"/>
      <scheme val="minor"/>
    </font>
    <font>
      <sz val="11"/>
      <name val="Calibri"/>
      <family val="2"/>
      <scheme val="minor"/>
    </font>
    <font>
      <sz val="11"/>
      <color theme="2" tint="-0.249977111117893"/>
      <name val="Calibri"/>
      <family val="2"/>
      <scheme val="minor"/>
    </font>
    <font>
      <sz val="8"/>
      <color theme="1"/>
      <name val="Calibri"/>
      <family val="2"/>
      <scheme val="minor"/>
    </font>
    <font>
      <sz val="11"/>
      <color theme="6"/>
      <name val="Calibri"/>
      <family val="2"/>
      <scheme val="minor"/>
    </font>
    <font>
      <sz val="11"/>
      <color theme="1" tint="0.499984740745262"/>
      <name val="Calibri"/>
      <family val="2"/>
      <scheme val="minor"/>
    </font>
    <font>
      <sz val="10"/>
      <color theme="1"/>
      <name val="Calibri"/>
      <family val="2"/>
      <scheme val="minor"/>
    </font>
    <font>
      <b/>
      <sz val="10"/>
      <color theme="0"/>
      <name val="Calibri"/>
      <family val="2"/>
      <scheme val="minor"/>
    </font>
    <font>
      <b/>
      <sz val="10"/>
      <color theme="1"/>
      <name val="Calibri"/>
      <family val="2"/>
      <scheme val="minor"/>
    </font>
    <font>
      <sz val="10"/>
      <color theme="0"/>
      <name val="Calibri"/>
      <family val="2"/>
      <scheme val="minor"/>
    </font>
    <font>
      <i/>
      <sz val="10"/>
      <color theme="1"/>
      <name val="Calibri"/>
      <family val="2"/>
      <scheme val="minor"/>
    </font>
    <font>
      <sz val="10"/>
      <name val="Calibri"/>
      <family val="2"/>
      <scheme val="minor"/>
    </font>
    <font>
      <sz val="11"/>
      <color theme="5"/>
      <name val="Calibri"/>
      <family val="2"/>
      <scheme val="minor"/>
    </font>
    <font>
      <sz val="11"/>
      <color rgb="FFFF0000"/>
      <name val="Calibri"/>
      <family val="2"/>
      <scheme val="minor"/>
    </font>
    <font>
      <sz val="11"/>
      <color rgb="FF0070C0"/>
      <name val="Calibri"/>
      <family val="2"/>
      <scheme val="minor"/>
    </font>
    <font>
      <sz val="8"/>
      <color rgb="FFFF0000"/>
      <name val="Calibri"/>
      <family val="2"/>
      <scheme val="minor"/>
    </font>
    <font>
      <sz val="11"/>
      <color theme="1"/>
      <name val="Arial"/>
      <family val="2"/>
    </font>
    <font>
      <b/>
      <sz val="11"/>
      <color theme="1"/>
      <name val="Arial"/>
      <family val="2"/>
    </font>
    <font>
      <b/>
      <sz val="14"/>
      <color rgb="FF002060"/>
      <name val="Arial"/>
      <family val="2"/>
    </font>
    <font>
      <b/>
      <i/>
      <sz val="11"/>
      <color rgb="FFFF0000"/>
      <name val="Arial"/>
      <family val="2"/>
    </font>
    <font>
      <b/>
      <sz val="14"/>
      <color theme="1"/>
      <name val="Arial"/>
      <family val="2"/>
    </font>
    <font>
      <b/>
      <sz val="11"/>
      <color theme="0"/>
      <name val="Arial"/>
      <family val="2"/>
    </font>
    <font>
      <b/>
      <vertAlign val="subscript"/>
      <sz val="11"/>
      <color theme="1"/>
      <name val="Arial"/>
      <family val="2"/>
    </font>
    <font>
      <i/>
      <sz val="14"/>
      <color rgb="FFCE0058"/>
      <name val="Tahoma"/>
      <family val="2"/>
    </font>
    <font>
      <sz val="28"/>
      <color rgb="FF236192"/>
      <name val="Tahoma"/>
      <family val="2"/>
    </font>
    <font>
      <sz val="20"/>
      <color rgb="FF236192"/>
      <name val="Tahoma"/>
      <family val="2"/>
    </font>
    <font>
      <sz val="14"/>
      <color rgb="FF4986A0"/>
      <name val="Arial"/>
      <family val="2"/>
    </font>
    <font>
      <i/>
      <sz val="11"/>
      <color rgb="FF236192"/>
      <name val="Arial"/>
      <family val="2"/>
    </font>
    <font>
      <b/>
      <sz val="14"/>
      <color theme="0"/>
      <name val="Arial"/>
      <family val="2"/>
    </font>
    <font>
      <sz val="11"/>
      <color theme="0"/>
      <name val="Arial"/>
      <family val="2"/>
    </font>
    <font>
      <sz val="11"/>
      <color rgb="FFCE0058"/>
      <name val="Calibri"/>
      <family val="2"/>
      <scheme val="minor"/>
    </font>
    <font>
      <sz val="9"/>
      <color rgb="FFCE0058"/>
      <name val="Calibri"/>
      <family val="2"/>
      <scheme val="minor"/>
    </font>
    <font>
      <b/>
      <sz val="14"/>
      <color rgb="FFD50032"/>
      <name val="Arial"/>
      <family val="2"/>
    </font>
    <font>
      <sz val="11"/>
      <name val="Arial"/>
      <family val="2"/>
    </font>
    <font>
      <b/>
      <sz val="11"/>
      <name val="Arial"/>
      <family val="2"/>
    </font>
    <font>
      <sz val="10"/>
      <color theme="1"/>
      <name val="Arial"/>
      <family val="2"/>
    </font>
    <font>
      <i/>
      <sz val="10"/>
      <color theme="1"/>
      <name val="Arial"/>
      <family val="2"/>
    </font>
    <font>
      <sz val="8"/>
      <color theme="1"/>
      <name val="Arial"/>
      <family val="2"/>
    </font>
    <font>
      <b/>
      <sz val="8"/>
      <color theme="0"/>
      <name val="Arial"/>
      <family val="2"/>
    </font>
    <font>
      <b/>
      <sz val="8"/>
      <color theme="1"/>
      <name val="Arial"/>
      <family val="2"/>
    </font>
    <font>
      <i/>
      <sz val="8"/>
      <color theme="1"/>
      <name val="Arial"/>
      <family val="2"/>
    </font>
    <font>
      <sz val="8"/>
      <color rgb="FFCE0058"/>
      <name val="Arial"/>
      <family val="2"/>
    </font>
    <font>
      <b/>
      <vertAlign val="subscript"/>
      <sz val="8"/>
      <color theme="1"/>
      <name val="Arial"/>
      <family val="2"/>
    </font>
    <font>
      <vertAlign val="subscript"/>
      <sz val="8"/>
      <color theme="1"/>
      <name val="Arial"/>
      <family val="2"/>
    </font>
    <font>
      <sz val="8"/>
      <color rgb="FFD50032"/>
      <name val="Arial"/>
      <family val="2"/>
    </font>
    <font>
      <b/>
      <sz val="8"/>
      <color rgb="FFD50032"/>
      <name val="Arial"/>
      <family val="2"/>
    </font>
    <font>
      <sz val="11"/>
      <color theme="6"/>
      <name val="Arial"/>
      <family val="2"/>
    </font>
    <font>
      <sz val="11"/>
      <color theme="2" tint="-0.249977111117893"/>
      <name val="Arial"/>
      <family val="2"/>
    </font>
    <font>
      <sz val="8"/>
      <color rgb="FFFF0000"/>
      <name val="Arial"/>
      <family val="2"/>
    </font>
    <font>
      <sz val="11"/>
      <color rgb="FFFF0000"/>
      <name val="Arial"/>
      <family val="2"/>
    </font>
    <font>
      <sz val="8"/>
      <color theme="0"/>
      <name val="Arial"/>
      <family val="2"/>
    </font>
    <font>
      <b/>
      <sz val="11"/>
      <color rgb="FFFF0000"/>
      <name val="Arial"/>
      <family val="2"/>
    </font>
    <font>
      <sz val="12"/>
      <color theme="1"/>
      <name val="Arial"/>
      <family val="2"/>
    </font>
    <font>
      <sz val="12"/>
      <color theme="0"/>
      <name val="Tahoma"/>
      <family val="2"/>
    </font>
    <font>
      <sz val="11"/>
      <color rgb="FFD50032"/>
      <name val="Arial"/>
      <family val="2"/>
    </font>
    <font>
      <b/>
      <sz val="11"/>
      <color rgb="FFD50032"/>
      <name val="Arial"/>
      <family val="2"/>
    </font>
    <font>
      <u/>
      <sz val="11"/>
      <color theme="1"/>
      <name val="Arial"/>
      <family val="2"/>
    </font>
    <font>
      <vertAlign val="subscript"/>
      <sz val="11"/>
      <color theme="1"/>
      <name val="Arial"/>
      <family val="2"/>
    </font>
    <font>
      <i/>
      <sz val="10"/>
      <name val="Arial"/>
      <family val="2"/>
    </font>
    <font>
      <sz val="9"/>
      <color rgb="FFD50032"/>
      <name val="Arial"/>
      <family val="2"/>
    </font>
    <font>
      <b/>
      <sz val="8"/>
      <name val="Arial"/>
      <family val="2"/>
    </font>
    <font>
      <sz val="11"/>
      <name val="Calibri"/>
      <family val="2"/>
    </font>
    <font>
      <i/>
      <u/>
      <sz val="11"/>
      <name val="Arial"/>
      <family val="2"/>
    </font>
    <font>
      <b/>
      <u/>
      <sz val="11"/>
      <name val="Arial"/>
      <family val="2"/>
    </font>
    <font>
      <sz val="14"/>
      <color theme="1"/>
      <name val="Arial"/>
      <family val="2"/>
    </font>
    <font>
      <sz val="14"/>
      <color rgb="FFD50032"/>
      <name val="Arial"/>
      <family val="2"/>
    </font>
    <font>
      <u/>
      <sz val="11"/>
      <name val="Arial"/>
      <family val="2"/>
    </font>
    <font>
      <u/>
      <sz val="11"/>
      <color rgb="FFD50032"/>
      <name val="Arial"/>
      <family val="2"/>
    </font>
  </fonts>
  <fills count="1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236192"/>
        <bgColor indexed="64"/>
      </patternFill>
    </fill>
    <fill>
      <patternFill patternType="solid">
        <fgColor rgb="FFA3C6D5"/>
        <bgColor indexed="64"/>
      </patternFill>
    </fill>
    <fill>
      <patternFill patternType="solid">
        <fgColor rgb="FFED8B00"/>
        <bgColor indexed="64"/>
      </patternFill>
    </fill>
    <fill>
      <patternFill patternType="solid">
        <fgColor rgb="FFFDDA24"/>
        <bgColor indexed="64"/>
      </patternFill>
    </fill>
    <fill>
      <patternFill patternType="solid">
        <fgColor rgb="FF4986A0"/>
        <bgColor indexed="64"/>
      </patternFill>
    </fill>
    <fill>
      <patternFill patternType="solid">
        <fgColor rgb="FFCBDEE7"/>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style="thin">
        <color theme="0"/>
      </bottom>
      <diagonal/>
    </border>
    <border>
      <left/>
      <right/>
      <top style="thin">
        <color indexed="64"/>
      </top>
      <bottom/>
      <diagonal/>
    </border>
    <border>
      <left style="thin">
        <color theme="0"/>
      </left>
      <right/>
      <top/>
      <bottom style="thin">
        <color theme="0"/>
      </bottom>
      <diagonal/>
    </border>
    <border>
      <left style="thin">
        <color theme="0"/>
      </left>
      <right style="thin">
        <color theme="0"/>
      </right>
      <top style="medium">
        <color indexed="64"/>
      </top>
      <bottom style="thin">
        <color theme="0"/>
      </bottom>
      <diagonal/>
    </border>
    <border>
      <left style="medium">
        <color indexed="64"/>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right style="medium">
        <color indexed="64"/>
      </right>
      <top style="thin">
        <color theme="0"/>
      </top>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diagonal/>
    </border>
    <border>
      <left/>
      <right/>
      <top/>
      <bottom style="thin">
        <color theme="0"/>
      </bottom>
      <diagonal/>
    </border>
    <border>
      <left/>
      <right/>
      <top style="thin">
        <color theme="0"/>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theme="0"/>
      </left>
      <right style="medium">
        <color indexed="64"/>
      </right>
      <top/>
      <bottom style="thin">
        <color theme="0"/>
      </bottom>
      <diagonal/>
    </border>
    <border>
      <left/>
      <right style="medium">
        <color indexed="64"/>
      </right>
      <top style="medium">
        <color indexed="64"/>
      </top>
      <bottom style="thin">
        <color theme="0"/>
      </bottom>
      <diagonal/>
    </border>
    <border>
      <left/>
      <right style="medium">
        <color indexed="64"/>
      </right>
      <top style="thin">
        <color theme="0"/>
      </top>
      <bottom style="medium">
        <color indexed="64"/>
      </bottom>
      <diagonal/>
    </border>
  </borders>
  <cellStyleXfs count="1">
    <xf numFmtId="0" fontId="0" fillId="0" borderId="0"/>
  </cellStyleXfs>
  <cellXfs count="511">
    <xf numFmtId="0" fontId="0" fillId="0" borderId="0" xfId="0"/>
    <xf numFmtId="0" fontId="0" fillId="0" borderId="1" xfId="0" applyBorder="1"/>
    <xf numFmtId="0" fontId="0" fillId="0" borderId="0" xfId="0" applyAlignment="1">
      <alignment vertical="center"/>
    </xf>
    <xf numFmtId="0" fontId="0" fillId="0" borderId="7" xfId="0" applyBorder="1"/>
    <xf numFmtId="0" fontId="0" fillId="0" borderId="0" xfId="0" applyBorder="1"/>
    <xf numFmtId="0" fontId="0" fillId="2" borderId="1" xfId="0" applyFill="1" applyBorder="1"/>
    <xf numFmtId="0" fontId="0" fillId="3" borderId="1" xfId="0" applyFill="1" applyBorder="1"/>
    <xf numFmtId="0" fontId="0" fillId="0" borderId="0" xfId="0" applyFill="1" applyBorder="1"/>
    <xf numFmtId="0" fontId="0" fillId="0" borderId="0" xfId="0" applyFill="1"/>
    <xf numFmtId="0" fontId="0" fillId="0" borderId="1" xfId="0" applyFill="1" applyBorder="1" applyAlignment="1">
      <alignment horizontal="center"/>
    </xf>
    <xf numFmtId="0" fontId="0" fillId="3" borderId="1" xfId="0" applyFill="1" applyBorder="1" applyAlignment="1">
      <alignment horizontal="center"/>
    </xf>
    <xf numFmtId="0" fontId="4" fillId="4" borderId="1" xfId="0" applyFont="1" applyFill="1" applyBorder="1" applyAlignment="1">
      <alignment horizontal="center"/>
    </xf>
    <xf numFmtId="0" fontId="1" fillId="5" borderId="1" xfId="0" applyFont="1" applyFill="1" applyBorder="1" applyAlignment="1">
      <alignment horizontal="center"/>
    </xf>
    <xf numFmtId="0" fontId="7" fillId="3" borderId="1" xfId="0" applyFont="1" applyFill="1" applyBorder="1" applyAlignment="1">
      <alignment vertical="center"/>
    </xf>
    <xf numFmtId="164" fontId="0" fillId="0" borderId="1" xfId="0" applyNumberFormat="1" applyFill="1" applyBorder="1" applyAlignment="1">
      <alignment horizontal="center"/>
    </xf>
    <xf numFmtId="164" fontId="0" fillId="3" borderId="1" xfId="0" applyNumberFormat="1" applyFill="1" applyBorder="1" applyAlignment="1">
      <alignment horizontal="center"/>
    </xf>
    <xf numFmtId="166" fontId="0" fillId="0" borderId="1" xfId="0" applyNumberFormat="1" applyBorder="1" applyAlignment="1">
      <alignment horizontal="center"/>
    </xf>
    <xf numFmtId="166" fontId="0" fillId="3" borderId="1" xfId="0" applyNumberFormat="1" applyFill="1" applyBorder="1" applyAlignment="1">
      <alignment horizontal="center"/>
    </xf>
    <xf numFmtId="164" fontId="0" fillId="0" borderId="1" xfId="0" applyNumberFormat="1" applyBorder="1" applyAlignment="1">
      <alignment horizontal="center"/>
    </xf>
    <xf numFmtId="0" fontId="0" fillId="0" borderId="1" xfId="0" quotePrefix="1" applyBorder="1" applyAlignment="1">
      <alignment horizontal="center"/>
    </xf>
    <xf numFmtId="0" fontId="8" fillId="0" borderId="0" xfId="0" applyFont="1" applyAlignment="1">
      <alignment horizontal="center"/>
    </xf>
    <xf numFmtId="1" fontId="8" fillId="0" borderId="1" xfId="0" applyNumberFormat="1" applyFont="1" applyBorder="1" applyAlignment="1">
      <alignment horizontal="center"/>
    </xf>
    <xf numFmtId="0" fontId="0" fillId="3" borderId="1" xfId="0" quotePrefix="1" applyFill="1" applyBorder="1" applyAlignment="1">
      <alignment horizontal="center"/>
    </xf>
    <xf numFmtId="166" fontId="0" fillId="0" borderId="1" xfId="0" quotePrefix="1" applyNumberFormat="1" applyBorder="1" applyAlignment="1">
      <alignment horizontal="center"/>
    </xf>
    <xf numFmtId="166" fontId="0" fillId="3" borderId="1" xfId="0" quotePrefix="1" applyNumberFormat="1" applyFill="1" applyBorder="1" applyAlignment="1">
      <alignment horizontal="center"/>
    </xf>
    <xf numFmtId="164" fontId="0" fillId="0" borderId="1" xfId="0" quotePrefix="1" applyNumberFormat="1" applyBorder="1" applyAlignment="1">
      <alignment horizontal="center"/>
    </xf>
    <xf numFmtId="0" fontId="9" fillId="0" borderId="0" xfId="0" applyFont="1" applyAlignment="1">
      <alignment horizontal="center"/>
    </xf>
    <xf numFmtId="0" fontId="0" fillId="0" borderId="0" xfId="0" applyAlignment="1">
      <alignment horizontal="center"/>
    </xf>
    <xf numFmtId="0" fontId="0" fillId="8" borderId="0" xfId="0" applyFill="1"/>
    <xf numFmtId="0" fontId="0" fillId="8" borderId="0" xfId="0" applyFill="1" applyAlignment="1">
      <alignment vertical="center"/>
    </xf>
    <xf numFmtId="0" fontId="0" fillId="8" borderId="0" xfId="0" applyFill="1" applyBorder="1"/>
    <xf numFmtId="0" fontId="0" fillId="3" borderId="7" xfId="0" applyFill="1" applyBorder="1" applyAlignment="1">
      <alignment horizontal="center"/>
    </xf>
    <xf numFmtId="0" fontId="0" fillId="3" borderId="8" xfId="0" applyFill="1" applyBorder="1" applyAlignment="1">
      <alignment horizontal="center"/>
    </xf>
    <xf numFmtId="0" fontId="0" fillId="8" borderId="7" xfId="0" applyFill="1" applyBorder="1" applyAlignment="1">
      <alignment horizontal="center"/>
    </xf>
    <xf numFmtId="0" fontId="0" fillId="8" borderId="8" xfId="0" applyFill="1" applyBorder="1" applyAlignment="1">
      <alignment horizontal="center"/>
    </xf>
    <xf numFmtId="0" fontId="0" fillId="8" borderId="9" xfId="0" applyFill="1" applyBorder="1" applyAlignment="1">
      <alignment horizontal="center"/>
    </xf>
    <xf numFmtId="0" fontId="0" fillId="8" borderId="10" xfId="0" applyFill="1" applyBorder="1" applyAlignment="1">
      <alignment horizontal="center"/>
    </xf>
    <xf numFmtId="164" fontId="0" fillId="8" borderId="8" xfId="0" applyNumberFormat="1" applyFill="1" applyBorder="1" applyAlignment="1">
      <alignment horizontal="center"/>
    </xf>
    <xf numFmtId="0" fontId="0" fillId="2" borderId="30" xfId="0" applyFill="1" applyBorder="1"/>
    <xf numFmtId="0" fontId="0" fillId="2" borderId="31" xfId="0" applyFill="1" applyBorder="1"/>
    <xf numFmtId="0" fontId="0" fillId="2" borderId="32" xfId="0" applyFill="1" applyBorder="1"/>
    <xf numFmtId="0" fontId="10" fillId="0" borderId="0" xfId="0" applyFont="1" applyAlignment="1">
      <alignment horizontal="center"/>
    </xf>
    <xf numFmtId="0" fontId="0" fillId="2" borderId="5" xfId="0" applyFill="1" applyBorder="1"/>
    <xf numFmtId="0" fontId="0" fillId="3" borderId="37" xfId="0" applyFill="1" applyBorder="1" applyAlignment="1">
      <alignment horizontal="center"/>
    </xf>
    <xf numFmtId="0" fontId="0" fillId="3" borderId="6" xfId="0" applyFill="1" applyBorder="1" applyAlignment="1">
      <alignment horizontal="center"/>
    </xf>
    <xf numFmtId="0" fontId="0" fillId="2" borderId="7" xfId="0" applyFill="1" applyBorder="1"/>
    <xf numFmtId="0" fontId="0" fillId="3" borderId="7" xfId="0" applyFill="1" applyBorder="1"/>
    <xf numFmtId="0" fontId="8" fillId="0" borderId="7" xfId="0" applyFont="1" applyBorder="1"/>
    <xf numFmtId="1" fontId="8" fillId="0" borderId="8" xfId="0" applyNumberFormat="1" applyFont="1" applyBorder="1" applyAlignment="1">
      <alignment horizontal="center"/>
    </xf>
    <xf numFmtId="0" fontId="1" fillId="5" borderId="9" xfId="0" applyFont="1" applyFill="1" applyBorder="1"/>
    <xf numFmtId="0" fontId="1" fillId="5" borderId="38" xfId="0" applyFont="1" applyFill="1" applyBorder="1" applyAlignment="1">
      <alignment horizontal="center"/>
    </xf>
    <xf numFmtId="0" fontId="0" fillId="2" borderId="9" xfId="0" applyFill="1" applyBorder="1"/>
    <xf numFmtId="0" fontId="0" fillId="3" borderId="38" xfId="0" applyFill="1" applyBorder="1" applyAlignment="1">
      <alignment horizontal="center"/>
    </xf>
    <xf numFmtId="0" fontId="4" fillId="4" borderId="39" xfId="0" applyFont="1" applyFill="1" applyBorder="1" applyAlignment="1">
      <alignment horizontal="center" vertical="center"/>
    </xf>
    <xf numFmtId="166" fontId="1" fillId="3" borderId="8" xfId="0" applyNumberFormat="1" applyFont="1" applyFill="1" applyBorder="1" applyAlignment="1">
      <alignment horizontal="center"/>
    </xf>
    <xf numFmtId="0" fontId="0" fillId="0" borderId="7" xfId="0" applyFill="1" applyBorder="1" applyAlignment="1">
      <alignment horizontal="center"/>
    </xf>
    <xf numFmtId="166" fontId="0" fillId="0" borderId="8" xfId="0" quotePrefix="1" applyNumberFormat="1" applyBorder="1" applyAlignment="1">
      <alignment horizontal="center"/>
    </xf>
    <xf numFmtId="0" fontId="3" fillId="0" borderId="7" xfId="0" applyFont="1" applyFill="1" applyBorder="1" applyAlignment="1">
      <alignment horizontal="center"/>
    </xf>
    <xf numFmtId="164" fontId="0" fillId="0" borderId="8" xfId="0" quotePrefix="1" applyNumberFormat="1" applyBorder="1" applyAlignment="1">
      <alignment horizontal="center"/>
    </xf>
    <xf numFmtId="0" fontId="0" fillId="0" borderId="8" xfId="0" quotePrefix="1" applyBorder="1" applyAlignment="1">
      <alignment horizontal="center"/>
    </xf>
    <xf numFmtId="166" fontId="0" fillId="3" borderId="8" xfId="0" quotePrefix="1" applyNumberFormat="1" applyFill="1" applyBorder="1" applyAlignment="1">
      <alignment horizontal="center"/>
    </xf>
    <xf numFmtId="0" fontId="0" fillId="3" borderId="8" xfId="0" quotePrefix="1" applyFill="1" applyBorder="1" applyAlignment="1">
      <alignment horizontal="center"/>
    </xf>
    <xf numFmtId="0" fontId="1" fillId="2" borderId="9" xfId="0" applyFont="1" applyFill="1" applyBorder="1" applyAlignment="1">
      <alignment horizontal="center"/>
    </xf>
    <xf numFmtId="0" fontId="1" fillId="2" borderId="38" xfId="0" applyFont="1" applyFill="1" applyBorder="1" applyAlignment="1">
      <alignment horizontal="center"/>
    </xf>
    <xf numFmtId="0" fontId="1" fillId="2" borderId="38" xfId="0" quotePrefix="1" applyFont="1" applyFill="1" applyBorder="1" applyAlignment="1">
      <alignment horizontal="center"/>
    </xf>
    <xf numFmtId="0" fontId="1" fillId="2" borderId="10" xfId="0" quotePrefix="1" applyFont="1" applyFill="1" applyBorder="1" applyAlignment="1">
      <alignment horizontal="center"/>
    </xf>
    <xf numFmtId="0" fontId="4" fillId="4" borderId="45" xfId="0" applyFont="1" applyFill="1" applyBorder="1" applyAlignment="1">
      <alignment horizontal="center" vertical="center"/>
    </xf>
    <xf numFmtId="0" fontId="0" fillId="2" borderId="17" xfId="0" applyFill="1" applyBorder="1" applyAlignment="1">
      <alignment horizontal="center"/>
    </xf>
    <xf numFmtId="0" fontId="0" fillId="2" borderId="46" xfId="0" applyFill="1" applyBorder="1" applyAlignment="1">
      <alignment horizontal="center"/>
    </xf>
    <xf numFmtId="0" fontId="0" fillId="0" borderId="33" xfId="0" applyFill="1" applyBorder="1" applyAlignment="1">
      <alignment horizontal="center"/>
    </xf>
    <xf numFmtId="166" fontId="0" fillId="0" borderId="19" xfId="0" applyNumberFormat="1" applyBorder="1" applyAlignment="1">
      <alignment horizontal="center"/>
    </xf>
    <xf numFmtId="166" fontId="0" fillId="0" borderId="19" xfId="0" quotePrefix="1" applyNumberFormat="1" applyBorder="1" applyAlignment="1">
      <alignment horizontal="center"/>
    </xf>
    <xf numFmtId="166" fontId="0" fillId="0" borderId="34" xfId="0" quotePrefix="1" applyNumberFormat="1" applyBorder="1" applyAlignment="1">
      <alignment horizontal="center"/>
    </xf>
    <xf numFmtId="0" fontId="0" fillId="3" borderId="5" xfId="0" applyFill="1" applyBorder="1" applyAlignment="1">
      <alignment horizontal="center"/>
    </xf>
    <xf numFmtId="0" fontId="0" fillId="3" borderId="9" xfId="0" applyFill="1" applyBorder="1" applyAlignment="1">
      <alignment horizontal="center"/>
    </xf>
    <xf numFmtId="164" fontId="0" fillId="3" borderId="38" xfId="0" applyNumberFormat="1" applyFill="1" applyBorder="1" applyAlignment="1">
      <alignment horizontal="center"/>
    </xf>
    <xf numFmtId="164" fontId="1" fillId="3" borderId="10" xfId="0" applyNumberFormat="1" applyFont="1" applyFill="1" applyBorder="1" applyAlignment="1">
      <alignment horizontal="center"/>
    </xf>
    <xf numFmtId="0" fontId="1" fillId="2" borderId="47" xfId="0" applyFont="1" applyFill="1" applyBorder="1" applyAlignment="1">
      <alignment horizontal="center"/>
    </xf>
    <xf numFmtId="0" fontId="1" fillId="2" borderId="17" xfId="0" applyFont="1" applyFill="1" applyBorder="1" applyAlignment="1">
      <alignment horizontal="center"/>
    </xf>
    <xf numFmtId="0" fontId="1" fillId="2" borderId="46" xfId="0" applyFont="1" applyFill="1" applyBorder="1" applyAlignment="1">
      <alignment horizontal="center"/>
    </xf>
    <xf numFmtId="166" fontId="0" fillId="3" borderId="37" xfId="0" applyNumberFormat="1" applyFill="1" applyBorder="1" applyAlignment="1">
      <alignment horizontal="center"/>
    </xf>
    <xf numFmtId="166" fontId="0" fillId="3" borderId="37" xfId="0" quotePrefix="1" applyNumberFormat="1" applyFill="1" applyBorder="1" applyAlignment="1">
      <alignment horizontal="center"/>
    </xf>
    <xf numFmtId="166" fontId="0" fillId="3" borderId="6" xfId="0" quotePrefix="1" applyNumberFormat="1" applyFill="1" applyBorder="1" applyAlignment="1">
      <alignment horizontal="center"/>
    </xf>
    <xf numFmtId="0" fontId="0" fillId="0" borderId="48" xfId="0" applyBorder="1"/>
    <xf numFmtId="0" fontId="0" fillId="0" borderId="48" xfId="0" applyFill="1" applyBorder="1"/>
    <xf numFmtId="0" fontId="0" fillId="0" borderId="49" xfId="0" applyFill="1" applyBorder="1"/>
    <xf numFmtId="0" fontId="0" fillId="0" borderId="49" xfId="0" applyBorder="1"/>
    <xf numFmtId="0" fontId="7" fillId="0" borderId="48" xfId="0" applyFont="1" applyFill="1" applyBorder="1"/>
    <xf numFmtId="0" fontId="0" fillId="0" borderId="50" xfId="0" applyBorder="1"/>
    <xf numFmtId="0" fontId="0" fillId="0" borderId="51" xfId="0" applyBorder="1"/>
    <xf numFmtId="0" fontId="0" fillId="0" borderId="52" xfId="0" applyBorder="1"/>
    <xf numFmtId="0" fontId="0" fillId="0" borderId="50" xfId="0" applyFill="1" applyBorder="1"/>
    <xf numFmtId="0" fontId="8" fillId="0" borderId="51" xfId="0" applyFont="1" applyBorder="1" applyAlignment="1">
      <alignment horizontal="center"/>
    </xf>
    <xf numFmtId="0" fontId="0" fillId="0" borderId="53" xfId="0" applyBorder="1"/>
    <xf numFmtId="0" fontId="0" fillId="0" borderId="54" xfId="0" applyBorder="1"/>
    <xf numFmtId="0" fontId="0" fillId="0" borderId="55" xfId="0" applyBorder="1"/>
    <xf numFmtId="0" fontId="10" fillId="0" borderId="51" xfId="0" applyFont="1" applyBorder="1" applyAlignment="1">
      <alignment horizontal="center"/>
    </xf>
    <xf numFmtId="0" fontId="0" fillId="0" borderId="57" xfId="0" applyBorder="1"/>
    <xf numFmtId="0" fontId="0" fillId="0" borderId="58" xfId="0" applyBorder="1"/>
    <xf numFmtId="0" fontId="0" fillId="0" borderId="51" xfId="0" applyFill="1" applyBorder="1"/>
    <xf numFmtId="0" fontId="0" fillId="0" borderId="51" xfId="0" applyFill="1" applyBorder="1" applyAlignment="1">
      <alignment horizontal="right"/>
    </xf>
    <xf numFmtId="0" fontId="7" fillId="0" borderId="51" xfId="0" applyFont="1" applyFill="1" applyBorder="1"/>
    <xf numFmtId="0" fontId="0" fillId="0" borderId="51" xfId="0" applyFill="1" applyBorder="1" applyAlignment="1">
      <alignment horizontal="center"/>
    </xf>
    <xf numFmtId="0" fontId="0" fillId="0" borderId="59" xfId="0" applyBorder="1"/>
    <xf numFmtId="0" fontId="0" fillId="0" borderId="58" xfId="0" applyBorder="1" applyAlignment="1">
      <alignment horizontal="right"/>
    </xf>
    <xf numFmtId="0" fontId="0" fillId="0" borderId="60" xfId="0" applyBorder="1"/>
    <xf numFmtId="0" fontId="0" fillId="0" borderId="61" xfId="0" applyBorder="1"/>
    <xf numFmtId="0" fontId="0" fillId="0" borderId="62" xfId="0" applyBorder="1"/>
    <xf numFmtId="0" fontId="0" fillId="0" borderId="63" xfId="0" applyBorder="1"/>
    <xf numFmtId="0" fontId="0" fillId="0" borderId="64" xfId="0" applyBorder="1"/>
    <xf numFmtId="0" fontId="0" fillId="0" borderId="65" xfId="0" applyBorder="1"/>
    <xf numFmtId="0" fontId="0" fillId="0" borderId="62" xfId="0" applyFill="1" applyBorder="1"/>
    <xf numFmtId="0" fontId="0" fillId="0" borderId="66" xfId="0" applyBorder="1"/>
    <xf numFmtId="0" fontId="0" fillId="0" borderId="67" xfId="0" applyBorder="1"/>
    <xf numFmtId="0" fontId="0" fillId="0" borderId="67" xfId="0" applyFill="1" applyBorder="1"/>
    <xf numFmtId="0" fontId="0" fillId="0" borderId="68" xfId="0" applyFill="1" applyBorder="1"/>
    <xf numFmtId="0" fontId="0" fillId="0" borderId="71" xfId="0" applyBorder="1"/>
    <xf numFmtId="0" fontId="0" fillId="0" borderId="70" xfId="0" applyBorder="1"/>
    <xf numFmtId="0" fontId="8" fillId="0" borderId="7" xfId="0" applyFont="1" applyBorder="1" applyAlignment="1">
      <alignment horizontal="center"/>
    </xf>
    <xf numFmtId="0" fontId="12" fillId="8" borderId="20" xfId="0" applyFont="1" applyFill="1" applyBorder="1"/>
    <xf numFmtId="0" fontId="12" fillId="8" borderId="0" xfId="0" applyFont="1" applyFill="1" applyBorder="1"/>
    <xf numFmtId="0" fontId="12" fillId="8" borderId="21" xfId="0" applyFont="1" applyFill="1" applyBorder="1"/>
    <xf numFmtId="0" fontId="12" fillId="8" borderId="0" xfId="0" applyFont="1" applyFill="1" applyBorder="1" applyAlignment="1">
      <alignment vertical="center"/>
    </xf>
    <xf numFmtId="0" fontId="14" fillId="8" borderId="0" xfId="0" applyFont="1" applyFill="1" applyBorder="1" applyAlignment="1">
      <alignment horizontal="left" vertical="center" wrapText="1"/>
    </xf>
    <xf numFmtId="0" fontId="12" fillId="8" borderId="0" xfId="0" applyFont="1" applyFill="1" applyBorder="1" applyAlignment="1">
      <alignment horizontal="center"/>
    </xf>
    <xf numFmtId="0" fontId="12" fillId="8" borderId="0" xfId="0" quotePrefix="1" applyFont="1" applyFill="1" applyBorder="1" applyAlignment="1">
      <alignment horizontal="center"/>
    </xf>
    <xf numFmtId="0" fontId="0" fillId="0" borderId="71" xfId="0" applyFill="1" applyBorder="1"/>
    <xf numFmtId="0" fontId="0" fillId="0" borderId="69" xfId="0" applyFill="1" applyBorder="1"/>
    <xf numFmtId="0" fontId="12" fillId="8" borderId="18" xfId="0" applyFont="1" applyFill="1" applyBorder="1"/>
    <xf numFmtId="164" fontId="7" fillId="0" borderId="1" xfId="0" applyNumberFormat="1" applyFont="1" applyFill="1" applyBorder="1" applyAlignment="1">
      <alignment horizontal="center" vertical="center"/>
    </xf>
    <xf numFmtId="164" fontId="7" fillId="3" borderId="1" xfId="0" applyNumberFormat="1" applyFont="1" applyFill="1" applyBorder="1" applyAlignment="1">
      <alignment horizontal="center" vertical="center"/>
    </xf>
    <xf numFmtId="0" fontId="7" fillId="0" borderId="1" xfId="0" applyFont="1" applyFill="1" applyBorder="1" applyAlignment="1">
      <alignment horizontal="center"/>
    </xf>
    <xf numFmtId="0" fontId="0" fillId="0" borderId="1" xfId="0" applyBorder="1" applyAlignment="1">
      <alignment horizontal="center"/>
    </xf>
    <xf numFmtId="0" fontId="0" fillId="8" borderId="91" xfId="0" applyFill="1" applyBorder="1"/>
    <xf numFmtId="0" fontId="0" fillId="8" borderId="21" xfId="0" applyFill="1" applyBorder="1"/>
    <xf numFmtId="0" fontId="0" fillId="8" borderId="24" xfId="0" applyFill="1" applyBorder="1"/>
    <xf numFmtId="0" fontId="15" fillId="8" borderId="20" xfId="0" applyFont="1" applyFill="1" applyBorder="1"/>
    <xf numFmtId="0" fontId="0" fillId="8" borderId="22" xfId="0" applyFill="1" applyBorder="1"/>
    <xf numFmtId="0" fontId="0" fillId="8" borderId="23" xfId="0" applyFill="1" applyBorder="1"/>
    <xf numFmtId="0" fontId="0" fillId="8" borderId="48" xfId="0" applyFill="1" applyBorder="1"/>
    <xf numFmtId="0" fontId="7" fillId="8" borderId="48" xfId="0" applyFont="1" applyFill="1" applyBorder="1"/>
    <xf numFmtId="0" fontId="19" fillId="0" borderId="48" xfId="0" applyFont="1" applyBorder="1"/>
    <xf numFmtId="0" fontId="1" fillId="8" borderId="0" xfId="0" applyFont="1" applyFill="1" applyBorder="1" applyAlignment="1">
      <alignment horizontal="center"/>
    </xf>
    <xf numFmtId="0" fontId="0" fillId="8" borderId="0" xfId="0" applyFill="1" applyBorder="1" applyAlignment="1">
      <alignment horizontal="center"/>
    </xf>
    <xf numFmtId="0" fontId="0" fillId="8" borderId="92" xfId="0" applyFill="1" applyBorder="1"/>
    <xf numFmtId="0" fontId="0" fillId="8" borderId="93" xfId="0" applyFill="1" applyBorder="1"/>
    <xf numFmtId="0" fontId="0" fillId="8" borderId="20" xfId="0" applyFill="1" applyBorder="1"/>
    <xf numFmtId="0" fontId="0" fillId="8" borderId="0" xfId="0" applyFill="1" applyBorder="1" applyAlignment="1">
      <alignment horizontal="right"/>
    </xf>
    <xf numFmtId="0" fontId="0" fillId="0" borderId="0" xfId="0" applyBorder="1" applyAlignment="1">
      <alignment horizontal="center"/>
    </xf>
    <xf numFmtId="0" fontId="10" fillId="8" borderId="0" xfId="0" applyFont="1" applyFill="1" applyBorder="1"/>
    <xf numFmtId="0" fontId="20" fillId="8" borderId="0" xfId="0" applyFont="1" applyFill="1" applyBorder="1" applyAlignment="1">
      <alignment horizontal="right"/>
    </xf>
    <xf numFmtId="0" fontId="1" fillId="8" borderId="21" xfId="0" applyFont="1" applyFill="1" applyBorder="1" applyAlignment="1">
      <alignment horizontal="center"/>
    </xf>
    <xf numFmtId="0" fontId="4" fillId="8" borderId="21" xfId="0" applyFont="1" applyFill="1" applyBorder="1" applyAlignment="1">
      <alignment horizontal="center" vertical="center" wrapText="1"/>
    </xf>
    <xf numFmtId="164" fontId="7" fillId="8" borderId="21" xfId="0" applyNumberFormat="1" applyFont="1" applyFill="1" applyBorder="1" applyAlignment="1">
      <alignment horizontal="center" vertical="center"/>
    </xf>
    <xf numFmtId="0" fontId="0" fillId="8" borderId="21" xfId="0" applyFill="1" applyBorder="1" applyAlignment="1">
      <alignment horizontal="center"/>
    </xf>
    <xf numFmtId="0" fontId="7" fillId="8" borderId="0" xfId="0" applyFont="1" applyFill="1" applyBorder="1"/>
    <xf numFmtId="0" fontId="7" fillId="8" borderId="0" xfId="0" applyFont="1" applyFill="1" applyBorder="1" applyAlignment="1">
      <alignment horizontal="center"/>
    </xf>
    <xf numFmtId="0" fontId="4" fillId="7" borderId="1" xfId="0" applyFont="1" applyFill="1" applyBorder="1" applyAlignment="1">
      <alignment horizontal="center"/>
    </xf>
    <xf numFmtId="0" fontId="0" fillId="2" borderId="1" xfId="0" applyFill="1" applyBorder="1" applyAlignment="1">
      <alignment horizontal="center"/>
    </xf>
    <xf numFmtId="0" fontId="0" fillId="6" borderId="1" xfId="0" applyFill="1" applyBorder="1" applyAlignment="1">
      <alignment horizontal="center"/>
    </xf>
    <xf numFmtId="0" fontId="0" fillId="8" borderId="1" xfId="0" applyFill="1" applyBorder="1" applyAlignment="1">
      <alignment horizontal="center" vertical="center"/>
    </xf>
    <xf numFmtId="0" fontId="0" fillId="9" borderId="1" xfId="0" applyFill="1" applyBorder="1" applyAlignment="1">
      <alignment horizontal="center"/>
    </xf>
    <xf numFmtId="0" fontId="0" fillId="10" borderId="1" xfId="0" applyFill="1" applyBorder="1" applyAlignment="1">
      <alignment wrapText="1"/>
    </xf>
    <xf numFmtId="0" fontId="0" fillId="11" borderId="1" xfId="0" applyFill="1" applyBorder="1" applyAlignment="1">
      <alignment wrapText="1"/>
    </xf>
    <xf numFmtId="0" fontId="0" fillId="11" borderId="1" xfId="0" applyFill="1" applyBorder="1" applyAlignment="1">
      <alignment horizontal="center" vertical="center" wrapText="1"/>
    </xf>
    <xf numFmtId="0" fontId="4" fillId="4" borderId="5" xfId="0" applyFont="1" applyFill="1" applyBorder="1" applyAlignment="1">
      <alignment horizontal="center"/>
    </xf>
    <xf numFmtId="0" fontId="4" fillId="4" borderId="6" xfId="0" applyFont="1" applyFill="1" applyBorder="1" applyAlignment="1">
      <alignment horizontal="center"/>
    </xf>
    <xf numFmtId="164" fontId="0" fillId="8" borderId="10" xfId="0" applyNumberFormat="1" applyFill="1" applyBorder="1" applyAlignment="1">
      <alignment horizontal="center"/>
    </xf>
    <xf numFmtId="0" fontId="0" fillId="8" borderId="49" xfId="0" applyFill="1" applyBorder="1"/>
    <xf numFmtId="0" fontId="0" fillId="8" borderId="55" xfId="0" applyFill="1" applyBorder="1"/>
    <xf numFmtId="0" fontId="0" fillId="8" borderId="54" xfId="0" applyFill="1" applyBorder="1"/>
    <xf numFmtId="0" fontId="0" fillId="8" borderId="69" xfId="0" applyFill="1" applyBorder="1"/>
    <xf numFmtId="0" fontId="0" fillId="0" borderId="49" xfId="0" applyBorder="1" applyAlignment="1">
      <alignment horizontal="right"/>
    </xf>
    <xf numFmtId="0" fontId="0" fillId="8" borderId="50" xfId="0" applyFill="1" applyBorder="1"/>
    <xf numFmtId="0" fontId="7" fillId="8" borderId="50" xfId="0" applyFont="1" applyFill="1" applyBorder="1"/>
    <xf numFmtId="0" fontId="7" fillId="0" borderId="71" xfId="0" applyFont="1" applyFill="1" applyBorder="1"/>
    <xf numFmtId="0" fontId="7" fillId="6" borderId="1" xfId="0" applyFont="1" applyFill="1" applyBorder="1" applyAlignment="1">
      <alignment horizontal="center"/>
    </xf>
    <xf numFmtId="166" fontId="0" fillId="8" borderId="0" xfId="0" applyNumberFormat="1" applyFill="1" applyBorder="1" applyAlignment="1">
      <alignment horizontal="center"/>
    </xf>
    <xf numFmtId="166" fontId="0" fillId="8" borderId="0" xfId="0" quotePrefix="1" applyNumberFormat="1" applyFill="1" applyBorder="1" applyAlignment="1">
      <alignment horizontal="center"/>
    </xf>
    <xf numFmtId="164" fontId="0" fillId="8" borderId="0" xfId="0" applyNumberFormat="1" applyFill="1" applyBorder="1" applyAlignment="1">
      <alignment horizontal="center"/>
    </xf>
    <xf numFmtId="0" fontId="0" fillId="8" borderId="0" xfId="0" quotePrefix="1" applyFill="1" applyBorder="1" applyAlignment="1">
      <alignment horizontal="center"/>
    </xf>
    <xf numFmtId="0" fontId="8" fillId="8" borderId="0" xfId="0" applyFont="1" applyFill="1" applyBorder="1" applyAlignment="1">
      <alignment horizontal="center"/>
    </xf>
    <xf numFmtId="1" fontId="8" fillId="8" borderId="0" xfId="0" applyNumberFormat="1" applyFont="1" applyFill="1" applyBorder="1" applyAlignment="1">
      <alignment horizontal="center"/>
    </xf>
    <xf numFmtId="0" fontId="1" fillId="8" borderId="0" xfId="0" quotePrefix="1" applyFont="1" applyFill="1" applyBorder="1" applyAlignment="1">
      <alignment horizontal="center"/>
    </xf>
    <xf numFmtId="0" fontId="1" fillId="2" borderId="10" xfId="0" applyFont="1" applyFill="1" applyBorder="1" applyAlignment="1">
      <alignment horizontal="center"/>
    </xf>
    <xf numFmtId="0" fontId="1" fillId="8" borderId="0" xfId="0" applyFont="1" applyFill="1" applyBorder="1" applyAlignment="1">
      <alignment vertical="center" textRotation="90"/>
    </xf>
    <xf numFmtId="0" fontId="0" fillId="8" borderId="53" xfId="0" applyFill="1" applyBorder="1"/>
    <xf numFmtId="0" fontId="0" fillId="8" borderId="73" xfId="0" applyFill="1" applyBorder="1"/>
    <xf numFmtId="0" fontId="0" fillId="0" borderId="5" xfId="0" applyFill="1" applyBorder="1" applyAlignment="1">
      <alignment horizontal="center"/>
    </xf>
    <xf numFmtId="166" fontId="0" fillId="0" borderId="37" xfId="0" applyNumberFormat="1" applyBorder="1" applyAlignment="1">
      <alignment horizontal="center"/>
    </xf>
    <xf numFmtId="166" fontId="0" fillId="0" borderId="37" xfId="0" quotePrefix="1" applyNumberFormat="1" applyBorder="1" applyAlignment="1">
      <alignment horizontal="center"/>
    </xf>
    <xf numFmtId="166" fontId="0" fillId="0" borderId="6" xfId="0" quotePrefix="1" applyNumberFormat="1" applyBorder="1" applyAlignment="1">
      <alignment horizontal="center"/>
    </xf>
    <xf numFmtId="164" fontId="0" fillId="3" borderId="8" xfId="0" quotePrefix="1" applyNumberFormat="1" applyFill="1" applyBorder="1" applyAlignment="1">
      <alignment horizontal="center"/>
    </xf>
    <xf numFmtId="0" fontId="0" fillId="8" borderId="57" xfId="0" applyFill="1" applyBorder="1"/>
    <xf numFmtId="0" fontId="0" fillId="8" borderId="48" xfId="0" applyFill="1" applyBorder="1" applyAlignment="1">
      <alignment horizontal="right"/>
    </xf>
    <xf numFmtId="0" fontId="0" fillId="8" borderId="48" xfId="0" applyFill="1" applyBorder="1" applyAlignment="1">
      <alignment horizontal="center"/>
    </xf>
    <xf numFmtId="0" fontId="0" fillId="0" borderId="71" xfId="0" applyFill="1" applyBorder="1" applyAlignment="1">
      <alignment horizontal="center"/>
    </xf>
    <xf numFmtId="0" fontId="0" fillId="0" borderId="69" xfId="0" applyFill="1" applyBorder="1" applyAlignment="1">
      <alignment horizontal="right"/>
    </xf>
    <xf numFmtId="0" fontId="0" fillId="8" borderId="53" xfId="0" applyFill="1" applyBorder="1" applyAlignment="1">
      <alignment horizontal="center"/>
    </xf>
    <xf numFmtId="0" fontId="4" fillId="4" borderId="26" xfId="0" applyFont="1" applyFill="1" applyBorder="1" applyAlignment="1"/>
    <xf numFmtId="0" fontId="4" fillId="4" borderId="41" xfId="0" applyFont="1" applyFill="1" applyBorder="1" applyAlignment="1"/>
    <xf numFmtId="0" fontId="4" fillId="4" borderId="27" xfId="0" applyFont="1" applyFill="1" applyBorder="1" applyAlignment="1"/>
    <xf numFmtId="166" fontId="0" fillId="0" borderId="8" xfId="0" applyNumberFormat="1" applyBorder="1" applyAlignment="1">
      <alignment horizontal="center"/>
    </xf>
    <xf numFmtId="164" fontId="0" fillId="0" borderId="8" xfId="0" applyNumberFormat="1" applyBorder="1" applyAlignment="1">
      <alignment horizontal="center"/>
    </xf>
    <xf numFmtId="0" fontId="1" fillId="5" borderId="10" xfId="0" applyFont="1" applyFill="1" applyBorder="1" applyAlignment="1">
      <alignment horizontal="center"/>
    </xf>
    <xf numFmtId="0" fontId="18" fillId="0" borderId="94" xfId="0" applyFont="1" applyBorder="1" applyAlignment="1">
      <alignment horizontal="center" vertical="center"/>
    </xf>
    <xf numFmtId="0" fontId="18" fillId="0" borderId="95" xfId="0" applyFont="1" applyBorder="1" applyAlignment="1">
      <alignment horizontal="center" vertical="center"/>
    </xf>
    <xf numFmtId="0" fontId="18" fillId="0" borderId="96" xfId="0" applyFont="1" applyBorder="1" applyAlignment="1">
      <alignment horizontal="center" vertical="center"/>
    </xf>
    <xf numFmtId="0" fontId="13" fillId="8" borderId="18" xfId="0" applyFont="1" applyFill="1" applyBorder="1" applyAlignment="1"/>
    <xf numFmtId="0" fontId="17" fillId="8" borderId="20" xfId="0" applyFont="1" applyFill="1" applyBorder="1"/>
    <xf numFmtId="0" fontId="11" fillId="8" borderId="0" xfId="0" applyFont="1" applyFill="1" applyBorder="1"/>
    <xf numFmtId="0" fontId="13" fillId="8" borderId="0" xfId="0" applyFont="1" applyFill="1" applyBorder="1" applyAlignment="1"/>
    <xf numFmtId="0" fontId="13" fillId="8" borderId="0" xfId="0" applyFont="1" applyFill="1" applyBorder="1" applyAlignment="1">
      <alignment horizontal="center"/>
    </xf>
    <xf numFmtId="0" fontId="0" fillId="0" borderId="1" xfId="0" applyBorder="1" applyAlignment="1">
      <alignment horizontal="center"/>
    </xf>
    <xf numFmtId="0" fontId="0" fillId="8" borderId="0" xfId="0" applyFill="1" applyBorder="1" applyAlignment="1">
      <alignment horizontal="center"/>
    </xf>
    <xf numFmtId="0" fontId="0" fillId="8" borderId="56" xfId="0" applyFill="1" applyBorder="1"/>
    <xf numFmtId="0" fontId="19" fillId="0" borderId="0" xfId="0" applyFont="1"/>
    <xf numFmtId="14" fontId="16" fillId="8" borderId="0" xfId="0" applyNumberFormat="1" applyFont="1" applyFill="1"/>
    <xf numFmtId="0" fontId="16" fillId="8" borderId="0" xfId="0" applyFont="1" applyFill="1"/>
    <xf numFmtId="0" fontId="0" fillId="8" borderId="1" xfId="0" applyFill="1" applyBorder="1"/>
    <xf numFmtId="0" fontId="0" fillId="8" borderId="1" xfId="0" applyFill="1" applyBorder="1" applyAlignment="1">
      <alignment horizontal="right"/>
    </xf>
    <xf numFmtId="0" fontId="19" fillId="8" borderId="0" xfId="0" applyFont="1" applyFill="1"/>
    <xf numFmtId="0" fontId="0" fillId="8" borderId="1" xfId="0" applyFill="1" applyBorder="1" applyAlignment="1">
      <alignment horizontal="center"/>
    </xf>
    <xf numFmtId="0" fontId="21" fillId="8" borderId="0" xfId="0" applyFont="1" applyFill="1" applyBorder="1" applyAlignment="1">
      <alignment horizontal="center" vertical="center"/>
    </xf>
    <xf numFmtId="0" fontId="19" fillId="8" borderId="0" xfId="0" applyFont="1" applyFill="1" applyBorder="1"/>
    <xf numFmtId="0" fontId="16" fillId="0" borderId="48" xfId="0" applyFont="1" applyFill="1" applyBorder="1"/>
    <xf numFmtId="0" fontId="7" fillId="8" borderId="1" xfId="0" applyFont="1" applyFill="1" applyBorder="1" applyAlignment="1">
      <alignment vertical="center"/>
    </xf>
    <xf numFmtId="164" fontId="7" fillId="12" borderId="1" xfId="0" applyNumberFormat="1" applyFont="1" applyFill="1" applyBorder="1" applyAlignment="1">
      <alignment vertical="center"/>
    </xf>
    <xf numFmtId="0" fontId="1" fillId="0" borderId="0" xfId="0" applyFont="1" applyBorder="1" applyAlignment="1">
      <alignment horizontal="center" vertical="center" textRotation="90"/>
    </xf>
    <xf numFmtId="0" fontId="1" fillId="2" borderId="0" xfId="0" applyFont="1" applyFill="1" applyBorder="1" applyAlignment="1">
      <alignment horizontal="center"/>
    </xf>
    <xf numFmtId="0" fontId="0" fillId="3" borderId="33" xfId="0" applyFill="1" applyBorder="1" applyAlignment="1">
      <alignment horizontal="center"/>
    </xf>
    <xf numFmtId="166" fontId="0" fillId="3" borderId="19" xfId="0" applyNumberFormat="1" applyFill="1" applyBorder="1" applyAlignment="1">
      <alignment horizontal="center"/>
    </xf>
    <xf numFmtId="166" fontId="0" fillId="3" borderId="19" xfId="0" quotePrefix="1" applyNumberFormat="1" applyFill="1" applyBorder="1" applyAlignment="1">
      <alignment horizontal="center"/>
    </xf>
    <xf numFmtId="166" fontId="0" fillId="3" borderId="34" xfId="0" quotePrefix="1" applyNumberFormat="1" applyFill="1" applyBorder="1" applyAlignment="1">
      <alignment horizontal="center"/>
    </xf>
    <xf numFmtId="0" fontId="0" fillId="0" borderId="103" xfId="0" applyBorder="1"/>
    <xf numFmtId="0" fontId="1" fillId="3" borderId="37" xfId="0" applyFont="1" applyFill="1" applyBorder="1" applyAlignment="1">
      <alignment horizontal="center"/>
    </xf>
    <xf numFmtId="0" fontId="0" fillId="0" borderId="104" xfId="0" applyBorder="1"/>
    <xf numFmtId="0" fontId="0" fillId="0" borderId="105" xfId="0" applyBorder="1"/>
    <xf numFmtId="0" fontId="0" fillId="3" borderId="5" xfId="0" applyFont="1" applyFill="1" applyBorder="1" applyAlignment="1">
      <alignment horizontal="center"/>
    </xf>
    <xf numFmtId="166" fontId="0" fillId="8" borderId="0" xfId="0" applyNumberFormat="1" applyFill="1" applyBorder="1"/>
    <xf numFmtId="1" fontId="0" fillId="3" borderId="37" xfId="0" applyNumberFormat="1" applyFont="1" applyFill="1" applyBorder="1" applyAlignment="1">
      <alignment horizontal="center"/>
    </xf>
    <xf numFmtId="0" fontId="22" fillId="8" borderId="0" xfId="0" applyFont="1" applyFill="1"/>
    <xf numFmtId="0" fontId="23" fillId="8" borderId="0" xfId="0" applyFont="1" applyFill="1"/>
    <xf numFmtId="0" fontId="25" fillId="8" borderId="0" xfId="0" applyFont="1" applyFill="1" applyAlignment="1">
      <alignment horizontal="right"/>
    </xf>
    <xf numFmtId="0" fontId="22" fillId="8" borderId="0" xfId="0" applyFont="1" applyFill="1" applyBorder="1"/>
    <xf numFmtId="0" fontId="26" fillId="8" borderId="0" xfId="0" applyFont="1" applyFill="1"/>
    <xf numFmtId="0" fontId="29" fillId="8" borderId="0" xfId="0" applyFont="1" applyFill="1"/>
    <xf numFmtId="0" fontId="30" fillId="8" borderId="0" xfId="0" applyFont="1" applyFill="1"/>
    <xf numFmtId="0" fontId="31" fillId="8" borderId="0" xfId="0" applyFont="1" applyFill="1"/>
    <xf numFmtId="0" fontId="32" fillId="8" borderId="0" xfId="0" applyFont="1" applyFill="1"/>
    <xf numFmtId="0" fontId="27" fillId="13" borderId="1" xfId="0" applyFont="1" applyFill="1" applyBorder="1" applyAlignment="1">
      <alignment horizontal="center" vertical="center"/>
    </xf>
    <xf numFmtId="0" fontId="27" fillId="13" borderId="1" xfId="0" applyFont="1" applyFill="1" applyBorder="1" applyAlignment="1">
      <alignment horizontal="center" vertical="center" wrapText="1"/>
    </xf>
    <xf numFmtId="0" fontId="33" fillId="8" borderId="0" xfId="0" applyFont="1" applyFill="1" applyAlignment="1">
      <alignment horizontal="right"/>
    </xf>
    <xf numFmtId="0" fontId="22" fillId="15" borderId="1" xfId="0" applyFont="1" applyFill="1" applyBorder="1"/>
    <xf numFmtId="0" fontId="14" fillId="15" borderId="1" xfId="0" applyFont="1" applyFill="1" applyBorder="1" applyAlignment="1" applyProtection="1">
      <alignment horizontal="center"/>
      <protection locked="0"/>
    </xf>
    <xf numFmtId="0" fontId="22" fillId="16" borderId="1" xfId="0" applyFont="1" applyFill="1" applyBorder="1"/>
    <xf numFmtId="0" fontId="12" fillId="16" borderId="1" xfId="0" applyFont="1" applyFill="1" applyBorder="1" applyAlignment="1" applyProtection="1">
      <alignment horizontal="center"/>
      <protection locked="0"/>
    </xf>
    <xf numFmtId="0" fontId="12" fillId="16" borderId="1" xfId="0" applyFont="1" applyFill="1" applyBorder="1" applyAlignment="1" applyProtection="1">
      <alignment horizontal="center" vertical="center"/>
      <protection locked="0"/>
    </xf>
    <xf numFmtId="10" fontId="12" fillId="16" borderId="1" xfId="0" applyNumberFormat="1" applyFont="1" applyFill="1" applyBorder="1" applyAlignment="1" applyProtection="1">
      <alignment horizontal="center" vertical="center"/>
      <protection locked="0"/>
    </xf>
    <xf numFmtId="10" fontId="12" fillId="16" borderId="1" xfId="0" applyNumberFormat="1" applyFont="1" applyFill="1" applyBorder="1" applyAlignment="1" applyProtection="1">
      <alignment horizontal="center"/>
      <protection locked="0"/>
    </xf>
    <xf numFmtId="0" fontId="14" fillId="16" borderId="1" xfId="0" applyFont="1" applyFill="1" applyBorder="1" applyAlignment="1" applyProtection="1">
      <alignment horizontal="center"/>
      <protection locked="0"/>
    </xf>
    <xf numFmtId="0" fontId="36" fillId="8" borderId="23" xfId="0" applyFont="1" applyFill="1" applyBorder="1"/>
    <xf numFmtId="0" fontId="37" fillId="8" borderId="23" xfId="0" applyFont="1" applyFill="1" applyBorder="1"/>
    <xf numFmtId="0" fontId="36" fillId="8" borderId="0" xfId="0" applyFont="1" applyFill="1"/>
    <xf numFmtId="0" fontId="36" fillId="0" borderId="0" xfId="0" applyFont="1"/>
    <xf numFmtId="0" fontId="36" fillId="8" borderId="22" xfId="0" applyFont="1" applyFill="1" applyBorder="1"/>
    <xf numFmtId="0" fontId="22" fillId="0" borderId="0" xfId="0" applyFont="1"/>
    <xf numFmtId="14" fontId="42" fillId="8" borderId="0" xfId="0" applyNumberFormat="1" applyFont="1" applyFill="1"/>
    <xf numFmtId="0" fontId="43" fillId="0" borderId="0" xfId="0" applyFont="1"/>
    <xf numFmtId="0" fontId="43" fillId="8" borderId="0" xfId="0" applyFont="1" applyFill="1"/>
    <xf numFmtId="0" fontId="43" fillId="8" borderId="0" xfId="0" applyFont="1" applyFill="1" applyBorder="1"/>
    <xf numFmtId="0" fontId="43" fillId="8" borderId="92" xfId="0" applyFont="1" applyFill="1" applyBorder="1"/>
    <xf numFmtId="168" fontId="43" fillId="8" borderId="93" xfId="0" applyNumberFormat="1" applyFont="1" applyFill="1" applyBorder="1" applyAlignment="1">
      <alignment horizontal="left"/>
    </xf>
    <xf numFmtId="0" fontId="43" fillId="8" borderId="91" xfId="0" applyFont="1" applyFill="1" applyBorder="1"/>
    <xf numFmtId="0" fontId="43" fillId="8" borderId="93" xfId="0" applyFont="1" applyFill="1" applyBorder="1"/>
    <xf numFmtId="0" fontId="43" fillId="0" borderId="0" xfId="0" applyFont="1" applyBorder="1"/>
    <xf numFmtId="0" fontId="43" fillId="8" borderId="20" xfId="0" applyFont="1" applyFill="1" applyBorder="1"/>
    <xf numFmtId="0" fontId="44" fillId="13" borderId="1" xfId="0" applyFont="1" applyFill="1" applyBorder="1" applyAlignment="1">
      <alignment horizontal="right" indent="1"/>
    </xf>
    <xf numFmtId="0" fontId="43" fillId="8" borderId="21" xfId="0" applyFont="1" applyFill="1" applyBorder="1"/>
    <xf numFmtId="0" fontId="43" fillId="8" borderId="72" xfId="0" applyFont="1" applyFill="1" applyBorder="1"/>
    <xf numFmtId="0" fontId="43" fillId="8" borderId="45" xfId="0" applyFont="1" applyFill="1" applyBorder="1"/>
    <xf numFmtId="0" fontId="44" fillId="8" borderId="18" xfId="0" applyFont="1" applyFill="1" applyBorder="1" applyAlignment="1"/>
    <xf numFmtId="0" fontId="43" fillId="8" borderId="73" xfId="0" applyFont="1" applyFill="1" applyBorder="1"/>
    <xf numFmtId="0" fontId="45" fillId="15" borderId="1" xfId="0" applyFont="1" applyFill="1" applyBorder="1" applyAlignment="1" applyProtection="1">
      <alignment horizontal="center"/>
      <protection locked="0"/>
    </xf>
    <xf numFmtId="0" fontId="44" fillId="8" borderId="21" xfId="0" applyFont="1" applyFill="1" applyBorder="1" applyAlignment="1">
      <alignment horizontal="left" indent="3"/>
    </xf>
    <xf numFmtId="0" fontId="44" fillId="8" borderId="0" xfId="0" applyFont="1" applyFill="1" applyBorder="1" applyAlignment="1">
      <alignment horizontal="left" indent="3"/>
    </xf>
    <xf numFmtId="0" fontId="45" fillId="16" borderId="1" xfId="0" applyFont="1" applyFill="1" applyBorder="1" applyAlignment="1" applyProtection="1">
      <alignment horizontal="center"/>
      <protection locked="0"/>
    </xf>
    <xf numFmtId="0" fontId="45" fillId="8" borderId="21" xfId="0" applyFont="1" applyFill="1" applyBorder="1" applyAlignment="1">
      <alignment horizontal="center" vertical="center"/>
    </xf>
    <xf numFmtId="0" fontId="45" fillId="8" borderId="0" xfId="0" applyFont="1" applyFill="1" applyBorder="1" applyAlignment="1">
      <alignment horizontal="center" vertical="center"/>
    </xf>
    <xf numFmtId="0" fontId="43" fillId="8" borderId="18" xfId="0" applyFont="1" applyFill="1" applyBorder="1"/>
    <xf numFmtId="0" fontId="43" fillId="8" borderId="20" xfId="0" applyFont="1" applyFill="1" applyBorder="1" applyAlignment="1">
      <alignment vertical="center"/>
    </xf>
    <xf numFmtId="0" fontId="43" fillId="8" borderId="0" xfId="0" applyFont="1" applyFill="1" applyAlignment="1">
      <alignment vertical="center"/>
    </xf>
    <xf numFmtId="0" fontId="43" fillId="8" borderId="21" xfId="0" applyFont="1" applyFill="1" applyBorder="1" applyAlignment="1">
      <alignment horizontal="center" vertical="center" wrapText="1"/>
    </xf>
    <xf numFmtId="0" fontId="43" fillId="8" borderId="0" xfId="0" applyFont="1" applyFill="1" applyBorder="1" applyAlignment="1">
      <alignment horizontal="center" vertical="center" wrapText="1"/>
    </xf>
    <xf numFmtId="0" fontId="43" fillId="8" borderId="21" xfId="0" applyFont="1" applyFill="1" applyBorder="1" applyAlignment="1">
      <alignment vertical="center"/>
    </xf>
    <xf numFmtId="0" fontId="43" fillId="8" borderId="0" xfId="0" applyFont="1" applyFill="1" applyBorder="1" applyAlignment="1">
      <alignment vertical="center"/>
    </xf>
    <xf numFmtId="0" fontId="43" fillId="16" borderId="1" xfId="0" applyFont="1" applyFill="1" applyBorder="1" applyAlignment="1" applyProtection="1">
      <alignment horizontal="center" vertical="center"/>
      <protection locked="0"/>
    </xf>
    <xf numFmtId="10" fontId="43" fillId="16" borderId="1" xfId="0" applyNumberFormat="1" applyFont="1" applyFill="1" applyBorder="1" applyAlignment="1" applyProtection="1">
      <alignment horizontal="center" vertical="center"/>
      <protection locked="0"/>
    </xf>
    <xf numFmtId="0" fontId="43" fillId="8" borderId="0" xfId="0" applyFont="1" applyFill="1" applyBorder="1" applyAlignment="1">
      <alignment horizontal="center"/>
    </xf>
    <xf numFmtId="10" fontId="43" fillId="16" borderId="1" xfId="0" applyNumberFormat="1" applyFont="1" applyFill="1" applyBorder="1" applyAlignment="1" applyProtection="1">
      <alignment horizontal="center"/>
      <protection locked="0"/>
    </xf>
    <xf numFmtId="0" fontId="43" fillId="16" borderId="1" xfId="0" applyFont="1" applyFill="1" applyBorder="1" applyAlignment="1" applyProtection="1">
      <alignment horizontal="center"/>
      <protection locked="0"/>
    </xf>
    <xf numFmtId="0" fontId="43" fillId="3" borderId="1" xfId="0" applyFont="1" applyFill="1" applyBorder="1" applyAlignment="1">
      <alignment horizontal="left"/>
    </xf>
    <xf numFmtId="0" fontId="43" fillId="3" borderId="1" xfId="0" applyFont="1" applyFill="1" applyBorder="1" applyAlignment="1">
      <alignment horizontal="center"/>
    </xf>
    <xf numFmtId="0" fontId="43" fillId="8" borderId="21" xfId="0" applyFont="1" applyFill="1" applyBorder="1" applyAlignment="1">
      <alignment horizontal="center"/>
    </xf>
    <xf numFmtId="0" fontId="43" fillId="5" borderId="1" xfId="0" applyFont="1" applyFill="1" applyBorder="1" applyAlignment="1">
      <alignment horizontal="center"/>
    </xf>
    <xf numFmtId="0" fontId="43" fillId="3" borderId="1" xfId="0" quotePrefix="1" applyFont="1" applyFill="1" applyBorder="1" applyAlignment="1">
      <alignment horizontal="center"/>
    </xf>
    <xf numFmtId="0" fontId="43" fillId="8" borderId="0" xfId="0" quotePrefix="1" applyFont="1" applyFill="1" applyBorder="1" applyAlignment="1">
      <alignment horizontal="center"/>
    </xf>
    <xf numFmtId="0" fontId="43" fillId="8" borderId="21" xfId="0" quotePrefix="1" applyFont="1" applyFill="1" applyBorder="1" applyAlignment="1">
      <alignment horizontal="center"/>
    </xf>
    <xf numFmtId="0" fontId="43" fillId="5" borderId="1" xfId="0" quotePrefix="1" applyFont="1" applyFill="1" applyBorder="1" applyAlignment="1">
      <alignment horizontal="center"/>
    </xf>
    <xf numFmtId="0" fontId="43" fillId="8" borderId="22" xfId="0" applyFont="1" applyFill="1" applyBorder="1"/>
    <xf numFmtId="0" fontId="47" fillId="8" borderId="24" xfId="0" applyFont="1" applyFill="1" applyBorder="1"/>
    <xf numFmtId="0" fontId="45" fillId="8" borderId="21" xfId="0" applyFont="1" applyFill="1" applyBorder="1" applyAlignment="1">
      <alignment horizontal="left" vertical="center" wrapText="1"/>
    </xf>
    <xf numFmtId="0" fontId="45" fillId="8" borderId="0" xfId="0" applyFont="1" applyFill="1" applyBorder="1" applyAlignment="1">
      <alignment horizontal="left" vertical="center" wrapText="1"/>
    </xf>
    <xf numFmtId="0" fontId="43" fillId="8" borderId="24" xfId="0" applyFont="1" applyFill="1" applyBorder="1"/>
    <xf numFmtId="14" fontId="46" fillId="8" borderId="0" xfId="0" applyNumberFormat="1" applyFont="1" applyFill="1"/>
    <xf numFmtId="0" fontId="46" fillId="8" borderId="0" xfId="0" applyFont="1" applyFill="1"/>
    <xf numFmtId="0" fontId="50" fillId="8" borderId="0" xfId="0" applyFont="1" applyFill="1" applyBorder="1"/>
    <xf numFmtId="0" fontId="50" fillId="8" borderId="21" xfId="0" applyFont="1" applyFill="1" applyBorder="1"/>
    <xf numFmtId="0" fontId="51" fillId="8" borderId="0" xfId="0" applyFont="1" applyFill="1" applyBorder="1" applyAlignment="1">
      <alignment horizontal="left" indent="3"/>
    </xf>
    <xf numFmtId="0" fontId="51" fillId="8" borderId="21" xfId="0" applyFont="1" applyFill="1" applyBorder="1" applyAlignment="1">
      <alignment horizontal="left" indent="3"/>
    </xf>
    <xf numFmtId="0" fontId="51" fillId="8" borderId="0" xfId="0" applyFont="1" applyFill="1" applyBorder="1" applyAlignment="1">
      <alignment horizontal="left"/>
    </xf>
    <xf numFmtId="0" fontId="50" fillId="8" borderId="0" xfId="0" applyFont="1" applyFill="1" applyBorder="1" applyAlignment="1">
      <alignment horizontal="center"/>
    </xf>
    <xf numFmtId="0" fontId="50" fillId="8" borderId="21" xfId="0" applyFont="1" applyFill="1" applyBorder="1" applyAlignment="1">
      <alignment horizontal="center"/>
    </xf>
    <xf numFmtId="0" fontId="51" fillId="8" borderId="0" xfId="0" applyFont="1" applyFill="1" applyBorder="1"/>
    <xf numFmtId="0" fontId="50" fillId="8" borderId="23" xfId="0" applyFont="1" applyFill="1" applyBorder="1"/>
    <xf numFmtId="0" fontId="51" fillId="8" borderId="23" xfId="0" applyFont="1" applyFill="1" applyBorder="1"/>
    <xf numFmtId="0" fontId="22" fillId="0" borderId="0" xfId="0" applyFont="1" applyAlignment="1">
      <alignment horizontal="center"/>
    </xf>
    <xf numFmtId="0" fontId="52" fillId="0" borderId="0" xfId="0" applyFont="1" applyAlignment="1">
      <alignment horizontal="center"/>
    </xf>
    <xf numFmtId="0" fontId="53" fillId="0" borderId="0" xfId="0" applyFont="1" applyAlignment="1">
      <alignment horizontal="center"/>
    </xf>
    <xf numFmtId="0" fontId="43" fillId="0" borderId="0" xfId="0" applyFont="1" applyBorder="1" applyAlignment="1">
      <alignment horizontal="center" vertical="center"/>
    </xf>
    <xf numFmtId="0" fontId="43" fillId="8" borderId="1" xfId="0" applyFont="1" applyFill="1" applyBorder="1" applyAlignment="1">
      <alignment horizontal="center" vertical="center"/>
    </xf>
    <xf numFmtId="0" fontId="43" fillId="8" borderId="0" xfId="0" applyFont="1" applyFill="1" applyBorder="1" applyAlignment="1">
      <alignment horizontal="center" vertical="center"/>
    </xf>
    <xf numFmtId="0" fontId="43" fillId="0" borderId="1" xfId="0" applyFont="1" applyBorder="1" applyAlignment="1">
      <alignment horizontal="center" vertical="center"/>
    </xf>
    <xf numFmtId="165" fontId="43" fillId="0" borderId="1" xfId="0" applyNumberFormat="1" applyFont="1" applyFill="1" applyBorder="1" applyAlignment="1">
      <alignment horizontal="center" vertical="center"/>
    </xf>
    <xf numFmtId="0" fontId="54" fillId="8" borderId="0" xfId="0" applyFont="1" applyFill="1" applyBorder="1" applyAlignment="1">
      <alignment horizontal="center" vertical="center"/>
    </xf>
    <xf numFmtId="0" fontId="55" fillId="8" borderId="0" xfId="0" applyFont="1" applyFill="1" applyAlignment="1">
      <alignment horizontal="center" vertical="center"/>
    </xf>
    <xf numFmtId="0" fontId="54" fillId="8" borderId="0" xfId="0" applyFont="1" applyFill="1" applyAlignment="1">
      <alignment horizontal="center" vertical="center"/>
    </xf>
    <xf numFmtId="0" fontId="56" fillId="8" borderId="0" xfId="0" applyFont="1" applyFill="1" applyBorder="1" applyAlignment="1">
      <alignment horizontal="center" vertical="center"/>
    </xf>
    <xf numFmtId="0" fontId="35" fillId="0" borderId="0" xfId="0" applyFont="1" applyFill="1"/>
    <xf numFmtId="0" fontId="22" fillId="0" borderId="0" xfId="0" applyFont="1" applyFill="1"/>
    <xf numFmtId="0" fontId="60" fillId="8" borderId="0" xfId="0" applyFont="1" applyFill="1"/>
    <xf numFmtId="0" fontId="22" fillId="8" borderId="17" xfId="0" applyFont="1" applyFill="1" applyBorder="1" applyAlignment="1">
      <alignment horizontal="center" vertical="center"/>
    </xf>
    <xf numFmtId="0" fontId="22" fillId="8" borderId="12" xfId="0" applyFont="1" applyFill="1" applyBorder="1" applyAlignment="1">
      <alignment horizontal="center" vertical="center"/>
    </xf>
    <xf numFmtId="0" fontId="22" fillId="8" borderId="83" xfId="0" applyFont="1" applyFill="1" applyBorder="1" applyAlignment="1">
      <alignment horizontal="center" vertical="center"/>
    </xf>
    <xf numFmtId="0" fontId="22" fillId="8" borderId="88" xfId="0" applyFont="1" applyFill="1" applyBorder="1" applyAlignment="1">
      <alignment horizontal="center" vertical="center"/>
    </xf>
    <xf numFmtId="0" fontId="61" fillId="8" borderId="0" xfId="0" applyFont="1" applyFill="1"/>
    <xf numFmtId="0" fontId="22" fillId="8" borderId="84" xfId="0" applyFont="1" applyFill="1" applyBorder="1" applyAlignment="1">
      <alignment horizontal="center" vertical="center"/>
    </xf>
    <xf numFmtId="0" fontId="22" fillId="8" borderId="89" xfId="0" applyFont="1" applyFill="1" applyBorder="1" applyAlignment="1">
      <alignment horizontal="center" vertical="center"/>
    </xf>
    <xf numFmtId="166" fontId="22" fillId="8" borderId="84" xfId="0" applyNumberFormat="1" applyFont="1" applyFill="1" applyBorder="1" applyAlignment="1">
      <alignment horizontal="center" vertical="center"/>
    </xf>
    <xf numFmtId="166" fontId="22" fillId="8" borderId="89" xfId="0" applyNumberFormat="1" applyFont="1" applyFill="1" applyBorder="1" applyAlignment="1">
      <alignment horizontal="center" vertical="center"/>
    </xf>
    <xf numFmtId="0" fontId="60" fillId="8" borderId="0" xfId="0" applyFont="1" applyFill="1" applyBorder="1"/>
    <xf numFmtId="164" fontId="22" fillId="8" borderId="84" xfId="0" applyNumberFormat="1" applyFont="1" applyFill="1" applyBorder="1" applyAlignment="1">
      <alignment horizontal="center" vertical="center"/>
    </xf>
    <xf numFmtId="164" fontId="22" fillId="8" borderId="89" xfId="0" applyNumberFormat="1" applyFont="1" applyFill="1" applyBorder="1" applyAlignment="1">
      <alignment horizontal="center" vertical="center"/>
    </xf>
    <xf numFmtId="1" fontId="22" fillId="8" borderId="85" xfId="0" applyNumberFormat="1" applyFont="1" applyFill="1" applyBorder="1" applyAlignment="1">
      <alignment horizontal="center" vertical="center"/>
    </xf>
    <xf numFmtId="1" fontId="22" fillId="8" borderId="90" xfId="0" applyNumberFormat="1" applyFont="1" applyFill="1" applyBorder="1" applyAlignment="1">
      <alignment horizontal="center" vertical="center"/>
    </xf>
    <xf numFmtId="0" fontId="22" fillId="8" borderId="1" xfId="0" applyFont="1" applyFill="1" applyBorder="1" applyAlignment="1">
      <alignment horizontal="center" vertical="center"/>
    </xf>
    <xf numFmtId="167" fontId="22" fillId="8" borderId="1" xfId="0" applyNumberFormat="1" applyFont="1" applyFill="1" applyBorder="1" applyAlignment="1">
      <alignment horizontal="center" vertical="center"/>
    </xf>
    <xf numFmtId="164" fontId="22" fillId="8" borderId="1" xfId="0" applyNumberFormat="1" applyFont="1" applyFill="1" applyBorder="1" applyAlignment="1">
      <alignment horizontal="center" vertical="center"/>
    </xf>
    <xf numFmtId="0" fontId="23" fillId="14" borderId="1" xfId="0" applyFont="1" applyFill="1" applyBorder="1" applyAlignment="1">
      <alignment horizontal="center" vertical="center"/>
    </xf>
    <xf numFmtId="0" fontId="57" fillId="8" borderId="0" xfId="0" applyFont="1" applyFill="1"/>
    <xf numFmtId="0" fontId="55" fillId="8" borderId="0" xfId="0" applyFont="1" applyFill="1"/>
    <xf numFmtId="0" fontId="55" fillId="0" borderId="0" xfId="0" applyFont="1"/>
    <xf numFmtId="14" fontId="64" fillId="8" borderId="0" xfId="0" applyNumberFormat="1" applyFont="1" applyFill="1" applyAlignment="1">
      <alignment horizontal="right"/>
    </xf>
    <xf numFmtId="14" fontId="64" fillId="8" borderId="0" xfId="0" applyNumberFormat="1" applyFont="1" applyFill="1" applyAlignment="1">
      <alignment horizontal="left"/>
    </xf>
    <xf numFmtId="0" fontId="22" fillId="8" borderId="0" xfId="0" applyFont="1" applyFill="1" applyAlignment="1">
      <alignment horizontal="center"/>
    </xf>
    <xf numFmtId="0" fontId="22" fillId="8" borderId="56" xfId="0" applyFont="1" applyFill="1" applyBorder="1" applyAlignment="1">
      <alignment horizontal="center" vertical="center"/>
    </xf>
    <xf numFmtId="0" fontId="22" fillId="8" borderId="86" xfId="0" applyFont="1" applyFill="1" applyBorder="1" applyAlignment="1">
      <alignment horizontal="center" vertical="center"/>
    </xf>
    <xf numFmtId="0" fontId="22" fillId="8" borderId="75" xfId="0" applyFont="1" applyFill="1" applyBorder="1" applyAlignment="1">
      <alignment horizontal="center" vertical="center"/>
    </xf>
    <xf numFmtId="166" fontId="22" fillId="8" borderId="75" xfId="0" applyNumberFormat="1" applyFont="1" applyFill="1" applyBorder="1" applyAlignment="1">
      <alignment horizontal="center" vertical="center"/>
    </xf>
    <xf numFmtId="164" fontId="22" fillId="8" borderId="75" xfId="0" applyNumberFormat="1" applyFont="1" applyFill="1" applyBorder="1" applyAlignment="1">
      <alignment horizontal="center" vertical="center"/>
    </xf>
    <xf numFmtId="1" fontId="22" fillId="8" borderId="87" xfId="0" applyNumberFormat="1" applyFont="1" applyFill="1" applyBorder="1" applyAlignment="1">
      <alignment horizontal="center" vertical="center"/>
    </xf>
    <xf numFmtId="0" fontId="22" fillId="8" borderId="1" xfId="0" applyFont="1" applyFill="1" applyBorder="1" applyAlignment="1">
      <alignment horizontal="center"/>
    </xf>
    <xf numFmtId="0" fontId="60" fillId="8" borderId="0" xfId="0" applyFont="1" applyFill="1" applyAlignment="1">
      <alignment horizontal="center"/>
    </xf>
    <xf numFmtId="167" fontId="22" fillId="8" borderId="1" xfId="0" applyNumberFormat="1" applyFont="1" applyFill="1" applyBorder="1" applyAlignment="1">
      <alignment horizontal="center"/>
    </xf>
    <xf numFmtId="164" fontId="22" fillId="8" borderId="1" xfId="0" applyNumberFormat="1" applyFont="1" applyFill="1" applyBorder="1" applyAlignment="1">
      <alignment horizontal="center"/>
    </xf>
    <xf numFmtId="0" fontId="23" fillId="14" borderId="1" xfId="0" applyFont="1" applyFill="1" applyBorder="1" applyAlignment="1">
      <alignment horizontal="center"/>
    </xf>
    <xf numFmtId="0" fontId="61" fillId="8" borderId="0" xfId="0" applyFont="1" applyFill="1" applyAlignment="1">
      <alignment horizontal="left"/>
    </xf>
    <xf numFmtId="0" fontId="22" fillId="0" borderId="0" xfId="0" applyFont="1" applyBorder="1" applyAlignment="1">
      <alignment horizontal="center"/>
    </xf>
    <xf numFmtId="164" fontId="22" fillId="0" borderId="0" xfId="0" applyNumberFormat="1" applyFont="1" applyBorder="1" applyAlignment="1">
      <alignment horizontal="center"/>
    </xf>
    <xf numFmtId="14" fontId="64" fillId="0" borderId="0" xfId="0" applyNumberFormat="1" applyFont="1" applyAlignment="1">
      <alignment horizontal="right"/>
    </xf>
    <xf numFmtId="14" fontId="64" fillId="0" borderId="0" xfId="0" applyNumberFormat="1" applyFont="1" applyAlignment="1">
      <alignment horizontal="left"/>
    </xf>
    <xf numFmtId="0" fontId="56" fillId="13" borderId="1" xfId="0" applyFont="1" applyFill="1" applyBorder="1" applyAlignment="1">
      <alignment horizontal="center" vertical="center"/>
    </xf>
    <xf numFmtId="0" fontId="56" fillId="13" borderId="1" xfId="0" applyFont="1" applyFill="1" applyBorder="1" applyAlignment="1">
      <alignment horizontal="center" vertical="center" wrapText="1"/>
    </xf>
    <xf numFmtId="0" fontId="22" fillId="17" borderId="1" xfId="0" applyFont="1" applyFill="1" applyBorder="1"/>
    <xf numFmtId="0" fontId="23" fillId="18" borderId="1" xfId="0" applyFont="1" applyFill="1" applyBorder="1" applyAlignment="1">
      <alignment horizontal="center" vertical="center" wrapText="1"/>
    </xf>
    <xf numFmtId="0" fontId="23" fillId="18" borderId="1" xfId="0" applyFont="1" applyFill="1" applyBorder="1" applyAlignment="1">
      <alignment horizontal="center" vertical="center"/>
    </xf>
    <xf numFmtId="0" fontId="43" fillId="18" borderId="1" xfId="0" applyFont="1" applyFill="1" applyBorder="1" applyAlignment="1">
      <alignment horizontal="center" vertical="center"/>
    </xf>
    <xf numFmtId="165" fontId="43" fillId="18" borderId="1" xfId="0" applyNumberFormat="1" applyFont="1" applyFill="1" applyBorder="1" applyAlignment="1">
      <alignment horizontal="center" vertical="center"/>
    </xf>
    <xf numFmtId="0" fontId="43" fillId="18" borderId="1" xfId="0" applyFont="1" applyFill="1" applyBorder="1" applyAlignment="1">
      <alignment horizontal="center"/>
    </xf>
    <xf numFmtId="0" fontId="45" fillId="18" borderId="1" xfId="0" applyFont="1" applyFill="1" applyBorder="1" applyAlignment="1"/>
    <xf numFmtId="0" fontId="45" fillId="18" borderId="2" xfId="0" applyFont="1" applyFill="1" applyBorder="1" applyAlignment="1"/>
    <xf numFmtId="0" fontId="45" fillId="18" borderId="11" xfId="0" applyFont="1" applyFill="1" applyBorder="1" applyAlignment="1"/>
    <xf numFmtId="0" fontId="14" fillId="18" borderId="2" xfId="0" applyFont="1" applyFill="1" applyBorder="1" applyAlignment="1"/>
    <xf numFmtId="0" fontId="14" fillId="18" borderId="11" xfId="0" applyFont="1" applyFill="1" applyBorder="1" applyAlignment="1"/>
    <xf numFmtId="0" fontId="22" fillId="8" borderId="0" xfId="0" applyFont="1" applyFill="1" applyAlignment="1">
      <alignment horizontal="left" wrapText="1"/>
    </xf>
    <xf numFmtId="0" fontId="39" fillId="8" borderId="0" xfId="0" applyFont="1" applyFill="1"/>
    <xf numFmtId="0" fontId="39" fillId="8" borderId="1" xfId="0" applyFont="1" applyFill="1" applyBorder="1" applyAlignment="1">
      <alignment horizontal="left" vertical="center" wrapText="1" indent="1"/>
    </xf>
    <xf numFmtId="0" fontId="40" fillId="16" borderId="1" xfId="0" applyFont="1" applyFill="1" applyBorder="1" applyAlignment="1">
      <alignment horizontal="left" vertical="center" wrapText="1" indent="1"/>
    </xf>
    <xf numFmtId="0" fontId="40" fillId="16" borderId="1" xfId="0" applyFont="1" applyFill="1" applyBorder="1" applyAlignment="1">
      <alignment horizontal="left" vertical="center" indent="1"/>
    </xf>
    <xf numFmtId="0" fontId="23" fillId="15" borderId="1" xfId="0" applyFont="1" applyFill="1" applyBorder="1" applyAlignment="1">
      <alignment horizontal="left" vertical="center" wrapText="1" indent="1"/>
    </xf>
    <xf numFmtId="0" fontId="22" fillId="15" borderId="1" xfId="0" applyFont="1" applyFill="1" applyBorder="1" applyAlignment="1">
      <alignment horizontal="left" vertical="center" wrapText="1" indent="1"/>
    </xf>
    <xf numFmtId="0" fontId="27" fillId="13" borderId="1" xfId="0" applyFont="1" applyFill="1" applyBorder="1" applyAlignment="1">
      <alignment horizontal="left" indent="1"/>
    </xf>
    <xf numFmtId="0" fontId="23" fillId="15" borderId="2" xfId="0" applyFont="1" applyFill="1" applyBorder="1" applyAlignment="1">
      <alignment horizontal="left" vertical="center" indent="1"/>
    </xf>
    <xf numFmtId="0" fontId="23" fillId="15" borderId="3" xfId="0" applyFont="1" applyFill="1" applyBorder="1" applyAlignment="1">
      <alignment horizontal="left" vertical="center" indent="1"/>
    </xf>
    <xf numFmtId="0" fontId="23" fillId="15" borderId="4" xfId="0" applyFont="1" applyFill="1" applyBorder="1" applyAlignment="1">
      <alignment horizontal="left" vertical="center" indent="1"/>
    </xf>
    <xf numFmtId="0" fontId="39" fillId="16" borderId="1" xfId="0" applyFont="1" applyFill="1" applyBorder="1" applyAlignment="1">
      <alignment horizontal="left" vertical="center" wrapText="1" indent="1"/>
    </xf>
    <xf numFmtId="0" fontId="22" fillId="16" borderId="1" xfId="0" applyFont="1" applyFill="1" applyBorder="1" applyAlignment="1">
      <alignment horizontal="left" vertical="center" indent="1"/>
    </xf>
    <xf numFmtId="0" fontId="22" fillId="16" borderId="1" xfId="0" applyFont="1" applyFill="1" applyBorder="1" applyAlignment="1">
      <alignment horizontal="left" vertical="center" wrapText="1" indent="1"/>
    </xf>
    <xf numFmtId="0" fontId="35" fillId="17" borderId="1" xfId="0" applyFont="1" applyFill="1" applyBorder="1" applyAlignment="1">
      <alignment horizontal="left" vertical="center" wrapText="1" indent="1"/>
    </xf>
    <xf numFmtId="0" fontId="22" fillId="17" borderId="1" xfId="0" applyFont="1" applyFill="1" applyBorder="1" applyAlignment="1">
      <alignment horizontal="left" vertical="center" indent="1"/>
    </xf>
    <xf numFmtId="0" fontId="40" fillId="15" borderId="1" xfId="0" applyFont="1" applyFill="1" applyBorder="1" applyAlignment="1">
      <alignment horizontal="left" vertical="center" wrapText="1" indent="1"/>
    </xf>
    <xf numFmtId="0" fontId="39" fillId="15" borderId="1" xfId="0" applyFont="1" applyFill="1" applyBorder="1" applyAlignment="1">
      <alignment horizontal="left" vertical="center" wrapText="1" indent="1"/>
    </xf>
    <xf numFmtId="0" fontId="23" fillId="16" borderId="1" xfId="0" applyFont="1" applyFill="1" applyBorder="1" applyAlignment="1">
      <alignment horizontal="left" vertical="center" wrapText="1" indent="1"/>
    </xf>
    <xf numFmtId="0" fontId="22" fillId="8" borderId="0" xfId="0" applyFont="1" applyFill="1" applyAlignment="1">
      <alignment horizontal="left" wrapText="1"/>
    </xf>
    <xf numFmtId="0" fontId="39" fillId="16" borderId="1" xfId="0" applyFont="1" applyFill="1" applyBorder="1" applyAlignment="1">
      <alignment horizontal="left" vertical="center" indent="1"/>
    </xf>
    <xf numFmtId="0" fontId="45" fillId="18" borderId="1" xfId="0" applyFont="1" applyFill="1" applyBorder="1" applyAlignment="1">
      <alignment horizontal="left"/>
    </xf>
    <xf numFmtId="0" fontId="66" fillId="17" borderId="1" xfId="0" applyFont="1" applyFill="1" applyBorder="1" applyAlignment="1" applyProtection="1">
      <alignment horizontal="left" indent="2"/>
      <protection locked="0"/>
    </xf>
    <xf numFmtId="0" fontId="45" fillId="15" borderId="1" xfId="0" applyFont="1" applyFill="1" applyBorder="1" applyAlignment="1" applyProtection="1">
      <alignment horizontal="center" vertical="center"/>
      <protection locked="0"/>
    </xf>
    <xf numFmtId="0" fontId="44" fillId="13" borderId="1" xfId="0" applyFont="1" applyFill="1" applyBorder="1" applyAlignment="1">
      <alignment horizontal="left" indent="3"/>
    </xf>
    <xf numFmtId="0" fontId="45" fillId="18" borderId="1" xfId="0" applyFont="1" applyFill="1" applyBorder="1" applyAlignment="1">
      <alignment horizontal="center" vertical="center" wrapText="1"/>
    </xf>
    <xf numFmtId="0" fontId="45" fillId="18" borderId="1" xfId="0" applyFont="1" applyFill="1" applyBorder="1" applyAlignment="1">
      <alignment horizontal="center" vertical="center"/>
    </xf>
    <xf numFmtId="0" fontId="44" fillId="13" borderId="2" xfId="0" applyFont="1" applyFill="1" applyBorder="1" applyAlignment="1">
      <alignment horizontal="left" indent="3"/>
    </xf>
    <xf numFmtId="0" fontId="44" fillId="13" borderId="3" xfId="0" applyFont="1" applyFill="1" applyBorder="1" applyAlignment="1">
      <alignment horizontal="left" indent="3"/>
    </xf>
    <xf numFmtId="0" fontId="44" fillId="13" borderId="4" xfId="0" applyFont="1" applyFill="1" applyBorder="1" applyAlignment="1">
      <alignment horizontal="left" indent="3"/>
    </xf>
    <xf numFmtId="0" fontId="13" fillId="13" borderId="1" xfId="0" applyFont="1" applyFill="1" applyBorder="1" applyAlignment="1">
      <alignment horizontal="center"/>
    </xf>
    <xf numFmtId="0" fontId="13" fillId="13" borderId="17" xfId="0" applyFont="1" applyFill="1" applyBorder="1" applyAlignment="1">
      <alignment horizontal="center" vertical="center" wrapText="1"/>
    </xf>
    <xf numFmtId="0" fontId="13" fillId="13" borderId="19"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44" fillId="13" borderId="1" xfId="0" applyFont="1" applyFill="1" applyBorder="1" applyAlignment="1">
      <alignment horizontal="center"/>
    </xf>
    <xf numFmtId="0" fontId="44" fillId="13" borderId="17" xfId="0" applyFont="1" applyFill="1" applyBorder="1" applyAlignment="1">
      <alignment horizontal="center" vertical="center" wrapText="1"/>
    </xf>
    <xf numFmtId="0" fontId="44" fillId="13" borderId="19" xfId="0" applyFont="1" applyFill="1" applyBorder="1" applyAlignment="1">
      <alignment horizontal="center" vertical="center" wrapText="1"/>
    </xf>
    <xf numFmtId="168" fontId="43" fillId="8" borderId="0" xfId="0" applyNumberFormat="1" applyFont="1" applyFill="1" applyBorder="1" applyAlignment="1">
      <alignment horizontal="left"/>
    </xf>
    <xf numFmtId="0" fontId="45" fillId="8" borderId="11" xfId="0" applyFont="1" applyFill="1" applyBorder="1" applyAlignment="1">
      <alignment horizontal="center" vertical="center" wrapText="1"/>
    </xf>
    <xf numFmtId="0" fontId="45" fillId="8" borderId="56" xfId="0" applyFont="1" applyFill="1" applyBorder="1" applyAlignment="1">
      <alignment horizontal="center" vertical="center" wrapText="1"/>
    </xf>
    <xf numFmtId="0" fontId="45" fillId="8" borderId="12" xfId="0" applyFont="1" applyFill="1" applyBorder="1" applyAlignment="1">
      <alignment horizontal="center" vertical="center" wrapText="1"/>
    </xf>
    <xf numFmtId="0" fontId="45" fillId="8" borderId="13" xfId="0" applyFont="1" applyFill="1" applyBorder="1" applyAlignment="1">
      <alignment horizontal="center" vertical="center" wrapText="1"/>
    </xf>
    <xf numFmtId="0" fontId="45" fillId="8" borderId="0" xfId="0" applyFont="1" applyFill="1" applyBorder="1" applyAlignment="1">
      <alignment horizontal="center" vertical="center" wrapText="1"/>
    </xf>
    <xf numFmtId="0" fontId="45" fillId="8" borderId="14" xfId="0" applyFont="1" applyFill="1" applyBorder="1" applyAlignment="1">
      <alignment horizontal="center" vertical="center" wrapText="1"/>
    </xf>
    <xf numFmtId="0" fontId="45" fillId="8" borderId="15" xfId="0" applyFont="1" applyFill="1" applyBorder="1" applyAlignment="1">
      <alignment horizontal="center" vertical="center" wrapText="1"/>
    </xf>
    <xf numFmtId="0" fontId="45" fillId="8" borderId="25"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4" fillId="13" borderId="1" xfId="0" applyFont="1" applyFill="1" applyBorder="1" applyAlignment="1">
      <alignment horizontal="center" vertical="center" wrapText="1"/>
    </xf>
    <xf numFmtId="0" fontId="43" fillId="3" borderId="1" xfId="0" applyFont="1" applyFill="1" applyBorder="1" applyAlignment="1">
      <alignment horizontal="left"/>
    </xf>
    <xf numFmtId="0" fontId="43" fillId="5" borderId="1" xfId="0" applyFont="1" applyFill="1" applyBorder="1" applyAlignment="1">
      <alignment horizontal="left"/>
    </xf>
    <xf numFmtId="0" fontId="45" fillId="18" borderId="2" xfId="0" applyFont="1" applyFill="1" applyBorder="1" applyAlignment="1">
      <alignment horizontal="left"/>
    </xf>
    <xf numFmtId="0" fontId="45" fillId="18" borderId="4" xfId="0" applyFont="1" applyFill="1" applyBorder="1" applyAlignment="1">
      <alignment horizontal="left"/>
    </xf>
    <xf numFmtId="0" fontId="43" fillId="15" borderId="1" xfId="0" applyFont="1" applyFill="1" applyBorder="1" applyAlignment="1" applyProtection="1">
      <alignment horizontal="center" vertical="center" wrapText="1"/>
      <protection locked="0"/>
    </xf>
    <xf numFmtId="0" fontId="56" fillId="13" borderId="1" xfId="0" applyFont="1" applyFill="1" applyBorder="1" applyAlignment="1">
      <alignment horizontal="center" vertical="center"/>
    </xf>
    <xf numFmtId="0" fontId="59" fillId="13" borderId="1" xfId="0" applyFont="1" applyFill="1" applyBorder="1" applyAlignment="1">
      <alignment horizontal="center" vertical="center"/>
    </xf>
    <xf numFmtId="0" fontId="58" fillId="16" borderId="1" xfId="0" applyFont="1" applyFill="1" applyBorder="1" applyAlignment="1" applyProtection="1">
      <alignment horizontal="center" vertical="center"/>
      <protection locked="0"/>
    </xf>
    <xf numFmtId="0" fontId="41" fillId="18" borderId="1" xfId="0" applyFont="1" applyFill="1" applyBorder="1" applyAlignment="1">
      <alignment horizontal="left" vertical="center" wrapText="1" indent="1"/>
    </xf>
    <xf numFmtId="0" fontId="65" fillId="8" borderId="0" xfId="0" applyFont="1" applyFill="1" applyBorder="1" applyAlignment="1">
      <alignment horizontal="left" vertical="center" wrapText="1"/>
    </xf>
    <xf numFmtId="0" fontId="22" fillId="8" borderId="78" xfId="0" applyFont="1" applyFill="1" applyBorder="1" applyAlignment="1">
      <alignment horizontal="left" vertical="center" indent="1"/>
    </xf>
    <xf numFmtId="0" fontId="22" fillId="8" borderId="82" xfId="0" applyFont="1" applyFill="1" applyBorder="1" applyAlignment="1">
      <alignment horizontal="left" vertical="center" indent="1"/>
    </xf>
    <xf numFmtId="0" fontId="22" fillId="8" borderId="77" xfId="0" applyFont="1" applyFill="1" applyBorder="1" applyAlignment="1">
      <alignment horizontal="left" vertical="center" indent="1"/>
    </xf>
    <xf numFmtId="0" fontId="22" fillId="8" borderId="74" xfId="0" applyFont="1" applyFill="1" applyBorder="1" applyAlignment="1">
      <alignment horizontal="left" vertical="center" indent="1"/>
    </xf>
    <xf numFmtId="0" fontId="22" fillId="8" borderId="79" xfId="0" applyFont="1" applyFill="1" applyBorder="1" applyAlignment="1">
      <alignment horizontal="center" vertical="center"/>
    </xf>
    <xf numFmtId="0" fontId="22" fillId="8" borderId="80" xfId="0" applyFont="1" applyFill="1" applyBorder="1" applyAlignment="1">
      <alignment horizontal="center" vertical="center"/>
    </xf>
    <xf numFmtId="0" fontId="22" fillId="8" borderId="76" xfId="0" applyFont="1" applyFill="1" applyBorder="1" applyAlignment="1">
      <alignment horizontal="left" vertical="center" indent="1"/>
    </xf>
    <xf numFmtId="0" fontId="22" fillId="8" borderId="81" xfId="0" applyFont="1" applyFill="1" applyBorder="1" applyAlignment="1">
      <alignment horizontal="left" vertical="center" indent="1"/>
    </xf>
    <xf numFmtId="0" fontId="22" fillId="8" borderId="101" xfId="0" applyFont="1" applyFill="1" applyBorder="1" applyAlignment="1">
      <alignment horizontal="center" vertical="center"/>
    </xf>
    <xf numFmtId="0" fontId="22" fillId="8" borderId="97" xfId="0" applyFont="1" applyFill="1" applyBorder="1" applyAlignment="1">
      <alignment horizontal="center" vertical="center"/>
    </xf>
    <xf numFmtId="0" fontId="22" fillId="8" borderId="98" xfId="0" applyFont="1" applyFill="1" applyBorder="1" applyAlignment="1">
      <alignment horizontal="left" vertical="center" indent="1"/>
    </xf>
    <xf numFmtId="0" fontId="22" fillId="8" borderId="99" xfId="0" applyFont="1" applyFill="1" applyBorder="1" applyAlignment="1">
      <alignment horizontal="left" vertical="center" indent="1"/>
    </xf>
    <xf numFmtId="0" fontId="62" fillId="8" borderId="77" xfId="0" applyFont="1" applyFill="1" applyBorder="1" applyAlignment="1">
      <alignment horizontal="left" vertical="center" indent="1"/>
    </xf>
    <xf numFmtId="0" fontId="62" fillId="8" borderId="100" xfId="0" applyFont="1" applyFill="1" applyBorder="1" applyAlignment="1">
      <alignment horizontal="left" vertical="center" indent="1"/>
    </xf>
    <xf numFmtId="0" fontId="22" fillId="8" borderId="77" xfId="0" applyFont="1" applyFill="1" applyBorder="1" applyAlignment="1">
      <alignment horizontal="left" vertical="center" indent="3"/>
    </xf>
    <xf numFmtId="0" fontId="22" fillId="8" borderId="74" xfId="0" applyFont="1" applyFill="1" applyBorder="1" applyAlignment="1">
      <alignment horizontal="left" vertical="center" indent="3"/>
    </xf>
    <xf numFmtId="0" fontId="22" fillId="8" borderId="102" xfId="0" applyFont="1" applyFill="1" applyBorder="1" applyAlignment="1">
      <alignment horizontal="center" vertical="center"/>
    </xf>
    <xf numFmtId="0" fontId="22" fillId="8" borderId="89" xfId="0" applyFont="1" applyFill="1" applyBorder="1" applyAlignment="1">
      <alignment horizontal="center" vertical="center"/>
    </xf>
    <xf numFmtId="0" fontId="62" fillId="8" borderId="74" xfId="0" applyFont="1" applyFill="1" applyBorder="1" applyAlignment="1">
      <alignment horizontal="left" vertical="center" indent="1"/>
    </xf>
    <xf numFmtId="0" fontId="41" fillId="8" borderId="77" xfId="0" applyFont="1" applyFill="1" applyBorder="1" applyAlignment="1">
      <alignment horizontal="left" vertical="center"/>
    </xf>
    <xf numFmtId="0" fontId="41" fillId="8" borderId="74" xfId="0" applyFont="1" applyFill="1" applyBorder="1" applyAlignment="1">
      <alignment horizontal="left" vertical="center"/>
    </xf>
    <xf numFmtId="0" fontId="41" fillId="8" borderId="76" xfId="0" applyFont="1" applyFill="1" applyBorder="1" applyAlignment="1">
      <alignment horizontal="left" vertical="center"/>
    </xf>
    <xf numFmtId="0" fontId="41" fillId="8" borderId="81" xfId="0" applyFont="1" applyFill="1" applyBorder="1" applyAlignment="1">
      <alignment horizontal="left" vertical="center"/>
    </xf>
    <xf numFmtId="0" fontId="4" fillId="4" borderId="40" xfId="0" applyFont="1" applyFill="1" applyBorder="1" applyAlignment="1">
      <alignment horizontal="center"/>
    </xf>
    <xf numFmtId="0" fontId="4" fillId="4" borderId="41" xfId="0" applyFont="1" applyFill="1" applyBorder="1" applyAlignment="1">
      <alignment horizontal="center"/>
    </xf>
    <xf numFmtId="0" fontId="4" fillId="4" borderId="27" xfId="0" applyFont="1" applyFill="1" applyBorder="1" applyAlignment="1">
      <alignment horizontal="center"/>
    </xf>
    <xf numFmtId="0" fontId="1" fillId="3" borderId="42" xfId="0" applyFont="1" applyFill="1" applyBorder="1" applyAlignment="1">
      <alignment horizontal="center" vertical="center" textRotation="90"/>
    </xf>
    <xf numFmtId="0" fontId="1" fillId="3" borderId="43" xfId="0" applyFont="1" applyFill="1" applyBorder="1" applyAlignment="1">
      <alignment horizontal="center" vertical="center" textRotation="90"/>
    </xf>
    <xf numFmtId="0" fontId="1" fillId="3" borderId="44" xfId="0" applyFont="1" applyFill="1" applyBorder="1" applyAlignment="1">
      <alignment horizontal="center" vertical="center" textRotation="90"/>
    </xf>
    <xf numFmtId="0" fontId="1" fillId="0" borderId="42" xfId="0" applyFont="1" applyBorder="1" applyAlignment="1">
      <alignment horizontal="center" vertical="center" textRotation="90"/>
    </xf>
    <xf numFmtId="0" fontId="1" fillId="0" borderId="43" xfId="0" applyFont="1" applyBorder="1" applyAlignment="1">
      <alignment horizontal="center" vertical="center" textRotation="90"/>
    </xf>
    <xf numFmtId="0" fontId="1" fillId="0" borderId="44" xfId="0" applyFont="1" applyBorder="1" applyAlignment="1">
      <alignment horizontal="center" vertical="center" textRotation="90"/>
    </xf>
    <xf numFmtId="0" fontId="1" fillId="8" borderId="0" xfId="0" applyFont="1" applyFill="1" applyBorder="1" applyAlignment="1">
      <alignment horizontal="center" vertical="center" textRotation="90"/>
    </xf>
    <xf numFmtId="0" fontId="1" fillId="3" borderId="20" xfId="0" applyFont="1" applyFill="1" applyBorder="1" applyAlignment="1">
      <alignment horizontal="center" vertical="center" textRotation="90"/>
    </xf>
    <xf numFmtId="0" fontId="1" fillId="3" borderId="22" xfId="0" applyFont="1" applyFill="1" applyBorder="1" applyAlignment="1">
      <alignment horizontal="center" vertical="center" textRotation="90"/>
    </xf>
    <xf numFmtId="0" fontId="0" fillId="3" borderId="26" xfId="0" applyFill="1" applyBorder="1" applyAlignment="1">
      <alignment horizontal="center"/>
    </xf>
    <xf numFmtId="0" fontId="0" fillId="3" borderId="27" xfId="0" applyFill="1"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3" borderId="35" xfId="0" applyFill="1" applyBorder="1" applyAlignment="1">
      <alignment horizontal="center"/>
    </xf>
    <xf numFmtId="0" fontId="0" fillId="3" borderId="36" xfId="0" applyFill="1" applyBorder="1" applyAlignment="1">
      <alignment horizontal="center"/>
    </xf>
    <xf numFmtId="0" fontId="0" fillId="0" borderId="2" xfId="0"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4" fillId="4" borderId="2" xfId="0" applyFont="1" applyFill="1" applyBorder="1" applyAlignment="1">
      <alignment horizontal="left" indent="1"/>
    </xf>
    <xf numFmtId="0" fontId="4" fillId="4" borderId="3" xfId="0" applyFont="1" applyFill="1" applyBorder="1" applyAlignment="1">
      <alignment horizontal="left" indent="1"/>
    </xf>
    <xf numFmtId="0" fontId="4" fillId="4" borderId="4" xfId="0" applyFont="1" applyFill="1" applyBorder="1" applyAlignment="1">
      <alignment horizontal="left" indent="1"/>
    </xf>
    <xf numFmtId="0" fontId="0" fillId="8" borderId="0" xfId="0" applyFill="1" applyBorder="1" applyAlignment="1">
      <alignment horizontal="center"/>
    </xf>
    <xf numFmtId="0" fontId="1" fillId="5" borderId="2" xfId="0" applyFont="1" applyFill="1" applyBorder="1" applyAlignment="1">
      <alignment horizontal="center"/>
    </xf>
    <xf numFmtId="0" fontId="1" fillId="5" borderId="4" xfId="0" applyFont="1" applyFill="1" applyBorder="1" applyAlignment="1">
      <alignment horizontal="center"/>
    </xf>
    <xf numFmtId="0" fontId="7" fillId="8" borderId="0" xfId="0" applyFont="1" applyFill="1" applyBorder="1" applyAlignment="1">
      <alignment horizontal="center"/>
    </xf>
    <xf numFmtId="0" fontId="4" fillId="4" borderId="1"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20" fillId="8" borderId="14" xfId="0" applyFont="1" applyFill="1" applyBorder="1" applyAlignment="1">
      <alignment horizontal="right" wrapText="1"/>
    </xf>
    <xf numFmtId="0" fontId="0" fillId="0" borderId="1" xfId="0" applyBorder="1" applyAlignment="1">
      <alignment horizontal="center"/>
    </xf>
  </cellXfs>
  <cellStyles count="1">
    <cellStyle name="Normal" xfId="0" builtinId="0"/>
  </cellStyles>
  <dxfs count="5">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ill>
        <patternFill>
          <bgColor rgb="FFCFE1E9"/>
        </patternFill>
      </fill>
    </dxf>
    <dxf>
      <font>
        <color theme="0"/>
      </font>
      <fill>
        <patternFill>
          <fgColor theme="0"/>
          <bgColor theme="0"/>
        </patternFill>
      </fill>
      <border>
        <left/>
        <right/>
        <top/>
        <bottom/>
        <vertical/>
        <horizontal/>
      </border>
    </dxf>
  </dxfs>
  <tableStyles count="1" defaultTableStyle="TableStyleMedium2" defaultPivotStyle="PivotStyleLight16">
    <tableStyle name="Invisible" pivot="0" table="0" count="0" xr9:uid="{4DAB1A3D-B493-49A5-B206-9FF6F340F3B4}"/>
  </tableStyles>
  <colors>
    <mruColors>
      <color rgb="FFD50032"/>
      <color rgb="FF236192"/>
      <color rgb="FFCFE1E9"/>
      <color rgb="FFCBDEE7"/>
      <color rgb="FF4986A0"/>
      <color rgb="FF183028"/>
      <color rgb="FF3F7D68"/>
      <color rgb="FF4A947B"/>
      <color rgb="FFED8B00"/>
      <color rgb="FFFF65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89062443272704"/>
          <c:y val="4.5267504380125202E-2"/>
          <c:w val="0.81672315370668169"/>
          <c:h val="0.61549085484558264"/>
        </c:manualLayout>
      </c:layout>
      <c:scatterChart>
        <c:scatterStyle val="lineMarker"/>
        <c:varyColors val="0"/>
        <c:ser>
          <c:idx val="2"/>
          <c:order val="0"/>
          <c:tx>
            <c:strRef>
              <c:f>'hidden sheet 1'!$AD$16</c:f>
              <c:strCache>
                <c:ptCount val="1"/>
                <c:pt idx="0">
                  <c:v>Interpolation region</c:v>
                </c:pt>
              </c:strCache>
            </c:strRef>
          </c:tx>
          <c:spPr>
            <a:ln w="12700" cap="rnd">
              <a:solidFill>
                <a:schemeClr val="tx1"/>
              </a:solidFill>
              <a:prstDash val="sysDot"/>
              <a:round/>
            </a:ln>
            <a:effectLst/>
          </c:spPr>
          <c:marker>
            <c:symbol val="none"/>
          </c:marker>
          <c:xVal>
            <c:numRef>
              <c:f>'hidden sheet 1'!$AD$18:$AD$22</c:f>
              <c:numCache>
                <c:formatCode>General</c:formatCode>
                <c:ptCount val="5"/>
                <c:pt idx="0">
                  <c:v>0</c:v>
                </c:pt>
                <c:pt idx="1">
                  <c:v>0</c:v>
                </c:pt>
                <c:pt idx="2">
                  <c:v>0</c:v>
                </c:pt>
                <c:pt idx="3">
                  <c:v>0</c:v>
                </c:pt>
                <c:pt idx="4">
                  <c:v>0</c:v>
                </c:pt>
              </c:numCache>
            </c:numRef>
          </c:xVal>
          <c:yVal>
            <c:numRef>
              <c:f>'hidden sheet 1'!$AE$18:$AE$22</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0-D28B-42C3-98EA-96E62E836B6E}"/>
            </c:ext>
          </c:extLst>
        </c:ser>
        <c:ser>
          <c:idx val="0"/>
          <c:order val="1"/>
          <c:tx>
            <c:v>LM80 data sets</c:v>
          </c:tx>
          <c:spPr>
            <a:ln w="19050" cap="rnd">
              <a:noFill/>
              <a:round/>
            </a:ln>
            <a:effectLst/>
          </c:spPr>
          <c:marker>
            <c:symbol val="circle"/>
            <c:size val="5"/>
            <c:spPr>
              <a:solidFill>
                <a:srgbClr val="236192"/>
              </a:solidFill>
              <a:ln w="9525">
                <a:solidFill>
                  <a:srgbClr val="236192"/>
                </a:solidFill>
              </a:ln>
              <a:effectLst/>
            </c:spPr>
          </c:marker>
          <c:xVal>
            <c:strRef>
              <c:f>'hidden sheet 1'!$AD$27:$AD$30</c:f>
              <c:strCache>
                <c:ptCount val="4"/>
                <c:pt idx="2">
                  <c:v>-10</c:v>
                </c:pt>
                <c:pt idx="3">
                  <c:v>-10</c:v>
                </c:pt>
              </c:strCache>
            </c:strRef>
          </c:xVal>
          <c:yVal>
            <c:numRef>
              <c:f>'hidden sheet 1'!$AE$27:$AE$30</c:f>
              <c:numCache>
                <c:formatCode>General</c:formatCode>
                <c:ptCount val="4"/>
                <c:pt idx="0">
                  <c:v>0</c:v>
                </c:pt>
                <c:pt idx="1">
                  <c:v>0</c:v>
                </c:pt>
                <c:pt idx="2">
                  <c:v>-10</c:v>
                </c:pt>
                <c:pt idx="3">
                  <c:v>-10</c:v>
                </c:pt>
              </c:numCache>
            </c:numRef>
          </c:yVal>
          <c:smooth val="0"/>
          <c:extLst>
            <c:ext xmlns:c16="http://schemas.microsoft.com/office/drawing/2014/chart" uri="{C3380CC4-5D6E-409C-BE32-E72D297353CC}">
              <c16:uniqueId val="{00000001-D28B-42C3-98EA-96E62E836B6E}"/>
            </c:ext>
          </c:extLst>
        </c:ser>
        <c:ser>
          <c:idx val="1"/>
          <c:order val="2"/>
          <c:tx>
            <c:v>Product test conditions</c:v>
          </c:tx>
          <c:spPr>
            <a:ln w="25400" cap="rnd">
              <a:noFill/>
              <a:round/>
            </a:ln>
            <a:effectLst/>
          </c:spPr>
          <c:marker>
            <c:symbol val="star"/>
            <c:size val="10"/>
            <c:spPr>
              <a:noFill/>
              <a:ln w="9525">
                <a:solidFill>
                  <a:srgbClr val="CE0058"/>
                </a:solidFill>
              </a:ln>
              <a:effectLst/>
            </c:spPr>
          </c:marker>
          <c:xVal>
            <c:numRef>
              <c:f>'hidden sheet 1'!$AD$14</c:f>
              <c:numCache>
                <c:formatCode>General</c:formatCode>
                <c:ptCount val="1"/>
                <c:pt idx="0">
                  <c:v>0</c:v>
                </c:pt>
              </c:numCache>
            </c:numRef>
          </c:xVal>
          <c:yVal>
            <c:numRef>
              <c:f>'hidden sheet 1'!$AE$14</c:f>
              <c:numCache>
                <c:formatCode>General</c:formatCode>
                <c:ptCount val="1"/>
                <c:pt idx="0">
                  <c:v>0</c:v>
                </c:pt>
              </c:numCache>
            </c:numRef>
          </c:yVal>
          <c:smooth val="0"/>
          <c:extLst>
            <c:ext xmlns:c16="http://schemas.microsoft.com/office/drawing/2014/chart" uri="{C3380CC4-5D6E-409C-BE32-E72D297353CC}">
              <c16:uniqueId val="{00000002-D28B-42C3-98EA-96E62E836B6E}"/>
            </c:ext>
          </c:extLst>
        </c:ser>
        <c:dLbls>
          <c:showLegendKey val="0"/>
          <c:showVal val="0"/>
          <c:showCatName val="0"/>
          <c:showSerName val="0"/>
          <c:showPercent val="0"/>
          <c:showBubbleSize val="0"/>
        </c:dLbls>
        <c:axId val="1908019872"/>
        <c:axId val="1908021120"/>
      </c:scatterChart>
      <c:valAx>
        <c:axId val="1908019872"/>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latin typeface="Arial" panose="020B0604020202020204" pitchFamily="34" charset="0"/>
                    <a:cs typeface="Arial" panose="020B0604020202020204" pitchFamily="34" charset="0"/>
                  </a:rPr>
                  <a:t>Drive Current (mA)</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08021120"/>
        <c:crosses val="autoZero"/>
        <c:crossBetween val="midCat"/>
      </c:valAx>
      <c:valAx>
        <c:axId val="190802112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latin typeface="Arial" panose="020B0604020202020204" pitchFamily="34" charset="0"/>
                    <a:cs typeface="Arial" panose="020B0604020202020204" pitchFamily="34" charset="0"/>
                  </a:rPr>
                  <a:t>Case Temperature (°C)</a:t>
                </a:r>
              </a:p>
            </c:rich>
          </c:tx>
          <c:layout>
            <c:manualLayout>
              <c:xMode val="edge"/>
              <c:yMode val="edge"/>
              <c:x val="3.4033388829854488E-2"/>
              <c:y val="8.4238390740207419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08019872"/>
        <c:crosses val="autoZero"/>
        <c:crossBetween val="midCat"/>
      </c:valAx>
      <c:spPr>
        <a:solidFill>
          <a:schemeClr val="bg1"/>
        </a:solidFill>
        <a:ln>
          <a:noFill/>
        </a:ln>
        <a:effectLst/>
      </c:spPr>
    </c:plotArea>
    <c:legend>
      <c:legendPos val="b"/>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CBDEE7"/>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200">
                <a:latin typeface="Arial" panose="020B0604020202020204" pitchFamily="34" charset="0"/>
                <a:cs typeface="Arial" panose="020B0604020202020204" pitchFamily="34" charset="0"/>
              </a:rPr>
              <a:t>Graphical representation of lumen maintenance</a:t>
            </a:r>
            <a:r>
              <a:rPr lang="en-AU" sz="1200" baseline="0">
                <a:latin typeface="Arial" panose="020B0604020202020204" pitchFamily="34" charset="0"/>
                <a:cs typeface="Arial" panose="020B0604020202020204" pitchFamily="34" charset="0"/>
              </a:rPr>
              <a:t> life projection using ANSI/IES LM-80 data </a:t>
            </a:r>
          </a:p>
          <a:p>
            <a:pPr>
              <a:defRPr/>
            </a:pPr>
            <a:r>
              <a:rPr lang="en-AU" sz="1200" baseline="0">
                <a:latin typeface="Arial" panose="020B0604020202020204" pitchFamily="34" charset="0"/>
                <a:cs typeface="Arial" panose="020B0604020202020204" pitchFamily="34" charset="0"/>
              </a:rPr>
              <a:t>for current and temperature interpolations</a:t>
            </a:r>
            <a:endParaRPr lang="en-AU" sz="1200">
              <a:latin typeface="Arial" panose="020B0604020202020204" pitchFamily="34" charset="0"/>
              <a:cs typeface="Arial" panose="020B0604020202020204" pitchFamily="34" charset="0"/>
            </a:endParaRPr>
          </a:p>
        </c:rich>
      </c:tx>
      <c:layout>
        <c:manualLayout>
          <c:xMode val="edge"/>
          <c:yMode val="edge"/>
          <c:x val="0.14086219856320778"/>
          <c:y val="3.648077229596009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560361953917543E-2"/>
          <c:y val="0.13406136672506824"/>
          <c:w val="0.90540471208911122"/>
          <c:h val="0.76832417492318961"/>
        </c:manualLayout>
      </c:layout>
      <c:scatterChart>
        <c:scatterStyle val="lineMarker"/>
        <c:varyColors val="0"/>
        <c:ser>
          <c:idx val="0"/>
          <c:order val="0"/>
          <c:tx>
            <c:strRef>
              <c:f>Visualisations!$K$6</c:f>
              <c:strCache>
                <c:ptCount val="1"/>
                <c:pt idx="0">
                  <c:v>0 °C, 0 mA</c:v>
                </c:pt>
              </c:strCache>
            </c:strRef>
          </c:tx>
          <c:spPr>
            <a:ln w="19050" cap="rnd">
              <a:noFill/>
              <a:round/>
            </a:ln>
            <a:effectLst/>
          </c:spPr>
          <c:marker>
            <c:symbol val="circle"/>
            <c:size val="5"/>
            <c:spPr>
              <a:solidFill>
                <a:srgbClr val="4986A0"/>
              </a:solidFill>
              <a:ln w="9525">
                <a:solidFill>
                  <a:srgbClr val="236192"/>
                </a:solidFill>
              </a:ln>
              <a:effectLst/>
            </c:spPr>
          </c:marker>
          <c:xVal>
            <c:numRef>
              <c:f>Visualisations!$J$7:$J$18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xVal>
          <c:yVal>
            <c:numRef>
              <c:f>Visualisations!$K$7:$K$18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5-2B5A-476C-9F52-434786E3AF3E}"/>
            </c:ext>
          </c:extLst>
        </c:ser>
        <c:ser>
          <c:idx val="1"/>
          <c:order val="1"/>
          <c:tx>
            <c:strRef>
              <c:f>Visualisations!$M$6</c:f>
              <c:strCache>
                <c:ptCount val="1"/>
                <c:pt idx="0">
                  <c:v>0 °C, 0 mA</c:v>
                </c:pt>
              </c:strCache>
            </c:strRef>
          </c:tx>
          <c:spPr>
            <a:ln w="19050" cap="rnd">
              <a:noFill/>
              <a:round/>
            </a:ln>
            <a:effectLst/>
          </c:spPr>
          <c:marker>
            <c:symbol val="circle"/>
            <c:size val="5"/>
            <c:spPr>
              <a:solidFill>
                <a:srgbClr val="4A947B"/>
              </a:solidFill>
              <a:ln w="9525">
                <a:solidFill>
                  <a:srgbClr val="183028"/>
                </a:solidFill>
              </a:ln>
              <a:effectLst/>
            </c:spPr>
          </c:marker>
          <c:xVal>
            <c:numRef>
              <c:f>Visualisations!$L$7:$L$18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xVal>
          <c:yVal>
            <c:numRef>
              <c:f>Visualisations!$M$7:$M$18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6-2B5A-476C-9F52-434786E3AF3E}"/>
            </c:ext>
          </c:extLst>
        </c:ser>
        <c:ser>
          <c:idx val="2"/>
          <c:order val="2"/>
          <c:tx>
            <c:strRef>
              <c:f>Visualisations!$O$6</c:f>
              <c:strCache>
                <c:ptCount val="1"/>
                <c:pt idx="0">
                  <c:v>0 °C, 0 mA</c:v>
                </c:pt>
              </c:strCache>
            </c:strRef>
          </c:tx>
          <c:spPr>
            <a:ln w="19050" cap="rnd">
              <a:noFill/>
              <a:round/>
            </a:ln>
            <a:effectLst/>
          </c:spPr>
          <c:marker>
            <c:symbol val="circle"/>
            <c:size val="5"/>
            <c:spPr>
              <a:solidFill>
                <a:srgbClr val="ED8B00"/>
              </a:solidFill>
              <a:ln w="9525">
                <a:solidFill>
                  <a:schemeClr val="accent2">
                    <a:lumMod val="75000"/>
                  </a:schemeClr>
                </a:solidFill>
              </a:ln>
              <a:effectLst/>
            </c:spPr>
          </c:marker>
          <c:xVal>
            <c:numRef>
              <c:f>Visualisations!$N$7:$N$18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xVal>
          <c:yVal>
            <c:numRef>
              <c:f>Visualisations!$O$7:$O$18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7-2B5A-476C-9F52-434786E3AF3E}"/>
            </c:ext>
          </c:extLst>
        </c:ser>
        <c:ser>
          <c:idx val="3"/>
          <c:order val="3"/>
          <c:tx>
            <c:strRef>
              <c:f>Visualisations!$Q$6</c:f>
              <c:strCache>
                <c:ptCount val="1"/>
                <c:pt idx="0">
                  <c:v>0 °C, 0 mA</c:v>
                </c:pt>
              </c:strCache>
            </c:strRef>
          </c:tx>
          <c:spPr>
            <a:ln w="19050" cap="rnd">
              <a:noFill/>
              <a:round/>
            </a:ln>
            <a:effectLst/>
          </c:spPr>
          <c:marker>
            <c:symbol val="circle"/>
            <c:size val="5"/>
            <c:spPr>
              <a:solidFill>
                <a:srgbClr val="FF65A7"/>
              </a:solidFill>
              <a:ln w="9525">
                <a:solidFill>
                  <a:srgbClr val="D50032"/>
                </a:solidFill>
              </a:ln>
              <a:effectLst/>
            </c:spPr>
          </c:marker>
          <c:xVal>
            <c:numRef>
              <c:f>Visualisations!$P$7:$P$18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xVal>
          <c:yVal>
            <c:numRef>
              <c:f>Visualisations!$Q$7:$Q$18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8-2B5A-476C-9F52-434786E3AF3E}"/>
            </c:ext>
          </c:extLst>
        </c:ser>
        <c:ser>
          <c:idx val="4"/>
          <c:order val="4"/>
          <c:tx>
            <c:strRef>
              <c:f>Visualisations!$K$20</c:f>
              <c:strCache>
                <c:ptCount val="1"/>
                <c:pt idx="0">
                  <c:v>0 °C, 0 mA projected</c:v>
                </c:pt>
              </c:strCache>
            </c:strRef>
          </c:tx>
          <c:spPr>
            <a:ln w="12700" cap="rnd">
              <a:solidFill>
                <a:srgbClr val="236192"/>
              </a:solidFill>
              <a:round/>
            </a:ln>
            <a:effectLst/>
          </c:spPr>
          <c:marker>
            <c:symbol val="none"/>
          </c:marker>
          <c:xVal>
            <c:strRef>
              <c:f>Visualisations!$J$21:$J$51</c:f>
              <c:strCache>
                <c:ptCount val="31"/>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#VALUE!</c:v>
                </c:pt>
                <c:pt idx="25">
                  <c:v>#VALUE!</c:v>
                </c:pt>
                <c:pt idx="26">
                  <c:v>#VALUE!</c:v>
                </c:pt>
                <c:pt idx="27">
                  <c:v>#VALUE!</c:v>
                </c:pt>
                <c:pt idx="28">
                  <c:v>#VALUE!</c:v>
                </c:pt>
                <c:pt idx="29">
                  <c:v>#VALUE!</c:v>
                </c:pt>
                <c:pt idx="30">
                  <c:v>#VALUE!</c:v>
                </c:pt>
              </c:strCache>
            </c:strRef>
          </c:xVal>
          <c:yVal>
            <c:numRef>
              <c:f>Visualisations!$K$21:$K$51</c:f>
              <c:numCache>
                <c:formatCode>0.000000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yVal>
          <c:smooth val="0"/>
          <c:extLst>
            <c:ext xmlns:c16="http://schemas.microsoft.com/office/drawing/2014/chart" uri="{C3380CC4-5D6E-409C-BE32-E72D297353CC}">
              <c16:uniqueId val="{00000009-2B5A-476C-9F52-434786E3AF3E}"/>
            </c:ext>
          </c:extLst>
        </c:ser>
        <c:ser>
          <c:idx val="5"/>
          <c:order val="5"/>
          <c:tx>
            <c:strRef>
              <c:f>Visualisations!$L$20</c:f>
              <c:strCache>
                <c:ptCount val="1"/>
                <c:pt idx="0">
                  <c:v>0 °C, 0 mA projected</c:v>
                </c:pt>
              </c:strCache>
            </c:strRef>
          </c:tx>
          <c:spPr>
            <a:ln w="12700" cap="rnd">
              <a:solidFill>
                <a:srgbClr val="4A947B"/>
              </a:solidFill>
              <a:round/>
            </a:ln>
            <a:effectLst/>
          </c:spPr>
          <c:marker>
            <c:symbol val="none"/>
          </c:marker>
          <c:xVal>
            <c:strRef>
              <c:f>Visualisations!$J$21:$J$51</c:f>
              <c:strCache>
                <c:ptCount val="31"/>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#VALUE!</c:v>
                </c:pt>
                <c:pt idx="25">
                  <c:v>#VALUE!</c:v>
                </c:pt>
                <c:pt idx="26">
                  <c:v>#VALUE!</c:v>
                </c:pt>
                <c:pt idx="27">
                  <c:v>#VALUE!</c:v>
                </c:pt>
                <c:pt idx="28">
                  <c:v>#VALUE!</c:v>
                </c:pt>
                <c:pt idx="29">
                  <c:v>#VALUE!</c:v>
                </c:pt>
                <c:pt idx="30">
                  <c:v>#VALUE!</c:v>
                </c:pt>
              </c:strCache>
            </c:strRef>
          </c:xVal>
          <c:yVal>
            <c:numRef>
              <c:f>Visualisations!$L$21:$L$51</c:f>
              <c:numCache>
                <c:formatCode>0.000000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yVal>
          <c:smooth val="0"/>
          <c:extLst>
            <c:ext xmlns:c16="http://schemas.microsoft.com/office/drawing/2014/chart" uri="{C3380CC4-5D6E-409C-BE32-E72D297353CC}">
              <c16:uniqueId val="{0000000A-2B5A-476C-9F52-434786E3AF3E}"/>
            </c:ext>
          </c:extLst>
        </c:ser>
        <c:ser>
          <c:idx val="6"/>
          <c:order val="6"/>
          <c:tx>
            <c:strRef>
              <c:f>Visualisations!$M$20</c:f>
              <c:strCache>
                <c:ptCount val="1"/>
                <c:pt idx="0">
                  <c:v>0 °C, 0 mA projected</c:v>
                </c:pt>
              </c:strCache>
            </c:strRef>
          </c:tx>
          <c:spPr>
            <a:ln w="12700" cap="rnd">
              <a:solidFill>
                <a:srgbClr val="ED8B00"/>
              </a:solidFill>
              <a:round/>
            </a:ln>
            <a:effectLst/>
          </c:spPr>
          <c:marker>
            <c:symbol val="none"/>
          </c:marker>
          <c:xVal>
            <c:strRef>
              <c:f>Visualisations!$J$21:$J$51</c:f>
              <c:strCache>
                <c:ptCount val="31"/>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#VALUE!</c:v>
                </c:pt>
                <c:pt idx="25">
                  <c:v>#VALUE!</c:v>
                </c:pt>
                <c:pt idx="26">
                  <c:v>#VALUE!</c:v>
                </c:pt>
                <c:pt idx="27">
                  <c:v>#VALUE!</c:v>
                </c:pt>
                <c:pt idx="28">
                  <c:v>#VALUE!</c:v>
                </c:pt>
                <c:pt idx="29">
                  <c:v>#VALUE!</c:v>
                </c:pt>
                <c:pt idx="30">
                  <c:v>#VALUE!</c:v>
                </c:pt>
              </c:strCache>
            </c:strRef>
          </c:xVal>
          <c:yVal>
            <c:numRef>
              <c:f>Visualisations!$M$21:$M$51</c:f>
              <c:numCache>
                <c:formatCode>0.000000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yVal>
          <c:smooth val="0"/>
          <c:extLst>
            <c:ext xmlns:c16="http://schemas.microsoft.com/office/drawing/2014/chart" uri="{C3380CC4-5D6E-409C-BE32-E72D297353CC}">
              <c16:uniqueId val="{0000000B-2B5A-476C-9F52-434786E3AF3E}"/>
            </c:ext>
          </c:extLst>
        </c:ser>
        <c:ser>
          <c:idx val="7"/>
          <c:order val="7"/>
          <c:tx>
            <c:strRef>
              <c:f>Visualisations!$N$20</c:f>
              <c:strCache>
                <c:ptCount val="1"/>
                <c:pt idx="0">
                  <c:v>0 °C, 0 mA projected</c:v>
                </c:pt>
              </c:strCache>
            </c:strRef>
          </c:tx>
          <c:spPr>
            <a:ln w="12700" cap="rnd">
              <a:solidFill>
                <a:srgbClr val="D50032"/>
              </a:solidFill>
              <a:round/>
            </a:ln>
            <a:effectLst/>
          </c:spPr>
          <c:marker>
            <c:symbol val="none"/>
          </c:marker>
          <c:xVal>
            <c:strRef>
              <c:f>Visualisations!$J$21:$J$51</c:f>
              <c:strCache>
                <c:ptCount val="31"/>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#VALUE!</c:v>
                </c:pt>
                <c:pt idx="25">
                  <c:v>#VALUE!</c:v>
                </c:pt>
                <c:pt idx="26">
                  <c:v>#VALUE!</c:v>
                </c:pt>
                <c:pt idx="27">
                  <c:v>#VALUE!</c:v>
                </c:pt>
                <c:pt idx="28">
                  <c:v>#VALUE!</c:v>
                </c:pt>
                <c:pt idx="29">
                  <c:v>#VALUE!</c:v>
                </c:pt>
                <c:pt idx="30">
                  <c:v>#VALUE!</c:v>
                </c:pt>
              </c:strCache>
            </c:strRef>
          </c:xVal>
          <c:yVal>
            <c:numRef>
              <c:f>Visualisations!$N$21:$N$51</c:f>
              <c:numCache>
                <c:formatCode>0.000000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yVal>
          <c:smooth val="0"/>
          <c:extLst>
            <c:ext xmlns:c16="http://schemas.microsoft.com/office/drawing/2014/chart" uri="{C3380CC4-5D6E-409C-BE32-E72D297353CC}">
              <c16:uniqueId val="{0000000C-2B5A-476C-9F52-434786E3AF3E}"/>
            </c:ext>
          </c:extLst>
        </c:ser>
        <c:ser>
          <c:idx val="8"/>
          <c:order val="8"/>
          <c:tx>
            <c:strRef>
              <c:f>Visualisations!$O$20</c:f>
              <c:strCache>
                <c:ptCount val="1"/>
                <c:pt idx="0">
                  <c:v>0 °C, 0 mA projected</c:v>
                </c:pt>
              </c:strCache>
            </c:strRef>
          </c:tx>
          <c:spPr>
            <a:ln w="15875" cap="rnd">
              <a:solidFill>
                <a:schemeClr val="tx1">
                  <a:lumMod val="65000"/>
                  <a:lumOff val="35000"/>
                </a:schemeClr>
              </a:solidFill>
              <a:prstDash val="lgDash"/>
              <a:round/>
            </a:ln>
            <a:effectLst/>
          </c:spPr>
          <c:marker>
            <c:symbol val="none"/>
          </c:marker>
          <c:xVal>
            <c:strRef>
              <c:f>Visualisations!$J$21:$J$51</c:f>
              <c:strCache>
                <c:ptCount val="31"/>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#VALUE!</c:v>
                </c:pt>
                <c:pt idx="25">
                  <c:v>#VALUE!</c:v>
                </c:pt>
                <c:pt idx="26">
                  <c:v>#VALUE!</c:v>
                </c:pt>
                <c:pt idx="27">
                  <c:v>#VALUE!</c:v>
                </c:pt>
                <c:pt idx="28">
                  <c:v>#VALUE!</c:v>
                </c:pt>
                <c:pt idx="29">
                  <c:v>#VALUE!</c:v>
                </c:pt>
                <c:pt idx="30">
                  <c:v>#VALUE!</c:v>
                </c:pt>
              </c:strCache>
            </c:strRef>
          </c:xVal>
          <c:yVal>
            <c:numRef>
              <c:f>Visualisations!$O$21:$O$51</c:f>
              <c:numCache>
                <c:formatCode>0.000000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yVal>
          <c:smooth val="0"/>
          <c:extLst>
            <c:ext xmlns:c16="http://schemas.microsoft.com/office/drawing/2014/chart" uri="{C3380CC4-5D6E-409C-BE32-E72D297353CC}">
              <c16:uniqueId val="{0000000D-2B5A-476C-9F52-434786E3AF3E}"/>
            </c:ext>
          </c:extLst>
        </c:ser>
        <c:ser>
          <c:idx val="9"/>
          <c:order val="9"/>
          <c:tx>
            <c:v>max projection time</c:v>
          </c:tx>
          <c:spPr>
            <a:ln w="15875" cap="rnd">
              <a:solidFill>
                <a:schemeClr val="bg1">
                  <a:lumMod val="50000"/>
                </a:schemeClr>
              </a:solidFill>
              <a:prstDash val="sysDot"/>
              <a:round/>
            </a:ln>
            <a:effectLst/>
          </c:spPr>
          <c:marker>
            <c:symbol val="none"/>
          </c:marker>
          <c:xVal>
            <c:numRef>
              <c:f>'hidden sheet 1'!$AJ$7:$AJ$8</c:f>
              <c:numCache>
                <c:formatCode>General</c:formatCode>
                <c:ptCount val="2"/>
                <c:pt idx="0">
                  <c:v>0</c:v>
                </c:pt>
                <c:pt idx="1">
                  <c:v>0</c:v>
                </c:pt>
              </c:numCache>
            </c:numRef>
          </c:xVal>
          <c:yVal>
            <c:numRef>
              <c:f>'hidden sheet 1'!$AK$7:$AK$8</c:f>
              <c:numCache>
                <c:formatCode>General</c:formatCode>
                <c:ptCount val="2"/>
                <c:pt idx="0">
                  <c:v>0</c:v>
                </c:pt>
                <c:pt idx="1">
                  <c:v>1</c:v>
                </c:pt>
              </c:numCache>
            </c:numRef>
          </c:yVal>
          <c:smooth val="0"/>
          <c:extLst>
            <c:ext xmlns:c16="http://schemas.microsoft.com/office/drawing/2014/chart" uri="{C3380CC4-5D6E-409C-BE32-E72D297353CC}">
              <c16:uniqueId val="{00000001-6EC5-4D8A-82B5-C417DE1CF76A}"/>
            </c:ext>
          </c:extLst>
        </c:ser>
        <c:ser>
          <c:idx val="10"/>
          <c:order val="10"/>
          <c:tx>
            <c:v>LM %</c:v>
          </c:tx>
          <c:spPr>
            <a:ln w="15875" cap="rnd">
              <a:solidFill>
                <a:schemeClr val="bg1">
                  <a:lumMod val="65000"/>
                </a:schemeClr>
              </a:solidFill>
              <a:prstDash val="solid"/>
              <a:round/>
            </a:ln>
            <a:effectLst/>
          </c:spPr>
          <c:marker>
            <c:symbol val="none"/>
          </c:marker>
          <c:xVal>
            <c:numRef>
              <c:f>'hidden sheet 1'!$AJ$13:$AJ$14</c:f>
              <c:numCache>
                <c:formatCode>General</c:formatCode>
                <c:ptCount val="2"/>
                <c:pt idx="0">
                  <c:v>0</c:v>
                </c:pt>
                <c:pt idx="1">
                  <c:v>0</c:v>
                </c:pt>
              </c:numCache>
            </c:numRef>
          </c:xVal>
          <c:yVal>
            <c:numRef>
              <c:f>'hidden sheet 1'!$AK$13:$AK$14</c:f>
              <c:numCache>
                <c:formatCode>General</c:formatCode>
                <c:ptCount val="2"/>
                <c:pt idx="0">
                  <c:v>0</c:v>
                </c:pt>
                <c:pt idx="1">
                  <c:v>0</c:v>
                </c:pt>
              </c:numCache>
            </c:numRef>
          </c:yVal>
          <c:smooth val="0"/>
          <c:extLst>
            <c:ext xmlns:c16="http://schemas.microsoft.com/office/drawing/2014/chart" uri="{C3380CC4-5D6E-409C-BE32-E72D297353CC}">
              <c16:uniqueId val="{00000002-6EC5-4D8A-82B5-C417DE1CF76A}"/>
            </c:ext>
          </c:extLst>
        </c:ser>
        <c:dLbls>
          <c:showLegendKey val="0"/>
          <c:showVal val="0"/>
          <c:showCatName val="0"/>
          <c:showSerName val="0"/>
          <c:showPercent val="0"/>
          <c:showBubbleSize val="0"/>
        </c:dLbls>
        <c:axId val="1735453343"/>
        <c:axId val="1735447519"/>
      </c:scatterChart>
      <c:valAx>
        <c:axId val="173545334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latin typeface="Arial" panose="020B0604020202020204" pitchFamily="34" charset="0"/>
                    <a:cs typeface="Arial" panose="020B0604020202020204" pitchFamily="34" charset="0"/>
                  </a:rPr>
                  <a:t>Time (h)</a:t>
                </a:r>
              </a:p>
            </c:rich>
          </c:tx>
          <c:layout>
            <c:manualLayout>
              <c:xMode val="edge"/>
              <c:yMode val="edge"/>
              <c:x val="0.47995476676060922"/>
              <c:y val="0.9467423940845798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735447519"/>
        <c:crosses val="autoZero"/>
        <c:crossBetween val="midCat"/>
      </c:valAx>
      <c:valAx>
        <c:axId val="1735447519"/>
        <c:scaling>
          <c:orientation val="minMax"/>
          <c:max val="1"/>
          <c:min val="0.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latin typeface="Arial" panose="020B0604020202020204" pitchFamily="34" charset="0"/>
                    <a:cs typeface="Arial" panose="020B0604020202020204" pitchFamily="34" charset="0"/>
                  </a:rPr>
                  <a:t>Lumen Maintenance</a:t>
                </a:r>
              </a:p>
            </c:rich>
          </c:tx>
          <c:layout>
            <c:manualLayout>
              <c:xMode val="edge"/>
              <c:yMode val="edge"/>
              <c:x val="1.7027058541404034E-2"/>
              <c:y val="0.4423208137435611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735453343"/>
        <c:crosses val="autoZero"/>
        <c:crossBetween val="midCat"/>
      </c:valAx>
      <c:spPr>
        <a:solidFill>
          <a:schemeClr val="bg1">
            <a:lumMod val="95000"/>
          </a:schemeClr>
        </a:solidFill>
        <a:ln>
          <a:solidFill>
            <a:schemeClr val="tx1"/>
          </a:solidFill>
        </a:ln>
        <a:effectLst/>
      </c:spPr>
    </c:plotArea>
    <c:legend>
      <c:legendPos val="b"/>
      <c:layout>
        <c:manualLayout>
          <c:xMode val="edge"/>
          <c:yMode val="edge"/>
          <c:x val="8.15226428518738E-2"/>
          <c:y val="0.53904065744197061"/>
          <c:w val="0.20726360056287865"/>
          <c:h val="0.35687654408874608"/>
        </c:manualLayout>
      </c:layout>
      <c:overlay val="0"/>
      <c:spPr>
        <a:solidFill>
          <a:schemeClr val="bg1"/>
        </a:solidFill>
        <a:ln>
          <a:solidFill>
            <a:schemeClr val="tx1"/>
          </a:solid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span"/>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114301</xdr:colOff>
      <xdr:row>0</xdr:row>
      <xdr:rowOff>0</xdr:rowOff>
    </xdr:from>
    <xdr:to>
      <xdr:col>4</xdr:col>
      <xdr:colOff>9526</xdr:colOff>
      <xdr:row>1</xdr:row>
      <xdr:rowOff>48588</xdr:rowOff>
    </xdr:to>
    <xdr:pic>
      <xdr:nvPicPr>
        <xdr:cNvPr id="3" name="Picture 2">
          <a:extLst>
            <a:ext uri="{FF2B5EF4-FFF2-40B4-BE49-F238E27FC236}">
              <a16:creationId xmlns:a16="http://schemas.microsoft.com/office/drawing/2014/main" id="{2BB6F27B-0DD7-4C30-B19F-3309C38ECB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1" y="66676"/>
          <a:ext cx="3181350" cy="12868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xdr:colOff>
      <xdr:row>23</xdr:row>
      <xdr:rowOff>19491</xdr:rowOff>
    </xdr:from>
    <xdr:to>
      <xdr:col>7</xdr:col>
      <xdr:colOff>5862</xdr:colOff>
      <xdr:row>37</xdr:row>
      <xdr:rowOff>140804</xdr:rowOff>
    </xdr:to>
    <xdr:graphicFrame macro="">
      <xdr:nvGraphicFramePr>
        <xdr:cNvPr id="3" name="Chart 2">
          <a:extLst>
            <a:ext uri="{FF2B5EF4-FFF2-40B4-BE49-F238E27FC236}">
              <a16:creationId xmlns:a16="http://schemas.microsoft.com/office/drawing/2014/main" id="{2527E58C-90B9-4C44-8491-10D258EF3E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4</xdr:row>
      <xdr:rowOff>26892</xdr:rowOff>
    </xdr:from>
    <xdr:to>
      <xdr:col>7</xdr:col>
      <xdr:colOff>1095375</xdr:colOff>
      <xdr:row>49</xdr:row>
      <xdr:rowOff>22412</xdr:rowOff>
    </xdr:to>
    <xdr:graphicFrame macro="">
      <xdr:nvGraphicFramePr>
        <xdr:cNvPr id="2" name="Chart 1">
          <a:extLst>
            <a:ext uri="{FF2B5EF4-FFF2-40B4-BE49-F238E27FC236}">
              <a16:creationId xmlns:a16="http://schemas.microsoft.com/office/drawing/2014/main" id="{7C5C29B7-999A-40FC-B30B-7D71F0C4D7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2ED17-706B-4F8D-867E-F2811B8F6289}">
  <sheetPr codeName="Sheet1">
    <pageSetUpPr fitToPage="1"/>
  </sheetPr>
  <dimension ref="B1:N60"/>
  <sheetViews>
    <sheetView tabSelected="1" zoomScaleNormal="100" workbookViewId="0">
      <selection activeCell="G1" sqref="G1"/>
    </sheetView>
  </sheetViews>
  <sheetFormatPr defaultRowHeight="15" x14ac:dyDescent="0.25"/>
  <cols>
    <col min="1" max="1" width="7.140625" style="28" customWidth="1"/>
    <col min="2" max="2" width="26.42578125" style="241" customWidth="1"/>
    <col min="3" max="14" width="11.42578125" style="241" customWidth="1"/>
    <col min="15" max="16384" width="9.140625" style="28"/>
  </cols>
  <sheetData>
    <row r="1" spans="2:14" ht="97.5" customHeight="1" x14ac:dyDescent="0.25"/>
    <row r="2" spans="2:14" ht="29.25" customHeight="1" x14ac:dyDescent="0.25">
      <c r="B2" s="246" t="s">
        <v>166</v>
      </c>
    </row>
    <row r="3" spans="2:14" ht="44.25" customHeight="1" x14ac:dyDescent="0.45">
      <c r="B3" s="247" t="s">
        <v>222</v>
      </c>
    </row>
    <row r="5" spans="2:14" ht="188.25" customHeight="1" x14ac:dyDescent="0.25">
      <c r="B5" s="384" t="s">
        <v>94</v>
      </c>
      <c r="C5" s="396" t="s">
        <v>224</v>
      </c>
      <c r="D5" s="396"/>
      <c r="E5" s="396"/>
      <c r="F5" s="396"/>
      <c r="G5" s="396"/>
      <c r="H5" s="396"/>
      <c r="I5" s="396"/>
      <c r="J5" s="396"/>
      <c r="K5" s="396"/>
      <c r="L5" s="396"/>
      <c r="M5" s="396"/>
      <c r="N5" s="396"/>
    </row>
    <row r="6" spans="2:14" ht="353.25" customHeight="1" x14ac:dyDescent="0.25">
      <c r="B6" s="384" t="s">
        <v>92</v>
      </c>
      <c r="C6" s="396" t="s">
        <v>223</v>
      </c>
      <c r="D6" s="396"/>
      <c r="E6" s="396"/>
      <c r="F6" s="396"/>
      <c r="G6" s="396"/>
      <c r="H6" s="396"/>
      <c r="I6" s="396"/>
      <c r="J6" s="396"/>
      <c r="K6" s="396"/>
      <c r="L6" s="396"/>
      <c r="M6" s="396"/>
      <c r="N6" s="396"/>
    </row>
    <row r="7" spans="2:14" ht="60" customHeight="1" x14ac:dyDescent="0.25">
      <c r="B7" s="384" t="s">
        <v>95</v>
      </c>
      <c r="C7" s="396" t="s">
        <v>225</v>
      </c>
      <c r="D7" s="396"/>
      <c r="E7" s="396"/>
      <c r="F7" s="396"/>
      <c r="G7" s="396"/>
      <c r="H7" s="396"/>
      <c r="I7" s="396"/>
      <c r="J7" s="396"/>
      <c r="K7" s="396"/>
      <c r="L7" s="396"/>
      <c r="M7" s="396"/>
      <c r="N7" s="396"/>
    </row>
    <row r="8" spans="2:14" ht="45.75" customHeight="1" x14ac:dyDescent="0.25">
      <c r="B8" s="385" t="s">
        <v>90</v>
      </c>
      <c r="C8" s="396" t="s">
        <v>226</v>
      </c>
      <c r="D8" s="396"/>
      <c r="E8" s="396"/>
      <c r="F8" s="396"/>
      <c r="G8" s="396"/>
      <c r="H8" s="396"/>
      <c r="I8" s="396"/>
      <c r="J8" s="396"/>
      <c r="K8" s="396"/>
      <c r="L8" s="396"/>
      <c r="M8" s="396"/>
      <c r="N8" s="396"/>
    </row>
    <row r="10" spans="2:14" ht="25.5" x14ac:dyDescent="0.35">
      <c r="B10" s="248" t="s">
        <v>91</v>
      </c>
    </row>
    <row r="11" spans="2:14" x14ac:dyDescent="0.25">
      <c r="B11" s="242"/>
    </row>
    <row r="12" spans="2:14" ht="18" x14ac:dyDescent="0.25">
      <c r="B12" s="249" t="s">
        <v>117</v>
      </c>
    </row>
    <row r="13" spans="2:14" x14ac:dyDescent="0.25">
      <c r="B13" s="395" t="s">
        <v>227</v>
      </c>
    </row>
    <row r="14" spans="2:14" x14ac:dyDescent="0.25">
      <c r="B14" s="242"/>
      <c r="D14" s="252" t="s">
        <v>169</v>
      </c>
      <c r="E14" s="383"/>
    </row>
    <row r="15" spans="2:14" x14ac:dyDescent="0.25">
      <c r="B15" s="242"/>
    </row>
    <row r="16" spans="2:14" ht="18" x14ac:dyDescent="0.25">
      <c r="B16" s="249" t="s">
        <v>88</v>
      </c>
    </row>
    <row r="17" spans="2:14" x14ac:dyDescent="0.25">
      <c r="B17" s="395" t="s">
        <v>228</v>
      </c>
    </row>
    <row r="18" spans="2:14" x14ac:dyDescent="0.25">
      <c r="D18" s="252" t="s">
        <v>170</v>
      </c>
      <c r="E18" s="253"/>
    </row>
    <row r="19" spans="2:14" x14ac:dyDescent="0.25">
      <c r="C19" s="243"/>
      <c r="D19" s="244"/>
    </row>
    <row r="20" spans="2:14" ht="18" x14ac:dyDescent="0.25">
      <c r="B20" s="249" t="s">
        <v>89</v>
      </c>
    </row>
    <row r="21" spans="2:14" x14ac:dyDescent="0.25">
      <c r="B21" s="395" t="s">
        <v>221</v>
      </c>
    </row>
    <row r="22" spans="2:14" x14ac:dyDescent="0.25">
      <c r="D22" s="252" t="s">
        <v>171</v>
      </c>
      <c r="E22" s="255"/>
    </row>
    <row r="24" spans="2:14" ht="18" x14ac:dyDescent="0.25">
      <c r="B24" s="245" t="s">
        <v>233</v>
      </c>
    </row>
    <row r="26" spans="2:14" ht="125.25" customHeight="1" x14ac:dyDescent="0.25">
      <c r="B26" s="250" t="s">
        <v>111</v>
      </c>
      <c r="C26" s="408" t="s">
        <v>236</v>
      </c>
      <c r="D26" s="409"/>
      <c r="E26" s="409"/>
      <c r="F26" s="409"/>
      <c r="G26" s="409"/>
      <c r="H26" s="409"/>
      <c r="I26" s="409"/>
      <c r="J26" s="409"/>
      <c r="K26" s="409"/>
      <c r="L26" s="409"/>
      <c r="M26" s="409"/>
      <c r="N26" s="409"/>
    </row>
    <row r="27" spans="2:14" x14ac:dyDescent="0.25">
      <c r="B27" s="401" t="s">
        <v>3</v>
      </c>
      <c r="C27" s="401"/>
      <c r="D27" s="401"/>
      <c r="E27" s="401"/>
      <c r="F27" s="401"/>
      <c r="G27" s="401"/>
      <c r="H27" s="401"/>
      <c r="I27" s="401"/>
      <c r="J27" s="401"/>
      <c r="K27" s="401"/>
      <c r="L27" s="401"/>
      <c r="M27" s="401"/>
      <c r="N27" s="401"/>
    </row>
    <row r="28" spans="2:14" ht="30" customHeight="1" x14ac:dyDescent="0.25">
      <c r="B28" s="384" t="s">
        <v>0</v>
      </c>
      <c r="C28" s="402" t="s">
        <v>229</v>
      </c>
      <c r="D28" s="403"/>
      <c r="E28" s="403"/>
      <c r="F28" s="403"/>
      <c r="G28" s="403"/>
      <c r="H28" s="403"/>
      <c r="I28" s="403"/>
      <c r="J28" s="403"/>
      <c r="K28" s="403"/>
      <c r="L28" s="403"/>
      <c r="M28" s="403"/>
      <c r="N28" s="404"/>
    </row>
    <row r="29" spans="2:14" ht="44.25" customHeight="1" x14ac:dyDescent="0.25">
      <c r="B29" s="384" t="s">
        <v>1</v>
      </c>
      <c r="C29" s="399" t="s">
        <v>230</v>
      </c>
      <c r="D29" s="400"/>
      <c r="E29" s="400"/>
      <c r="F29" s="400"/>
      <c r="G29" s="400"/>
      <c r="H29" s="400"/>
      <c r="I29" s="400"/>
      <c r="J29" s="400"/>
      <c r="K29" s="400"/>
      <c r="L29" s="400"/>
      <c r="M29" s="400"/>
      <c r="N29" s="400"/>
    </row>
    <row r="30" spans="2:14" x14ac:dyDescent="0.25">
      <c r="B30" s="401" t="s">
        <v>8</v>
      </c>
      <c r="C30" s="401"/>
      <c r="D30" s="401"/>
      <c r="E30" s="401"/>
      <c r="F30" s="401"/>
      <c r="G30" s="401"/>
      <c r="H30" s="401"/>
      <c r="I30" s="401"/>
      <c r="J30" s="401"/>
      <c r="K30" s="401"/>
      <c r="L30" s="401"/>
      <c r="M30" s="401"/>
      <c r="N30" s="401"/>
    </row>
    <row r="31" spans="2:14" ht="87.75" customHeight="1" x14ac:dyDescent="0.25">
      <c r="B31" s="384" t="s">
        <v>148</v>
      </c>
      <c r="C31" s="412" t="s">
        <v>234</v>
      </c>
      <c r="D31" s="407"/>
      <c r="E31" s="407"/>
      <c r="F31" s="407"/>
      <c r="G31" s="407"/>
      <c r="H31" s="407"/>
      <c r="I31" s="407"/>
      <c r="J31" s="407"/>
      <c r="K31" s="407"/>
      <c r="L31" s="407"/>
      <c r="M31" s="407"/>
      <c r="N31" s="407"/>
    </row>
    <row r="32" spans="2:14" ht="93.75" customHeight="1" x14ac:dyDescent="0.25">
      <c r="B32" s="384" t="s">
        <v>81</v>
      </c>
      <c r="C32" s="405" t="s">
        <v>235</v>
      </c>
      <c r="D32" s="406"/>
      <c r="E32" s="406"/>
      <c r="F32" s="406"/>
      <c r="G32" s="406"/>
      <c r="H32" s="406"/>
      <c r="I32" s="406"/>
      <c r="J32" s="406"/>
      <c r="K32" s="406"/>
      <c r="L32" s="406"/>
      <c r="M32" s="406"/>
      <c r="N32" s="406"/>
    </row>
    <row r="33" spans="2:14" ht="120" customHeight="1" x14ac:dyDescent="0.25">
      <c r="B33" s="384" t="s">
        <v>167</v>
      </c>
      <c r="C33" s="407" t="s">
        <v>237</v>
      </c>
      <c r="D33" s="406"/>
      <c r="E33" s="406"/>
      <c r="F33" s="406"/>
      <c r="G33" s="406"/>
      <c r="H33" s="406"/>
      <c r="I33" s="406"/>
      <c r="J33" s="406"/>
      <c r="K33" s="406"/>
      <c r="L33" s="406"/>
      <c r="M33" s="406"/>
      <c r="N33" s="406"/>
    </row>
    <row r="34" spans="2:14" ht="117.75" customHeight="1" x14ac:dyDescent="0.25">
      <c r="B34" s="384" t="s">
        <v>9</v>
      </c>
      <c r="C34" s="407" t="s">
        <v>238</v>
      </c>
      <c r="D34" s="406"/>
      <c r="E34" s="406"/>
      <c r="F34" s="406"/>
      <c r="G34" s="406"/>
      <c r="H34" s="406"/>
      <c r="I34" s="406"/>
      <c r="J34" s="406"/>
      <c r="K34" s="406"/>
      <c r="L34" s="406"/>
      <c r="M34" s="406"/>
      <c r="N34" s="406"/>
    </row>
    <row r="35" spans="2:14" x14ac:dyDescent="0.25">
      <c r="B35" s="401" t="s">
        <v>93</v>
      </c>
      <c r="C35" s="401"/>
      <c r="D35" s="401"/>
      <c r="E35" s="401"/>
      <c r="F35" s="401"/>
      <c r="G35" s="401"/>
      <c r="H35" s="401"/>
      <c r="I35" s="401"/>
      <c r="J35" s="401"/>
      <c r="K35" s="401"/>
      <c r="L35" s="401"/>
      <c r="M35" s="401"/>
      <c r="N35" s="401"/>
    </row>
    <row r="36" spans="2:14" ht="42" customHeight="1" x14ac:dyDescent="0.25">
      <c r="B36" s="384" t="s">
        <v>142</v>
      </c>
      <c r="C36" s="410" t="s">
        <v>232</v>
      </c>
      <c r="D36" s="411"/>
      <c r="E36" s="411"/>
      <c r="F36" s="411"/>
      <c r="G36" s="411"/>
      <c r="H36" s="411"/>
      <c r="I36" s="411"/>
      <c r="J36" s="411"/>
      <c r="K36" s="411"/>
      <c r="L36" s="411"/>
      <c r="M36" s="411"/>
      <c r="N36" s="411"/>
    </row>
    <row r="37" spans="2:14" ht="74.25" customHeight="1" x14ac:dyDescent="0.25">
      <c r="B37" s="384" t="s">
        <v>147</v>
      </c>
      <c r="C37" s="397" t="s">
        <v>239</v>
      </c>
      <c r="D37" s="398"/>
      <c r="E37" s="398"/>
      <c r="F37" s="398"/>
      <c r="G37" s="398"/>
      <c r="H37" s="398"/>
      <c r="I37" s="398"/>
      <c r="J37" s="398"/>
      <c r="K37" s="398"/>
      <c r="L37" s="398"/>
      <c r="M37" s="398"/>
      <c r="N37" s="398"/>
    </row>
    <row r="38" spans="2:14" ht="42" customHeight="1" x14ac:dyDescent="0.25">
      <c r="B38" s="384" t="s">
        <v>16</v>
      </c>
      <c r="C38" s="397" t="s">
        <v>231</v>
      </c>
      <c r="D38" s="398"/>
      <c r="E38" s="398"/>
      <c r="F38" s="398"/>
      <c r="G38" s="398"/>
      <c r="H38" s="398"/>
      <c r="I38" s="398"/>
      <c r="J38" s="398"/>
      <c r="K38" s="398"/>
      <c r="L38" s="398"/>
      <c r="M38" s="398"/>
      <c r="N38" s="398"/>
    </row>
    <row r="39" spans="2:14" ht="88.5" customHeight="1" x14ac:dyDescent="0.25">
      <c r="B39" s="384" t="s">
        <v>15</v>
      </c>
      <c r="C39" s="412" t="s">
        <v>240</v>
      </c>
      <c r="D39" s="412"/>
      <c r="E39" s="412"/>
      <c r="F39" s="412"/>
      <c r="G39" s="412"/>
      <c r="H39" s="412"/>
      <c r="I39" s="412"/>
      <c r="J39" s="412"/>
      <c r="K39" s="412"/>
      <c r="L39" s="412"/>
      <c r="M39" s="412"/>
      <c r="N39" s="412"/>
    </row>
    <row r="40" spans="2:14" ht="147" customHeight="1" x14ac:dyDescent="0.25">
      <c r="B40" s="384" t="s">
        <v>87</v>
      </c>
      <c r="C40" s="407" t="s">
        <v>241</v>
      </c>
      <c r="D40" s="407"/>
      <c r="E40" s="407"/>
      <c r="F40" s="407"/>
      <c r="G40" s="407"/>
      <c r="H40" s="407"/>
      <c r="I40" s="407"/>
      <c r="J40" s="407"/>
      <c r="K40" s="407"/>
      <c r="L40" s="407"/>
      <c r="M40" s="407"/>
      <c r="N40" s="407"/>
    </row>
    <row r="41" spans="2:14" ht="133.5" customHeight="1" x14ac:dyDescent="0.25">
      <c r="B41" s="384" t="s">
        <v>4</v>
      </c>
      <c r="C41" s="397" t="s">
        <v>246</v>
      </c>
      <c r="D41" s="397"/>
      <c r="E41" s="397"/>
      <c r="F41" s="397"/>
      <c r="G41" s="397"/>
      <c r="H41" s="397"/>
      <c r="I41" s="397"/>
      <c r="J41" s="397"/>
      <c r="K41" s="397"/>
      <c r="L41" s="397"/>
      <c r="M41" s="397"/>
      <c r="N41" s="397"/>
    </row>
    <row r="42" spans="2:14" ht="89.25" customHeight="1" x14ac:dyDescent="0.25">
      <c r="B42" s="251" t="s">
        <v>86</v>
      </c>
      <c r="C42" s="405" t="s">
        <v>242</v>
      </c>
      <c r="D42" s="414"/>
      <c r="E42" s="414"/>
      <c r="F42" s="414"/>
      <c r="G42" s="414"/>
      <c r="H42" s="414"/>
      <c r="I42" s="414"/>
      <c r="J42" s="414"/>
      <c r="K42" s="414"/>
      <c r="L42" s="414"/>
      <c r="M42" s="414"/>
      <c r="N42" s="414"/>
    </row>
    <row r="43" spans="2:14" ht="63" customHeight="1" x14ac:dyDescent="0.25">
      <c r="B43" s="251" t="s">
        <v>144</v>
      </c>
      <c r="C43" s="397" t="s">
        <v>243</v>
      </c>
      <c r="D43" s="414"/>
      <c r="E43" s="414"/>
      <c r="F43" s="414"/>
      <c r="G43" s="414"/>
      <c r="H43" s="414"/>
      <c r="I43" s="414"/>
      <c r="J43" s="414"/>
      <c r="K43" s="414"/>
      <c r="L43" s="414"/>
      <c r="M43" s="414"/>
      <c r="N43" s="414"/>
    </row>
    <row r="46" spans="2:14" ht="25.5" x14ac:dyDescent="0.35">
      <c r="B46" s="248" t="s">
        <v>140</v>
      </c>
    </row>
    <row r="48" spans="2:14" ht="30" customHeight="1" x14ac:dyDescent="0.25">
      <c r="B48" s="413" t="s">
        <v>146</v>
      </c>
      <c r="C48" s="413"/>
      <c r="D48" s="413"/>
      <c r="E48" s="413"/>
      <c r="F48" s="413"/>
      <c r="G48" s="413"/>
      <c r="H48" s="413"/>
      <c r="I48" s="413"/>
      <c r="J48" s="413"/>
      <c r="K48" s="413"/>
      <c r="L48" s="413"/>
      <c r="M48" s="413"/>
      <c r="N48" s="413"/>
    </row>
    <row r="49" spans="2:14" x14ac:dyDescent="0.25">
      <c r="B49" s="394"/>
      <c r="C49" s="394"/>
      <c r="D49" s="394"/>
      <c r="E49" s="394"/>
      <c r="F49" s="394"/>
      <c r="G49" s="394"/>
      <c r="H49" s="394"/>
      <c r="I49" s="394"/>
      <c r="J49" s="394"/>
      <c r="K49" s="394"/>
      <c r="L49" s="394"/>
      <c r="M49" s="394"/>
      <c r="N49" s="394"/>
    </row>
    <row r="50" spans="2:14" x14ac:dyDescent="0.25">
      <c r="B50" s="241" t="s">
        <v>141</v>
      </c>
    </row>
    <row r="52" spans="2:14" x14ac:dyDescent="0.25">
      <c r="B52" s="413" t="s">
        <v>168</v>
      </c>
      <c r="C52" s="413"/>
      <c r="D52" s="413"/>
      <c r="E52" s="413"/>
      <c r="F52" s="413"/>
      <c r="G52" s="413"/>
      <c r="H52" s="413"/>
      <c r="I52" s="413"/>
      <c r="J52" s="413"/>
      <c r="K52" s="413"/>
      <c r="L52" s="413"/>
      <c r="M52" s="413"/>
      <c r="N52" s="413"/>
    </row>
    <row r="53" spans="2:14" x14ac:dyDescent="0.25">
      <c r="B53" s="413"/>
      <c r="C53" s="413"/>
      <c r="D53" s="413"/>
      <c r="E53" s="413"/>
      <c r="F53" s="413"/>
      <c r="G53" s="413"/>
      <c r="H53" s="413"/>
      <c r="I53" s="413"/>
      <c r="J53" s="413"/>
      <c r="K53" s="413"/>
      <c r="L53" s="413"/>
      <c r="M53" s="413"/>
      <c r="N53" s="413"/>
    </row>
    <row r="55" spans="2:14" ht="25.5" x14ac:dyDescent="0.35">
      <c r="B55" s="248" t="s">
        <v>139</v>
      </c>
    </row>
    <row r="57" spans="2:14" x14ac:dyDescent="0.25">
      <c r="B57" s="395" t="s">
        <v>244</v>
      </c>
    </row>
    <row r="58" spans="2:14" x14ac:dyDescent="0.25">
      <c r="B58" s="241" t="s">
        <v>245</v>
      </c>
    </row>
    <row r="60" spans="2:14" x14ac:dyDescent="0.25">
      <c r="B60" s="340" t="s">
        <v>247</v>
      </c>
    </row>
  </sheetData>
  <sheetProtection algorithmName="SHA-512" hashValue="TvizqlYTB1cPNDRaIhXvaAHhKRHYU2ZFMBzajnbzT/Uhfyr9o4Fi48kDizsteSKy3kGluVf8wq+nFKMHBBBzKA==" saltValue="50ZrlcK2waNJJEJMNUMVIg==" spinCount="100000" sheet="1" selectLockedCells="1"/>
  <mergeCells count="24">
    <mergeCell ref="B35:N35"/>
    <mergeCell ref="C40:N40"/>
    <mergeCell ref="B52:N53"/>
    <mergeCell ref="B48:N48"/>
    <mergeCell ref="C39:N39"/>
    <mergeCell ref="C41:N41"/>
    <mergeCell ref="C42:N42"/>
    <mergeCell ref="C43:N43"/>
    <mergeCell ref="C5:N5"/>
    <mergeCell ref="C8:N8"/>
    <mergeCell ref="C6:N6"/>
    <mergeCell ref="C7:N7"/>
    <mergeCell ref="C38:N38"/>
    <mergeCell ref="C29:N29"/>
    <mergeCell ref="B27:N27"/>
    <mergeCell ref="C28:N28"/>
    <mergeCell ref="B30:N30"/>
    <mergeCell ref="C32:N32"/>
    <mergeCell ref="C33:N33"/>
    <mergeCell ref="C34:N34"/>
    <mergeCell ref="C26:N26"/>
    <mergeCell ref="C36:N36"/>
    <mergeCell ref="C31:N31"/>
    <mergeCell ref="C37:N37"/>
  </mergeCells>
  <pageMargins left="0.7" right="0.7" top="0.75" bottom="0.75" header="0.3" footer="0.3"/>
  <pageSetup paperSize="9" scale="51" fitToHeight="0" orientation="portrait" horizontalDpi="4294967293"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354D2-BCD3-4D47-9B20-55E122790115}">
  <sheetPr codeName="Sheet2"/>
  <dimension ref="A1:AA50"/>
  <sheetViews>
    <sheetView zoomScale="130" zoomScaleNormal="130" workbookViewId="0">
      <selection activeCell="D6" sqref="D6:G8"/>
    </sheetView>
  </sheetViews>
  <sheetFormatPr defaultRowHeight="15" x14ac:dyDescent="0.25"/>
  <cols>
    <col min="1" max="1" width="1.42578125" style="268" customWidth="1"/>
    <col min="2" max="2" width="2.85546875" style="268" customWidth="1"/>
    <col min="3" max="3" width="20.42578125" style="268" bestFit="1" customWidth="1"/>
    <col min="4" max="4" width="19.85546875" style="268" customWidth="1"/>
    <col min="5" max="5" width="11" style="268" customWidth="1"/>
    <col min="6" max="6" width="8" style="268" customWidth="1"/>
    <col min="7" max="7" width="16.140625" style="268" customWidth="1"/>
    <col min="8" max="8" width="6.28515625" style="268" customWidth="1"/>
    <col min="9" max="10" width="1.42578125" style="268" customWidth="1"/>
    <col min="11" max="11" width="2.28515625" style="268" customWidth="1"/>
    <col min="12" max="12" width="22.5703125" style="268" customWidth="1"/>
    <col min="13" max="13" width="16.28515625" style="268" customWidth="1"/>
    <col min="14" max="14" width="2.28515625" style="268" customWidth="1"/>
    <col min="15" max="15" width="22.5703125" style="268" customWidth="1"/>
    <col min="16" max="16" width="16.28515625" style="268" customWidth="1"/>
    <col min="17" max="17" width="2.28515625" style="268" customWidth="1"/>
    <col min="18" max="19" width="1.42578125" customWidth="1"/>
    <col min="20" max="20" width="2.28515625" customWidth="1"/>
    <col min="21" max="21" width="22.5703125" customWidth="1"/>
    <col min="22" max="22" width="16.28515625" customWidth="1"/>
    <col min="23" max="23" width="2.28515625" customWidth="1"/>
    <col min="24" max="24" width="22.5703125" customWidth="1"/>
    <col min="25" max="25" width="16.28515625" customWidth="1"/>
    <col min="26" max="26" width="2.28515625" customWidth="1"/>
    <col min="27" max="27" width="1.42578125" customWidth="1"/>
  </cols>
  <sheetData>
    <row r="1" spans="1:27" ht="15" customHeight="1" thickBot="1" x14ac:dyDescent="0.3">
      <c r="B1" s="269"/>
      <c r="C1" s="431"/>
      <c r="D1" s="431"/>
      <c r="E1" s="431"/>
      <c r="F1" s="431"/>
      <c r="G1" s="431"/>
      <c r="H1" s="269"/>
      <c r="I1" s="269"/>
      <c r="J1" s="269"/>
      <c r="K1" s="270"/>
      <c r="L1" s="270"/>
      <c r="M1" s="270"/>
      <c r="N1" s="270"/>
      <c r="O1" s="270"/>
      <c r="P1" s="270"/>
      <c r="Q1" s="270"/>
      <c r="R1" s="28"/>
      <c r="S1" s="28"/>
      <c r="T1" s="28"/>
      <c r="U1" s="28"/>
      <c r="V1" s="28"/>
      <c r="W1" s="28"/>
      <c r="X1" s="28"/>
      <c r="Y1" s="28"/>
      <c r="Z1" s="28"/>
      <c r="AA1" s="28"/>
    </row>
    <row r="2" spans="1:27" ht="15" customHeight="1" x14ac:dyDescent="0.25">
      <c r="B2" s="271"/>
      <c r="C2" s="272"/>
      <c r="D2" s="272"/>
      <c r="E2" s="272"/>
      <c r="F2" s="272"/>
      <c r="G2" s="272"/>
      <c r="H2" s="273"/>
      <c r="I2" s="270"/>
      <c r="J2" s="270"/>
      <c r="K2" s="271"/>
      <c r="L2" s="274"/>
      <c r="M2" s="274"/>
      <c r="N2" s="274"/>
      <c r="O2" s="274"/>
      <c r="P2" s="274"/>
      <c r="Q2" s="273"/>
      <c r="R2" s="30"/>
      <c r="S2" s="30"/>
      <c r="T2" s="144"/>
      <c r="U2" s="145"/>
      <c r="V2" s="145"/>
      <c r="W2" s="145"/>
      <c r="X2" s="145"/>
      <c r="Y2" s="145"/>
      <c r="Z2" s="133"/>
      <c r="AA2" s="28"/>
    </row>
    <row r="3" spans="1:27" ht="15" customHeight="1" x14ac:dyDescent="0.25">
      <c r="A3" s="275"/>
      <c r="B3" s="276"/>
      <c r="C3" s="277" t="s">
        <v>111</v>
      </c>
      <c r="D3" s="416"/>
      <c r="E3" s="416"/>
      <c r="F3" s="416"/>
      <c r="G3" s="416"/>
      <c r="H3" s="278"/>
      <c r="I3" s="269"/>
      <c r="J3" s="279"/>
      <c r="K3" s="280"/>
      <c r="L3" s="428" t="s">
        <v>107</v>
      </c>
      <c r="M3" s="428"/>
      <c r="N3" s="281"/>
      <c r="O3" s="428" t="s">
        <v>108</v>
      </c>
      <c r="P3" s="428"/>
      <c r="Q3" s="278"/>
      <c r="R3" s="28"/>
      <c r="S3" s="124"/>
      <c r="T3" s="209"/>
      <c r="U3" s="424" t="s">
        <v>109</v>
      </c>
      <c r="V3" s="424"/>
      <c r="W3" s="208"/>
      <c r="X3" s="424" t="s">
        <v>110</v>
      </c>
      <c r="Y3" s="424"/>
      <c r="Z3" s="121"/>
      <c r="AA3" s="28"/>
    </row>
    <row r="4" spans="1:27" ht="15" customHeight="1" x14ac:dyDescent="0.25">
      <c r="A4" s="269"/>
      <c r="B4" s="276"/>
      <c r="C4" s="270"/>
      <c r="D4" s="270"/>
      <c r="E4" s="270"/>
      <c r="F4" s="270"/>
      <c r="G4" s="270"/>
      <c r="H4" s="278"/>
      <c r="I4" s="282"/>
      <c r="J4" s="270"/>
      <c r="K4" s="276"/>
      <c r="L4" s="389" t="s">
        <v>142</v>
      </c>
      <c r="M4" s="283"/>
      <c r="N4" s="281"/>
      <c r="O4" s="389" t="s">
        <v>142</v>
      </c>
      <c r="P4" s="283"/>
      <c r="Q4" s="278"/>
      <c r="R4" s="28"/>
      <c r="S4" s="124"/>
      <c r="T4" s="209"/>
      <c r="U4" s="392" t="s">
        <v>142</v>
      </c>
      <c r="V4" s="254"/>
      <c r="W4" s="208"/>
      <c r="X4" s="392" t="s">
        <v>142</v>
      </c>
      <c r="Y4" s="254"/>
      <c r="Z4" s="121"/>
      <c r="AA4" s="28"/>
    </row>
    <row r="5" spans="1:27" ht="15" customHeight="1" x14ac:dyDescent="0.25">
      <c r="A5" s="269"/>
      <c r="B5" s="276"/>
      <c r="C5" s="418" t="s">
        <v>3</v>
      </c>
      <c r="D5" s="418"/>
      <c r="E5" s="418"/>
      <c r="F5" s="418"/>
      <c r="G5" s="418"/>
      <c r="H5" s="284"/>
      <c r="I5" s="285"/>
      <c r="J5" s="270"/>
      <c r="K5" s="276"/>
      <c r="L5" s="390" t="s">
        <v>147</v>
      </c>
      <c r="M5" s="286"/>
      <c r="N5" s="281"/>
      <c r="O5" s="390" t="s">
        <v>147</v>
      </c>
      <c r="P5" s="286"/>
      <c r="Q5" s="278"/>
      <c r="R5" s="28"/>
      <c r="S5" s="124"/>
      <c r="T5" s="209"/>
      <c r="U5" s="392" t="s">
        <v>147</v>
      </c>
      <c r="V5" s="260"/>
      <c r="W5" s="208"/>
      <c r="X5" s="392" t="s">
        <v>147</v>
      </c>
      <c r="Y5" s="260"/>
      <c r="Z5" s="121"/>
      <c r="AA5" s="28"/>
    </row>
    <row r="6" spans="1:27" ht="15" customHeight="1" x14ac:dyDescent="0.25">
      <c r="A6" s="269"/>
      <c r="B6" s="276"/>
      <c r="C6" s="420" t="s">
        <v>0</v>
      </c>
      <c r="D6" s="417"/>
      <c r="E6" s="417"/>
      <c r="F6" s="417"/>
      <c r="G6" s="417"/>
      <c r="H6" s="287"/>
      <c r="I6" s="288"/>
      <c r="J6" s="282"/>
      <c r="K6" s="276"/>
      <c r="L6" s="390" t="s">
        <v>16</v>
      </c>
      <c r="M6" s="286"/>
      <c r="N6" s="289"/>
      <c r="O6" s="390" t="s">
        <v>16</v>
      </c>
      <c r="P6" s="286"/>
      <c r="Q6" s="278"/>
      <c r="R6" s="28"/>
      <c r="S6" s="124"/>
      <c r="T6" s="119"/>
      <c r="U6" s="392" t="s">
        <v>16</v>
      </c>
      <c r="V6" s="260"/>
      <c r="W6" s="128"/>
      <c r="X6" s="392" t="s">
        <v>16</v>
      </c>
      <c r="Y6" s="260"/>
      <c r="Z6" s="121"/>
      <c r="AA6" s="28"/>
    </row>
    <row r="7" spans="1:27" s="2" customFormat="1" ht="15" customHeight="1" x14ac:dyDescent="0.25">
      <c r="A7" s="269"/>
      <c r="B7" s="290"/>
      <c r="C7" s="420"/>
      <c r="D7" s="417"/>
      <c r="E7" s="417"/>
      <c r="F7" s="417"/>
      <c r="G7" s="417"/>
      <c r="H7" s="287"/>
      <c r="I7" s="288"/>
      <c r="J7" s="285"/>
      <c r="K7" s="276"/>
      <c r="L7" s="390" t="s">
        <v>15</v>
      </c>
      <c r="M7" s="286"/>
      <c r="N7" s="270"/>
      <c r="O7" s="390" t="s">
        <v>15</v>
      </c>
      <c r="P7" s="286"/>
      <c r="Q7" s="278"/>
      <c r="R7" s="29"/>
      <c r="S7" s="125"/>
      <c r="T7" s="136">
        <f>E20</f>
        <v>0</v>
      </c>
      <c r="U7" s="392" t="s">
        <v>15</v>
      </c>
      <c r="V7" s="260"/>
      <c r="W7" s="120"/>
      <c r="X7" s="392" t="s">
        <v>15</v>
      </c>
      <c r="Y7" s="260"/>
      <c r="Z7" s="121"/>
      <c r="AA7" s="28"/>
    </row>
    <row r="8" spans="1:27" s="2" customFormat="1" ht="15" customHeight="1" x14ac:dyDescent="0.25">
      <c r="A8" s="291"/>
      <c r="B8" s="290"/>
      <c r="C8" s="420"/>
      <c r="D8" s="417"/>
      <c r="E8" s="417"/>
      <c r="F8" s="417"/>
      <c r="G8" s="417"/>
      <c r="H8" s="287"/>
      <c r="I8" s="288"/>
      <c r="J8" s="285"/>
      <c r="K8" s="276"/>
      <c r="L8" s="391" t="s">
        <v>97</v>
      </c>
      <c r="M8" s="286"/>
      <c r="N8" s="270"/>
      <c r="O8" s="391" t="s">
        <v>97</v>
      </c>
      <c r="P8" s="286"/>
      <c r="Q8" s="278"/>
      <c r="R8" s="29"/>
      <c r="S8" s="125"/>
      <c r="T8" s="136"/>
      <c r="U8" s="393" t="s">
        <v>97</v>
      </c>
      <c r="V8" s="260"/>
      <c r="W8" s="120"/>
      <c r="X8" s="393" t="s">
        <v>97</v>
      </c>
      <c r="Y8" s="260"/>
      <c r="Z8" s="121"/>
      <c r="AA8" s="28"/>
    </row>
    <row r="9" spans="1:27" s="2" customFormat="1" ht="15" customHeight="1" x14ac:dyDescent="0.2">
      <c r="A9" s="291"/>
      <c r="B9" s="290"/>
      <c r="C9" s="419" t="s">
        <v>1</v>
      </c>
      <c r="D9" s="446"/>
      <c r="E9" s="446"/>
      <c r="F9" s="446"/>
      <c r="G9" s="446"/>
      <c r="H9" s="292"/>
      <c r="I9" s="293"/>
      <c r="J9" s="288"/>
      <c r="K9" s="290"/>
      <c r="L9" s="391" t="s">
        <v>4</v>
      </c>
      <c r="M9" s="286"/>
      <c r="N9" s="270"/>
      <c r="O9" s="391" t="s">
        <v>4</v>
      </c>
      <c r="P9" s="286"/>
      <c r="Q9" s="294"/>
      <c r="R9" s="29"/>
      <c r="S9" s="125"/>
      <c r="T9" s="136">
        <f>E21</f>
        <v>0</v>
      </c>
      <c r="U9" s="393" t="s">
        <v>4</v>
      </c>
      <c r="V9" s="260"/>
      <c r="W9" s="120"/>
      <c r="X9" s="393" t="s">
        <v>4</v>
      </c>
      <c r="Y9" s="260"/>
      <c r="Z9" s="121"/>
      <c r="AA9" s="29"/>
    </row>
    <row r="10" spans="1:27" s="2" customFormat="1" ht="15" customHeight="1" x14ac:dyDescent="0.2">
      <c r="A10" s="291"/>
      <c r="B10" s="290"/>
      <c r="C10" s="419"/>
      <c r="D10" s="446"/>
      <c r="E10" s="446"/>
      <c r="F10" s="446"/>
      <c r="G10" s="446"/>
      <c r="H10" s="292"/>
      <c r="I10" s="293"/>
      <c r="J10" s="288"/>
      <c r="K10" s="290"/>
      <c r="L10" s="429" t="s">
        <v>17</v>
      </c>
      <c r="M10" s="441" t="s">
        <v>143</v>
      </c>
      <c r="N10" s="295"/>
      <c r="O10" s="429" t="s">
        <v>17</v>
      </c>
      <c r="P10" s="441" t="s">
        <v>143</v>
      </c>
      <c r="Q10" s="294"/>
      <c r="R10" s="29"/>
      <c r="S10" s="124"/>
      <c r="T10" s="136">
        <f>E22</f>
        <v>0</v>
      </c>
      <c r="U10" s="425" t="s">
        <v>17</v>
      </c>
      <c r="V10" s="427" t="s">
        <v>143</v>
      </c>
      <c r="W10" s="122"/>
      <c r="X10" s="425" t="s">
        <v>17</v>
      </c>
      <c r="Y10" s="427" t="s">
        <v>143</v>
      </c>
      <c r="Z10" s="121"/>
      <c r="AA10" s="29"/>
    </row>
    <row r="11" spans="1:27" s="2" customFormat="1" ht="15" customHeight="1" x14ac:dyDescent="0.2">
      <c r="A11" s="291"/>
      <c r="B11" s="290"/>
      <c r="C11" s="419"/>
      <c r="D11" s="446"/>
      <c r="E11" s="446"/>
      <c r="F11" s="446"/>
      <c r="G11" s="446"/>
      <c r="H11" s="292"/>
      <c r="I11" s="293"/>
      <c r="J11" s="288"/>
      <c r="K11" s="290"/>
      <c r="L11" s="430"/>
      <c r="M11" s="441"/>
      <c r="N11" s="295"/>
      <c r="O11" s="430"/>
      <c r="P11" s="441"/>
      <c r="Q11" s="294"/>
      <c r="R11" s="29"/>
      <c r="S11" s="124"/>
      <c r="T11" s="119"/>
      <c r="U11" s="426"/>
      <c r="V11" s="427"/>
      <c r="W11" s="122"/>
      <c r="X11" s="426"/>
      <c r="Y11" s="427"/>
      <c r="Z11" s="121"/>
      <c r="AA11" s="29"/>
    </row>
    <row r="12" spans="1:27" s="2" customFormat="1" ht="15" customHeight="1" x14ac:dyDescent="0.2">
      <c r="A12" s="291"/>
      <c r="B12" s="290"/>
      <c r="C12" s="419"/>
      <c r="D12" s="446"/>
      <c r="E12" s="446"/>
      <c r="F12" s="446"/>
      <c r="G12" s="446"/>
      <c r="H12" s="292"/>
      <c r="I12" s="293"/>
      <c r="J12" s="293"/>
      <c r="K12" s="290"/>
      <c r="L12" s="296"/>
      <c r="M12" s="297"/>
      <c r="N12" s="295"/>
      <c r="O12" s="296"/>
      <c r="P12" s="297"/>
      <c r="Q12" s="294"/>
      <c r="R12" s="29"/>
      <c r="S12" s="125"/>
      <c r="T12" s="119"/>
      <c r="U12" s="257"/>
      <c r="V12" s="258"/>
      <c r="W12" s="122"/>
      <c r="X12" s="257"/>
      <c r="Y12" s="258"/>
      <c r="Z12" s="121"/>
      <c r="AA12" s="29"/>
    </row>
    <row r="13" spans="1:27" ht="15" customHeight="1" x14ac:dyDescent="0.25">
      <c r="A13" s="291"/>
      <c r="B13" s="276"/>
      <c r="C13" s="270"/>
      <c r="D13" s="270"/>
      <c r="E13" s="270"/>
      <c r="F13" s="316"/>
      <c r="G13" s="316"/>
      <c r="H13" s="317"/>
      <c r="I13" s="270"/>
      <c r="J13" s="293"/>
      <c r="K13" s="290"/>
      <c r="L13" s="296"/>
      <c r="M13" s="297"/>
      <c r="N13" s="295"/>
      <c r="O13" s="296"/>
      <c r="P13" s="297"/>
      <c r="Q13" s="294"/>
      <c r="R13" s="29"/>
      <c r="S13" s="125"/>
      <c r="T13" s="119"/>
      <c r="U13" s="257"/>
      <c r="V13" s="258"/>
      <c r="W13" s="122"/>
      <c r="X13" s="257"/>
      <c r="Y13" s="258"/>
      <c r="Z13" s="121"/>
      <c r="AA13" s="29"/>
    </row>
    <row r="14" spans="1:27" ht="15" customHeight="1" x14ac:dyDescent="0.25">
      <c r="A14" s="269"/>
      <c r="B14" s="276"/>
      <c r="C14" s="418" t="s">
        <v>2</v>
      </c>
      <c r="D14" s="418"/>
      <c r="E14" s="418"/>
      <c r="F14" s="318"/>
      <c r="G14" s="318"/>
      <c r="H14" s="319"/>
      <c r="I14" s="285"/>
      <c r="J14" s="293"/>
      <c r="K14" s="290"/>
      <c r="L14" s="296"/>
      <c r="M14" s="297"/>
      <c r="N14" s="295"/>
      <c r="O14" s="296"/>
      <c r="P14" s="297"/>
      <c r="Q14" s="294"/>
      <c r="R14" s="28"/>
      <c r="S14" s="120"/>
      <c r="T14" s="119"/>
      <c r="U14" s="257"/>
      <c r="V14" s="258"/>
      <c r="W14" s="122"/>
      <c r="X14" s="257"/>
      <c r="Y14" s="258"/>
      <c r="Z14" s="121"/>
      <c r="AA14" s="29"/>
    </row>
    <row r="15" spans="1:27" ht="15" customHeight="1" x14ac:dyDescent="0.25">
      <c r="A15" s="269"/>
      <c r="B15" s="276"/>
      <c r="C15" s="415" t="s">
        <v>172</v>
      </c>
      <c r="D15" s="415"/>
      <c r="E15" s="388" t="str">
        <f>IF(ISBLANK(M8), "", MIN(M8, P8, V8, Y8))</f>
        <v/>
      </c>
      <c r="F15" s="320" t="str">
        <f>IF(E15&lt;10, "! Sample size must be &gt; 10", "")</f>
        <v/>
      </c>
      <c r="G15" s="321"/>
      <c r="H15" s="322"/>
      <c r="I15" s="298"/>
      <c r="J15" s="293"/>
      <c r="K15" s="276"/>
      <c r="L15" s="296"/>
      <c r="M15" s="297"/>
      <c r="N15" s="295"/>
      <c r="O15" s="296"/>
      <c r="P15" s="297"/>
      <c r="Q15" s="278"/>
      <c r="R15" s="28"/>
      <c r="S15" s="120"/>
      <c r="T15" s="119"/>
      <c r="U15" s="257"/>
      <c r="V15" s="258"/>
      <c r="W15" s="122"/>
      <c r="X15" s="257"/>
      <c r="Y15" s="258"/>
      <c r="Z15" s="121"/>
      <c r="AA15" s="28"/>
    </row>
    <row r="16" spans="1:27" ht="15" customHeight="1" x14ac:dyDescent="0.25">
      <c r="A16" s="269"/>
      <c r="B16" s="276"/>
      <c r="C16" s="415" t="s">
        <v>173</v>
      </c>
      <c r="D16" s="415"/>
      <c r="E16" s="388" t="str">
        <f>IF(ISBLANK(M9), "", MIN(M9, P9, V9, Y9))</f>
        <v/>
      </c>
      <c r="F16" s="320" t="str">
        <f>IF(E16&lt;6000, "! Test duration must be &gt; 6000", "")</f>
        <v/>
      </c>
      <c r="G16" s="321"/>
      <c r="H16" s="322"/>
      <c r="I16" s="298"/>
      <c r="J16" s="270"/>
      <c r="K16" s="276"/>
      <c r="L16" s="296"/>
      <c r="M16" s="297"/>
      <c r="N16" s="270"/>
      <c r="O16" s="296"/>
      <c r="P16" s="299"/>
      <c r="Q16" s="278"/>
      <c r="R16" s="28"/>
      <c r="S16" s="120"/>
      <c r="T16" s="119"/>
      <c r="U16" s="257"/>
      <c r="V16" s="259"/>
      <c r="W16" s="120"/>
      <c r="X16" s="257"/>
      <c r="Y16" s="259"/>
      <c r="Z16" s="121"/>
      <c r="AA16" s="28"/>
    </row>
    <row r="17" spans="1:27" ht="15" customHeight="1" x14ac:dyDescent="0.25">
      <c r="A17" s="269"/>
      <c r="B17" s="276"/>
      <c r="C17" s="270"/>
      <c r="D17" s="270"/>
      <c r="E17" s="270"/>
      <c r="F17" s="316"/>
      <c r="G17" s="316"/>
      <c r="H17" s="317"/>
      <c r="I17" s="298"/>
      <c r="J17" s="285"/>
      <c r="K17" s="276"/>
      <c r="L17" s="296"/>
      <c r="M17" s="299"/>
      <c r="N17" s="270"/>
      <c r="O17" s="296"/>
      <c r="P17" s="299"/>
      <c r="Q17" s="278"/>
      <c r="R17" s="28"/>
      <c r="S17" s="120"/>
      <c r="T17" s="119"/>
      <c r="U17" s="257"/>
      <c r="V17" s="259"/>
      <c r="W17" s="120"/>
      <c r="X17" s="257"/>
      <c r="Y17" s="259"/>
      <c r="Z17" s="121"/>
      <c r="AA17" s="28"/>
    </row>
    <row r="18" spans="1:27" ht="15" customHeight="1" x14ac:dyDescent="0.25">
      <c r="A18" s="269"/>
      <c r="B18" s="276"/>
      <c r="C18" s="421" t="s">
        <v>8</v>
      </c>
      <c r="D18" s="422"/>
      <c r="E18" s="423"/>
      <c r="F18" s="318"/>
      <c r="G18" s="318"/>
      <c r="H18" s="319"/>
      <c r="I18" s="298"/>
      <c r="J18" s="298"/>
      <c r="K18" s="276"/>
      <c r="L18" s="296"/>
      <c r="M18" s="299"/>
      <c r="N18" s="270"/>
      <c r="O18" s="296"/>
      <c r="P18" s="299"/>
      <c r="Q18" s="278"/>
      <c r="R18" s="28"/>
      <c r="S18" s="120"/>
      <c r="T18" s="119"/>
      <c r="U18" s="257"/>
      <c r="V18" s="259"/>
      <c r="W18" s="120"/>
      <c r="X18" s="257"/>
      <c r="Y18" s="259"/>
      <c r="Z18" s="121"/>
      <c r="AA18" s="28"/>
    </row>
    <row r="19" spans="1:27" ht="15" customHeight="1" x14ac:dyDescent="0.25">
      <c r="A19" s="269"/>
      <c r="B19" s="276"/>
      <c r="C19" s="444" t="s">
        <v>148</v>
      </c>
      <c r="D19" s="445"/>
      <c r="E19" s="300"/>
      <c r="F19" s="320" t="str">
        <f>IF('hidden sheet 1'!Y24=1, "! Difference in drive currents &gt; permitted factor", "")</f>
        <v/>
      </c>
      <c r="G19" s="321"/>
      <c r="H19" s="322"/>
      <c r="I19" s="269"/>
      <c r="J19" s="298"/>
      <c r="K19" s="276"/>
      <c r="L19" s="296"/>
      <c r="M19" s="299"/>
      <c r="N19" s="270"/>
      <c r="O19" s="296"/>
      <c r="P19" s="299"/>
      <c r="Q19" s="278"/>
      <c r="R19" s="28"/>
      <c r="S19" s="120"/>
      <c r="T19" s="119"/>
      <c r="U19" s="257"/>
      <c r="V19" s="259"/>
      <c r="W19" s="120"/>
      <c r="X19" s="257"/>
      <c r="Y19" s="259"/>
      <c r="Z19" s="121"/>
      <c r="AA19" s="28"/>
    </row>
    <row r="20" spans="1:27" ht="15" customHeight="1" x14ac:dyDescent="0.25">
      <c r="A20" s="269"/>
      <c r="B20" s="276"/>
      <c r="C20" s="444" t="s">
        <v>81</v>
      </c>
      <c r="D20" s="445"/>
      <c r="E20" s="300"/>
      <c r="F20" s="321"/>
      <c r="G20" s="321"/>
      <c r="H20" s="322"/>
      <c r="I20" s="269"/>
      <c r="J20" s="298"/>
      <c r="K20" s="276"/>
      <c r="L20" s="296"/>
      <c r="M20" s="299"/>
      <c r="N20" s="270"/>
      <c r="O20" s="296"/>
      <c r="P20" s="299"/>
      <c r="Q20" s="278"/>
      <c r="R20" s="28"/>
      <c r="S20" s="120"/>
      <c r="T20" s="119"/>
      <c r="U20" s="257"/>
      <c r="V20" s="259"/>
      <c r="W20" s="120"/>
      <c r="X20" s="257"/>
      <c r="Y20" s="259"/>
      <c r="Z20" s="121"/>
      <c r="AA20" s="28"/>
    </row>
    <row r="21" spans="1:27" ht="15" customHeight="1" x14ac:dyDescent="0.25">
      <c r="A21" s="269"/>
      <c r="B21" s="276"/>
      <c r="C21" s="415" t="s">
        <v>174</v>
      </c>
      <c r="D21" s="415"/>
      <c r="E21" s="300"/>
      <c r="F21" s="320" t="str">
        <f>IF(E21&gt;275, "! Check value is given in degrees Celsius", "")</f>
        <v/>
      </c>
      <c r="G21" s="321"/>
      <c r="H21" s="322"/>
      <c r="I21" s="285"/>
      <c r="J21" s="298"/>
      <c r="K21" s="276"/>
      <c r="L21" s="296"/>
      <c r="M21" s="299"/>
      <c r="N21" s="270"/>
      <c r="O21" s="296"/>
      <c r="P21" s="299"/>
      <c r="Q21" s="278"/>
      <c r="R21" s="28"/>
      <c r="S21" s="123"/>
      <c r="T21" s="119"/>
      <c r="U21" s="256"/>
      <c r="V21" s="259"/>
      <c r="W21" s="120"/>
      <c r="X21" s="256"/>
      <c r="Y21" s="259"/>
      <c r="Z21" s="121"/>
      <c r="AA21" s="28"/>
    </row>
    <row r="22" spans="1:27" ht="15" customHeight="1" x14ac:dyDescent="0.25">
      <c r="A22" s="269"/>
      <c r="B22" s="276"/>
      <c r="C22" s="415" t="s">
        <v>9</v>
      </c>
      <c r="D22" s="415"/>
      <c r="E22" s="300"/>
      <c r="F22" s="320" t="str">
        <f>IF(ISBLANK(E22), "", IF(E22&lt;70, "! This calculator cannot project &lt;70%", ""))</f>
        <v/>
      </c>
      <c r="G22" s="321"/>
      <c r="H22" s="322"/>
      <c r="I22" s="298"/>
      <c r="J22" s="270"/>
      <c r="K22" s="276"/>
      <c r="L22" s="296"/>
      <c r="M22" s="299"/>
      <c r="N22" s="270"/>
      <c r="O22" s="296"/>
      <c r="P22" s="299"/>
      <c r="Q22" s="278"/>
      <c r="R22" s="28"/>
      <c r="S22" s="123"/>
      <c r="T22" s="119"/>
      <c r="U22" s="257"/>
      <c r="V22" s="259"/>
      <c r="W22" s="120"/>
      <c r="X22" s="257"/>
      <c r="Y22" s="259"/>
      <c r="Z22" s="121"/>
      <c r="AA22" s="28"/>
    </row>
    <row r="23" spans="1:27" ht="15" customHeight="1" x14ac:dyDescent="0.25">
      <c r="A23" s="269"/>
      <c r="B23" s="276"/>
      <c r="C23" s="270"/>
      <c r="D23" s="270"/>
      <c r="E23" s="270"/>
      <c r="F23" s="316"/>
      <c r="G23" s="316"/>
      <c r="H23" s="317"/>
      <c r="I23" s="298"/>
      <c r="J23" s="285"/>
      <c r="K23" s="276"/>
      <c r="L23" s="300"/>
      <c r="M23" s="299"/>
      <c r="N23" s="270"/>
      <c r="O23" s="300"/>
      <c r="P23" s="299"/>
      <c r="Q23" s="278"/>
      <c r="R23" s="28"/>
      <c r="S23" s="123"/>
      <c r="T23" s="119"/>
      <c r="U23" s="256"/>
      <c r="V23" s="259"/>
      <c r="W23" s="120"/>
      <c r="X23" s="256"/>
      <c r="Y23" s="259"/>
      <c r="Z23" s="121"/>
      <c r="AA23" s="28"/>
    </row>
    <row r="24" spans="1:27" ht="15" customHeight="1" x14ac:dyDescent="0.25">
      <c r="A24" s="269"/>
      <c r="B24" s="276"/>
      <c r="C24" s="270"/>
      <c r="D24" s="270"/>
      <c r="E24" s="270"/>
      <c r="F24" s="270"/>
      <c r="G24" s="270"/>
      <c r="H24" s="278"/>
      <c r="I24" s="298"/>
      <c r="J24" s="298"/>
      <c r="K24" s="276"/>
      <c r="L24" s="300"/>
      <c r="M24" s="299"/>
      <c r="N24" s="270"/>
      <c r="O24" s="300"/>
      <c r="P24" s="299"/>
      <c r="Q24" s="278"/>
      <c r="R24" s="28"/>
      <c r="S24" s="120"/>
      <c r="T24" s="119"/>
      <c r="U24" s="256"/>
      <c r="V24" s="259"/>
      <c r="W24" s="120"/>
      <c r="X24" s="256"/>
      <c r="Y24" s="259"/>
      <c r="Z24" s="121"/>
      <c r="AA24" s="28"/>
    </row>
    <row r="25" spans="1:27" ht="15" customHeight="1" x14ac:dyDescent="0.25">
      <c r="A25" s="269"/>
      <c r="B25" s="276"/>
      <c r="C25" s="270"/>
      <c r="D25" s="270"/>
      <c r="E25" s="270"/>
      <c r="F25" s="270"/>
      <c r="G25" s="270"/>
      <c r="H25" s="278"/>
      <c r="I25" s="269"/>
      <c r="J25" s="298"/>
      <c r="K25" s="276"/>
      <c r="L25" s="300"/>
      <c r="M25" s="299"/>
      <c r="N25" s="270"/>
      <c r="O25" s="300"/>
      <c r="P25" s="299"/>
      <c r="Q25" s="278"/>
      <c r="R25" s="28"/>
      <c r="S25" s="120"/>
      <c r="T25" s="119"/>
      <c r="U25" s="256"/>
      <c r="V25" s="259"/>
      <c r="W25" s="120"/>
      <c r="X25" s="256"/>
      <c r="Y25" s="259"/>
      <c r="Z25" s="121"/>
      <c r="AA25" s="28"/>
    </row>
    <row r="26" spans="1:27" ht="15" customHeight="1" x14ac:dyDescent="0.25">
      <c r="A26" s="269"/>
      <c r="B26" s="276"/>
      <c r="C26" s="301" t="s">
        <v>5</v>
      </c>
      <c r="D26" s="301"/>
      <c r="E26" s="302">
        <f>M7</f>
        <v>0</v>
      </c>
      <c r="F26" s="298"/>
      <c r="G26" s="298"/>
      <c r="H26" s="303"/>
      <c r="I26" s="269"/>
      <c r="J26" s="298"/>
      <c r="K26" s="276"/>
      <c r="L26" s="300"/>
      <c r="M26" s="299"/>
      <c r="N26" s="270"/>
      <c r="O26" s="300"/>
      <c r="P26" s="299"/>
      <c r="Q26" s="278"/>
      <c r="R26" s="28"/>
      <c r="S26" s="120"/>
      <c r="T26" s="119"/>
      <c r="U26" s="256"/>
      <c r="V26" s="259"/>
      <c r="W26" s="120"/>
      <c r="X26" s="256"/>
      <c r="Y26" s="259"/>
      <c r="Z26" s="121"/>
      <c r="AA26" s="28"/>
    </row>
    <row r="27" spans="1:27" ht="15" customHeight="1" x14ac:dyDescent="0.25">
      <c r="A27" s="269"/>
      <c r="B27" s="276"/>
      <c r="C27" s="443" t="s">
        <v>6</v>
      </c>
      <c r="D27" s="443"/>
      <c r="E27" s="304">
        <f>P7</f>
        <v>0</v>
      </c>
      <c r="F27" s="298"/>
      <c r="G27" s="298"/>
      <c r="H27" s="303"/>
      <c r="I27" s="269"/>
      <c r="J27" s="298"/>
      <c r="K27" s="276"/>
      <c r="L27" s="300"/>
      <c r="M27" s="299"/>
      <c r="N27" s="270"/>
      <c r="O27" s="300"/>
      <c r="P27" s="299"/>
      <c r="Q27" s="278"/>
      <c r="R27" s="28"/>
      <c r="S27" s="120"/>
      <c r="T27" s="119"/>
      <c r="U27" s="256"/>
      <c r="V27" s="259"/>
      <c r="W27" s="120"/>
      <c r="X27" s="256"/>
      <c r="Y27" s="259"/>
      <c r="Z27" s="121"/>
      <c r="AA27" s="28"/>
    </row>
    <row r="28" spans="1:27" ht="15" customHeight="1" x14ac:dyDescent="0.25">
      <c r="A28" s="269"/>
      <c r="B28" s="276"/>
      <c r="C28" s="442" t="s">
        <v>7</v>
      </c>
      <c r="D28" s="442"/>
      <c r="E28" s="305">
        <f>V7</f>
        <v>0</v>
      </c>
      <c r="F28" s="306"/>
      <c r="G28" s="306"/>
      <c r="H28" s="307"/>
      <c r="I28" s="298"/>
      <c r="J28" s="298"/>
      <c r="K28" s="276"/>
      <c r="L28" s="300"/>
      <c r="M28" s="299"/>
      <c r="N28" s="270"/>
      <c r="O28" s="300"/>
      <c r="P28" s="299"/>
      <c r="Q28" s="278"/>
      <c r="R28" s="28"/>
      <c r="S28" s="120"/>
      <c r="T28" s="119"/>
      <c r="U28" s="256"/>
      <c r="V28" s="259"/>
      <c r="W28" s="120"/>
      <c r="X28" s="256"/>
      <c r="Y28" s="259"/>
      <c r="Z28" s="121"/>
      <c r="AA28" s="28"/>
    </row>
    <row r="29" spans="1:27" ht="15" customHeight="1" x14ac:dyDescent="0.25">
      <c r="A29" s="269"/>
      <c r="B29" s="276"/>
      <c r="C29" s="443" t="s">
        <v>79</v>
      </c>
      <c r="D29" s="443"/>
      <c r="E29" s="308">
        <f>Y7</f>
        <v>0</v>
      </c>
      <c r="F29" s="306"/>
      <c r="G29" s="306"/>
      <c r="H29" s="307"/>
      <c r="I29" s="298"/>
      <c r="J29" s="298"/>
      <c r="K29" s="276"/>
      <c r="L29" s="300"/>
      <c r="M29" s="299"/>
      <c r="N29" s="270"/>
      <c r="O29" s="300"/>
      <c r="P29" s="299"/>
      <c r="Q29" s="278"/>
      <c r="R29" s="28"/>
      <c r="S29" s="120"/>
      <c r="T29" s="119"/>
      <c r="U29" s="256"/>
      <c r="V29" s="259"/>
      <c r="W29" s="120"/>
      <c r="X29" s="256"/>
      <c r="Y29" s="259"/>
      <c r="Z29" s="121"/>
      <c r="AA29" s="28"/>
    </row>
    <row r="30" spans="1:27" ht="15" customHeight="1" x14ac:dyDescent="0.25">
      <c r="A30" s="269"/>
      <c r="B30" s="276"/>
      <c r="C30" s="442" t="s">
        <v>175</v>
      </c>
      <c r="D30" s="442"/>
      <c r="E30" s="302">
        <f>M6</f>
        <v>0</v>
      </c>
      <c r="F30" s="298"/>
      <c r="G30" s="298"/>
      <c r="H30" s="303"/>
      <c r="I30" s="306"/>
      <c r="J30" s="298"/>
      <c r="K30" s="276"/>
      <c r="L30" s="300"/>
      <c r="M30" s="299"/>
      <c r="N30" s="270"/>
      <c r="O30" s="300"/>
      <c r="P30" s="299"/>
      <c r="Q30" s="278"/>
      <c r="R30" s="28"/>
      <c r="S30" s="120"/>
      <c r="T30" s="119"/>
      <c r="U30" s="256"/>
      <c r="V30" s="259"/>
      <c r="W30" s="120"/>
      <c r="X30" s="256"/>
      <c r="Y30" s="259"/>
      <c r="Z30" s="121"/>
      <c r="AA30" s="28"/>
    </row>
    <row r="31" spans="1:27" ht="15" customHeight="1" x14ac:dyDescent="0.25">
      <c r="A31" s="269"/>
      <c r="B31" s="276"/>
      <c r="C31" s="443" t="s">
        <v>176</v>
      </c>
      <c r="D31" s="443"/>
      <c r="E31" s="304">
        <f>P6</f>
        <v>0</v>
      </c>
      <c r="F31" s="298"/>
      <c r="G31" s="298"/>
      <c r="H31" s="303"/>
      <c r="I31" s="306"/>
      <c r="J31" s="298"/>
      <c r="K31" s="276"/>
      <c r="L31" s="300"/>
      <c r="M31" s="299"/>
      <c r="N31" s="270"/>
      <c r="O31" s="300"/>
      <c r="P31" s="299"/>
      <c r="Q31" s="278"/>
      <c r="R31" s="28"/>
      <c r="S31" s="120"/>
      <c r="T31" s="119"/>
      <c r="U31" s="256"/>
      <c r="V31" s="259"/>
      <c r="W31" s="120"/>
      <c r="X31" s="256"/>
      <c r="Y31" s="259"/>
      <c r="Z31" s="121"/>
      <c r="AA31" s="28"/>
    </row>
    <row r="32" spans="1:27" ht="15" customHeight="1" x14ac:dyDescent="0.25">
      <c r="A32" s="269"/>
      <c r="B32" s="276"/>
      <c r="C32" s="442" t="s">
        <v>177</v>
      </c>
      <c r="D32" s="442"/>
      <c r="E32" s="305">
        <f>V6</f>
        <v>0</v>
      </c>
      <c r="F32" s="306"/>
      <c r="G32" s="306"/>
      <c r="H32" s="307"/>
      <c r="I32" s="298"/>
      <c r="J32" s="298"/>
      <c r="K32" s="276"/>
      <c r="L32" s="300"/>
      <c r="M32" s="299"/>
      <c r="N32" s="270"/>
      <c r="O32" s="300"/>
      <c r="P32" s="299"/>
      <c r="Q32" s="278"/>
      <c r="R32" s="28"/>
      <c r="S32" s="120"/>
      <c r="T32" s="119"/>
      <c r="U32" s="256"/>
      <c r="V32" s="259"/>
      <c r="W32" s="120"/>
      <c r="X32" s="256"/>
      <c r="Y32" s="259"/>
      <c r="Z32" s="121"/>
      <c r="AA32" s="28"/>
    </row>
    <row r="33" spans="1:27" ht="15" customHeight="1" x14ac:dyDescent="0.25">
      <c r="A33" s="269"/>
      <c r="B33" s="276"/>
      <c r="C33" s="443" t="s">
        <v>178</v>
      </c>
      <c r="D33" s="443"/>
      <c r="E33" s="308">
        <f>Y6</f>
        <v>0</v>
      </c>
      <c r="F33" s="306"/>
      <c r="G33" s="306"/>
      <c r="H33" s="307"/>
      <c r="I33" s="298"/>
      <c r="J33" s="298"/>
      <c r="K33" s="276"/>
      <c r="L33" s="300"/>
      <c r="M33" s="299"/>
      <c r="N33" s="270"/>
      <c r="O33" s="300"/>
      <c r="P33" s="299"/>
      <c r="Q33" s="278"/>
      <c r="R33" s="28"/>
      <c r="S33" s="120"/>
      <c r="T33" s="119"/>
      <c r="U33" s="256"/>
      <c r="V33" s="259"/>
      <c r="W33" s="120"/>
      <c r="X33" s="256"/>
      <c r="Y33" s="259"/>
      <c r="Z33" s="121"/>
      <c r="AA33" s="28"/>
    </row>
    <row r="34" spans="1:27" ht="15" customHeight="1" x14ac:dyDescent="0.25">
      <c r="A34" s="269"/>
      <c r="B34" s="276"/>
      <c r="C34" s="270"/>
      <c r="D34" s="270"/>
      <c r="E34" s="270"/>
      <c r="F34" s="270"/>
      <c r="G34" s="270"/>
      <c r="H34" s="278"/>
      <c r="I34" s="306"/>
      <c r="J34" s="270"/>
      <c r="K34" s="276"/>
      <c r="L34" s="300"/>
      <c r="M34" s="299"/>
      <c r="N34" s="270"/>
      <c r="O34" s="300"/>
      <c r="P34" s="299"/>
      <c r="Q34" s="278"/>
      <c r="R34" s="28"/>
      <c r="S34" s="120"/>
      <c r="T34" s="119"/>
      <c r="U34" s="256"/>
      <c r="V34" s="259"/>
      <c r="W34" s="120"/>
      <c r="X34" s="256"/>
      <c r="Y34" s="259"/>
      <c r="Z34" s="121"/>
      <c r="AA34" s="28"/>
    </row>
    <row r="35" spans="1:27" ht="15" customHeight="1" x14ac:dyDescent="0.25">
      <c r="A35" s="269"/>
      <c r="B35" s="276"/>
      <c r="C35" s="270"/>
      <c r="D35" s="270"/>
      <c r="E35" s="270"/>
      <c r="F35" s="270"/>
      <c r="G35" s="270"/>
      <c r="H35" s="278"/>
      <c r="I35" s="306"/>
      <c r="J35" s="270"/>
      <c r="K35" s="276"/>
      <c r="L35" s="300"/>
      <c r="M35" s="299"/>
      <c r="N35" s="270"/>
      <c r="O35" s="300"/>
      <c r="P35" s="299"/>
      <c r="Q35" s="278"/>
      <c r="R35" s="28"/>
      <c r="S35" s="120"/>
      <c r="T35" s="119"/>
      <c r="U35" s="256"/>
      <c r="V35" s="259"/>
      <c r="W35" s="120"/>
      <c r="X35" s="256"/>
      <c r="Y35" s="259"/>
      <c r="Z35" s="121"/>
      <c r="AA35" s="28"/>
    </row>
    <row r="36" spans="1:27" ht="15" customHeight="1" x14ac:dyDescent="0.25">
      <c r="A36" s="269"/>
      <c r="B36" s="276"/>
      <c r="C36" s="270"/>
      <c r="D36" s="270"/>
      <c r="E36" s="270"/>
      <c r="F36" s="270"/>
      <c r="G36" s="270"/>
      <c r="H36" s="278"/>
      <c r="I36" s="269"/>
      <c r="J36" s="270"/>
      <c r="K36" s="276"/>
      <c r="L36" s="300"/>
      <c r="M36" s="299"/>
      <c r="N36" s="270"/>
      <c r="O36" s="300"/>
      <c r="P36" s="299"/>
      <c r="Q36" s="278"/>
      <c r="R36" s="28"/>
      <c r="S36" s="120"/>
      <c r="T36" s="119"/>
      <c r="U36" s="256"/>
      <c r="V36" s="259"/>
      <c r="W36" s="120"/>
      <c r="X36" s="256"/>
      <c r="Y36" s="259"/>
      <c r="Z36" s="121"/>
      <c r="AA36" s="28"/>
    </row>
    <row r="37" spans="1:27" ht="15" customHeight="1" thickBot="1" x14ac:dyDescent="0.3">
      <c r="A37" s="269"/>
      <c r="B37" s="276"/>
      <c r="C37" s="270"/>
      <c r="D37" s="270"/>
      <c r="E37" s="270"/>
      <c r="F37" s="270"/>
      <c r="G37" s="270"/>
      <c r="H37" s="278"/>
      <c r="I37" s="269"/>
      <c r="K37" s="309"/>
      <c r="L37" s="325" t="str">
        <f>IF(MAX(M12:M36, P12:P36, V12:V36, Y12:Y36)&gt;110%, "! Average Luminous Flux values appear in error, &gt;&gt; 100%", "")</f>
        <v/>
      </c>
      <c r="M37" s="324"/>
      <c r="N37" s="324"/>
      <c r="O37" s="324"/>
      <c r="P37" s="324"/>
      <c r="Q37" s="310"/>
      <c r="R37" s="263"/>
      <c r="S37" s="264"/>
      <c r="T37" s="265"/>
      <c r="U37" s="262" t="str">
        <f>IF(MAX(V12:V36)&gt;110%, "!Average Luminous Flux values appear in error, &gt;&gt; 100%", "")</f>
        <v/>
      </c>
      <c r="V37" s="261"/>
      <c r="W37" s="261"/>
      <c r="X37" s="262" t="str">
        <f>IF(MAX(Y12:Y36)&gt;110%, "!Average Luminous Flux values appear in error, &gt;&gt; 100%", "")</f>
        <v/>
      </c>
      <c r="Y37" s="138"/>
      <c r="Z37" s="135"/>
      <c r="AA37" s="28"/>
    </row>
    <row r="38" spans="1:27" ht="15" customHeight="1" x14ac:dyDescent="0.25">
      <c r="A38" s="269"/>
      <c r="B38" s="276"/>
      <c r="C38" s="270"/>
      <c r="D38" s="270"/>
      <c r="E38" s="270"/>
      <c r="F38" s="270"/>
      <c r="G38" s="270"/>
      <c r="H38" s="278"/>
      <c r="I38" s="269"/>
      <c r="J38" s="269"/>
      <c r="K38" s="269"/>
      <c r="L38" s="269"/>
      <c r="M38" s="269"/>
      <c r="N38" s="269"/>
      <c r="O38" s="269"/>
      <c r="P38" s="269"/>
      <c r="Q38" s="269"/>
      <c r="R38" s="28"/>
      <c r="S38" s="28"/>
      <c r="T38" s="28"/>
      <c r="U38" s="28"/>
      <c r="V38" s="28"/>
      <c r="W38" s="28"/>
      <c r="X38" s="28"/>
      <c r="Y38" s="28"/>
      <c r="Z38" s="28"/>
      <c r="AA38" s="28"/>
    </row>
    <row r="39" spans="1:27" ht="15" customHeight="1" x14ac:dyDescent="0.25">
      <c r="A39" s="269"/>
      <c r="B39" s="276"/>
      <c r="C39" s="270"/>
      <c r="D39" s="270"/>
      <c r="E39" s="270"/>
      <c r="F39" s="270"/>
      <c r="G39" s="270"/>
      <c r="H39" s="278"/>
      <c r="I39" s="269"/>
      <c r="J39" s="269"/>
      <c r="K39" s="269"/>
      <c r="L39" s="269"/>
      <c r="M39" s="269"/>
      <c r="N39" s="269"/>
      <c r="O39" s="269"/>
      <c r="P39" s="269"/>
      <c r="Q39" s="269"/>
      <c r="R39" s="28"/>
      <c r="S39" s="28"/>
      <c r="T39" s="28"/>
      <c r="U39" s="28"/>
      <c r="V39" s="28"/>
      <c r="W39" s="28"/>
      <c r="X39" s="28"/>
      <c r="Y39" s="28"/>
      <c r="Z39" s="28"/>
      <c r="AA39" s="28"/>
    </row>
    <row r="40" spans="1:27" ht="15" customHeight="1" x14ac:dyDescent="0.25">
      <c r="A40" s="269"/>
      <c r="B40" s="276"/>
      <c r="C40" s="432" t="s">
        <v>77</v>
      </c>
      <c r="D40" s="433"/>
      <c r="E40" s="433"/>
      <c r="F40" s="433"/>
      <c r="G40" s="434"/>
      <c r="H40" s="311"/>
      <c r="I40" s="269"/>
      <c r="J40" s="269"/>
      <c r="K40" s="269"/>
      <c r="L40" s="269"/>
      <c r="M40" s="269"/>
      <c r="N40" s="269"/>
      <c r="O40" s="269"/>
      <c r="P40" s="269"/>
      <c r="Q40" s="269"/>
      <c r="R40" s="28"/>
      <c r="S40" s="28"/>
      <c r="T40" s="28"/>
      <c r="U40" s="28"/>
      <c r="V40" s="28"/>
      <c r="W40" s="28"/>
      <c r="X40" s="28"/>
      <c r="Y40" s="28"/>
      <c r="Z40" s="28"/>
      <c r="AA40" s="28"/>
    </row>
    <row r="41" spans="1:27" ht="15" customHeight="1" x14ac:dyDescent="0.25">
      <c r="A41" s="269"/>
      <c r="B41" s="276"/>
      <c r="C41" s="435"/>
      <c r="D41" s="436"/>
      <c r="E41" s="436"/>
      <c r="F41" s="436"/>
      <c r="G41" s="437"/>
      <c r="H41" s="311"/>
      <c r="I41" s="269"/>
      <c r="J41" s="269"/>
      <c r="K41" s="269"/>
      <c r="L41" s="269"/>
      <c r="M41" s="269"/>
      <c r="N41" s="269"/>
      <c r="O41" s="269"/>
      <c r="P41" s="269"/>
      <c r="Q41" s="269"/>
      <c r="R41" s="28"/>
      <c r="S41" s="28"/>
      <c r="T41" s="28"/>
      <c r="U41" s="28"/>
      <c r="V41" s="28"/>
      <c r="W41" s="28"/>
      <c r="X41" s="28"/>
      <c r="Y41" s="28"/>
      <c r="Z41" s="28"/>
      <c r="AA41" s="28"/>
    </row>
    <row r="42" spans="1:27" ht="15" customHeight="1" x14ac:dyDescent="0.25">
      <c r="A42" s="269"/>
      <c r="B42" s="276"/>
      <c r="C42" s="438"/>
      <c r="D42" s="439"/>
      <c r="E42" s="439"/>
      <c r="F42" s="439"/>
      <c r="G42" s="440"/>
      <c r="H42" s="311"/>
      <c r="I42" s="312"/>
      <c r="J42" s="269"/>
      <c r="K42" s="269"/>
      <c r="L42" s="269"/>
      <c r="M42" s="269"/>
      <c r="N42" s="269"/>
      <c r="O42" s="269"/>
      <c r="P42" s="269"/>
      <c r="Q42" s="269"/>
      <c r="R42" s="28"/>
      <c r="S42" s="28"/>
      <c r="T42" s="28"/>
      <c r="U42" s="28"/>
      <c r="V42" s="28"/>
      <c r="W42" s="28"/>
      <c r="X42" s="28"/>
      <c r="Y42" s="28"/>
      <c r="Z42" s="28"/>
      <c r="AA42" s="28"/>
    </row>
    <row r="43" spans="1:27" ht="15" customHeight="1" x14ac:dyDescent="0.25">
      <c r="A43" s="269"/>
      <c r="B43" s="276"/>
      <c r="C43" s="316"/>
      <c r="D43" s="316"/>
      <c r="E43" s="316"/>
      <c r="F43" s="316"/>
      <c r="G43" s="316"/>
      <c r="H43" s="278"/>
      <c r="I43" s="312"/>
      <c r="J43" s="269"/>
      <c r="K43" s="269"/>
      <c r="L43" s="269"/>
      <c r="M43" s="269"/>
      <c r="N43" s="269"/>
      <c r="O43" s="269"/>
      <c r="P43" s="269"/>
      <c r="Q43" s="269"/>
      <c r="R43" s="28"/>
      <c r="S43" s="28"/>
      <c r="T43" s="28"/>
      <c r="U43" s="28"/>
      <c r="V43" s="28"/>
      <c r="W43" s="28"/>
      <c r="X43" s="28"/>
      <c r="Y43" s="28"/>
      <c r="Z43" s="28"/>
      <c r="AA43" s="28"/>
    </row>
    <row r="44" spans="1:27" ht="15" customHeight="1" x14ac:dyDescent="0.25">
      <c r="A44" s="269"/>
      <c r="B44" s="276"/>
      <c r="C44" s="323" t="str">
        <f>IF(AND(MIN('hidden sheet 1'!AE18:AE22)&lt;='TM-21 inputs'!E21, MAX('hidden sheet 1'!AE18:AE22)&gt;='TM-21 inputs'!E21), "", "! In-situ case temperature not within interpolation region")</f>
        <v/>
      </c>
      <c r="D44" s="316"/>
      <c r="E44" s="316"/>
      <c r="F44" s="316"/>
      <c r="G44" s="316"/>
      <c r="H44" s="278"/>
      <c r="I44" s="312"/>
      <c r="J44" s="269"/>
      <c r="K44" s="269"/>
      <c r="L44" s="269"/>
      <c r="M44" s="269"/>
      <c r="N44" s="269"/>
      <c r="O44" s="269"/>
      <c r="P44" s="269"/>
      <c r="Q44" s="269"/>
      <c r="R44" s="28"/>
      <c r="S44" s="28"/>
      <c r="T44" s="28"/>
      <c r="U44" s="28"/>
      <c r="V44" s="28"/>
      <c r="W44" s="28"/>
      <c r="X44" s="28"/>
      <c r="Y44" s="28"/>
      <c r="Z44" s="28"/>
      <c r="AA44" s="28"/>
    </row>
    <row r="45" spans="1:27" ht="15" customHeight="1" x14ac:dyDescent="0.25">
      <c r="A45" s="269"/>
      <c r="B45" s="276"/>
      <c r="C45" s="323" t="str">
        <f>IF(AND(MIN('hidden sheet 1'!AD18:AD22)&lt;='TM-21 inputs'!E20, MAX('hidden sheet 1'!AD18:AD22)&gt;='TM-21 inputs'!E20), "", "! Drive current not within interpolation region")</f>
        <v/>
      </c>
      <c r="D45" s="316"/>
      <c r="E45" s="316"/>
      <c r="F45" s="316"/>
      <c r="G45" s="316"/>
      <c r="H45" s="278"/>
      <c r="I45" s="270"/>
      <c r="J45" s="269"/>
      <c r="K45" s="269"/>
      <c r="L45" s="269"/>
      <c r="M45" s="269"/>
      <c r="N45" s="269"/>
      <c r="O45" s="269"/>
      <c r="P45" s="269"/>
      <c r="Q45" s="269"/>
      <c r="R45" s="28"/>
      <c r="S45" s="28"/>
      <c r="T45" s="28"/>
      <c r="U45" s="28"/>
      <c r="V45" s="28"/>
      <c r="W45" s="28"/>
      <c r="X45" s="28"/>
      <c r="Y45" s="28"/>
      <c r="Z45" s="28"/>
      <c r="AA45" s="28"/>
    </row>
    <row r="46" spans="1:27" ht="15" customHeight="1" x14ac:dyDescent="0.25">
      <c r="A46" s="269"/>
      <c r="B46" s="276"/>
      <c r="C46" s="316"/>
      <c r="D46" s="316"/>
      <c r="E46" s="316"/>
      <c r="F46" s="316"/>
      <c r="G46" s="316"/>
      <c r="H46" s="278"/>
      <c r="I46" s="269"/>
      <c r="J46" s="269"/>
      <c r="K46" s="269"/>
      <c r="L46" s="269"/>
      <c r="M46" s="269"/>
      <c r="N46" s="269"/>
      <c r="O46" s="269"/>
      <c r="P46" s="269"/>
      <c r="Q46" s="269"/>
      <c r="R46" s="28"/>
      <c r="S46" s="28"/>
      <c r="T46" s="28"/>
      <c r="U46" s="28"/>
      <c r="V46" s="28"/>
      <c r="W46" s="28"/>
      <c r="X46" s="28"/>
      <c r="Y46" s="28"/>
      <c r="Z46" s="28"/>
      <c r="AA46" s="28"/>
    </row>
    <row r="47" spans="1:27" ht="15" customHeight="1" thickBot="1" x14ac:dyDescent="0.3">
      <c r="A47" s="269"/>
      <c r="B47" s="309"/>
      <c r="C47" s="324"/>
      <c r="D47" s="324"/>
      <c r="E47" s="324"/>
      <c r="F47" s="324"/>
      <c r="G47" s="324"/>
      <c r="H47" s="313"/>
      <c r="I47" s="269"/>
      <c r="J47" s="269"/>
      <c r="K47" s="269"/>
      <c r="L47" s="269"/>
      <c r="M47" s="269"/>
      <c r="N47" s="269"/>
      <c r="O47" s="269"/>
      <c r="P47" s="269"/>
      <c r="Q47" s="269"/>
      <c r="R47" s="28"/>
      <c r="S47" s="28"/>
      <c r="T47" s="28"/>
      <c r="U47" s="28"/>
      <c r="V47" s="28"/>
      <c r="W47" s="28"/>
      <c r="X47" s="28"/>
      <c r="Y47" s="28"/>
      <c r="Z47" s="28"/>
      <c r="AA47" s="28"/>
    </row>
    <row r="48" spans="1:27" x14ac:dyDescent="0.25">
      <c r="A48" s="269"/>
      <c r="B48" s="269"/>
      <c r="C48" s="269"/>
      <c r="D48" s="269"/>
      <c r="E48" s="269"/>
      <c r="F48" s="269"/>
      <c r="G48" s="269"/>
      <c r="H48" s="269"/>
      <c r="I48" s="269"/>
      <c r="J48" s="269"/>
      <c r="K48" s="269"/>
      <c r="L48" s="269"/>
      <c r="M48" s="269"/>
      <c r="N48" s="269"/>
      <c r="O48" s="269"/>
      <c r="P48" s="269"/>
      <c r="Q48" s="269"/>
      <c r="R48" s="28"/>
      <c r="S48" s="28"/>
      <c r="T48" s="28"/>
      <c r="U48" s="28"/>
      <c r="V48" s="28"/>
      <c r="W48" s="28"/>
      <c r="X48" s="28"/>
      <c r="Y48" s="28"/>
      <c r="Z48" s="28"/>
      <c r="AA48" s="28"/>
    </row>
    <row r="49" spans="1:27" x14ac:dyDescent="0.25">
      <c r="A49" s="269"/>
      <c r="B49" s="269"/>
      <c r="C49" s="314">
        <f ca="1">TODAY()</f>
        <v>44497</v>
      </c>
      <c r="D49" s="315" t="str">
        <f>CONCATENATE("TM-21-19 Calculator: ", D6)</f>
        <v xml:space="preserve">TM-21-19 Calculator: </v>
      </c>
      <c r="E49" s="315"/>
      <c r="F49" s="269"/>
      <c r="G49" s="269"/>
      <c r="H49" s="269"/>
      <c r="I49" s="269"/>
      <c r="J49" s="269"/>
      <c r="K49" s="269"/>
      <c r="L49" s="314">
        <f ca="1">TODAY()</f>
        <v>44497</v>
      </c>
      <c r="M49" s="315" t="str">
        <f>CONCATENATE("TM-21-19 Calculator: ", D6)</f>
        <v xml:space="preserve">TM-21-19 Calculator: </v>
      </c>
      <c r="N49" s="315"/>
      <c r="O49" s="315"/>
      <c r="P49" s="269"/>
      <c r="Q49" s="269"/>
      <c r="R49" s="28"/>
      <c r="S49" s="28"/>
      <c r="T49" s="28"/>
      <c r="U49" s="217">
        <f ca="1">TODAY()</f>
        <v>44497</v>
      </c>
      <c r="V49" s="218" t="str">
        <f>CONCATENATE("TM-21-19 Calculator: ", D6)</f>
        <v xml:space="preserve">TM-21-19 Calculator: </v>
      </c>
      <c r="W49" s="218"/>
      <c r="X49" s="218"/>
      <c r="Y49" s="28"/>
      <c r="Z49" s="28"/>
      <c r="AA49" s="28"/>
    </row>
    <row r="50" spans="1:27" x14ac:dyDescent="0.25">
      <c r="A50" s="269"/>
      <c r="B50" s="269"/>
      <c r="C50" s="269"/>
      <c r="D50" s="269"/>
      <c r="E50" s="269"/>
      <c r="F50" s="269"/>
      <c r="G50" s="269"/>
      <c r="H50" s="269"/>
      <c r="I50" s="269"/>
      <c r="J50" s="269"/>
      <c r="K50" s="269"/>
      <c r="L50" s="269"/>
      <c r="M50" s="269"/>
      <c r="N50" s="269"/>
      <c r="O50" s="269"/>
      <c r="P50" s="269"/>
      <c r="Q50" s="269"/>
      <c r="R50" s="28"/>
      <c r="S50" s="28"/>
      <c r="T50" s="28"/>
      <c r="U50" s="28"/>
      <c r="V50" s="28"/>
      <c r="W50" s="28"/>
      <c r="X50" s="28"/>
      <c r="Y50" s="28"/>
      <c r="Z50" s="28"/>
      <c r="AA50" s="28"/>
    </row>
  </sheetData>
  <sheetProtection algorithmName="SHA-512" hashValue="N4nOAjIX5EaADtDAtdaHnUCh4FJXlpg7V+fcC5GOh3QU8t6JMvopT68XX7Z0yQrANlBf59T2afVD6+/6/qnkHQ==" saltValue="DRMqtCEFtIZjbN97Jkh4Og==" spinCount="100000" sheet="1" objects="1" scenarios="1" selectLockedCells="1"/>
  <mergeCells count="35">
    <mergeCell ref="C40:G42"/>
    <mergeCell ref="M10:M11"/>
    <mergeCell ref="P10:P11"/>
    <mergeCell ref="O10:O11"/>
    <mergeCell ref="C30:D30"/>
    <mergeCell ref="C31:D31"/>
    <mergeCell ref="C32:D32"/>
    <mergeCell ref="C20:D20"/>
    <mergeCell ref="C29:D29"/>
    <mergeCell ref="C22:D22"/>
    <mergeCell ref="D9:G12"/>
    <mergeCell ref="C33:D33"/>
    <mergeCell ref="C27:D27"/>
    <mergeCell ref="C28:D28"/>
    <mergeCell ref="C15:D15"/>
    <mergeCell ref="C19:D19"/>
    <mergeCell ref="L3:M3"/>
    <mergeCell ref="O3:P3"/>
    <mergeCell ref="U3:V3"/>
    <mergeCell ref="L10:L11"/>
    <mergeCell ref="C1:G1"/>
    <mergeCell ref="X3:Y3"/>
    <mergeCell ref="U10:U11"/>
    <mergeCell ref="X10:X11"/>
    <mergeCell ref="V10:V11"/>
    <mergeCell ref="Y10:Y11"/>
    <mergeCell ref="C21:D21"/>
    <mergeCell ref="D3:G3"/>
    <mergeCell ref="D6:G8"/>
    <mergeCell ref="C5:G5"/>
    <mergeCell ref="C9:C12"/>
    <mergeCell ref="C6:C8"/>
    <mergeCell ref="C18:E18"/>
    <mergeCell ref="C14:E14"/>
    <mergeCell ref="C16:D16"/>
  </mergeCells>
  <dataValidations count="1">
    <dataValidation type="list" allowBlank="1" showInputMessage="1" showErrorMessage="1" sqref="D3" xr:uid="{D1FED6B3-1783-4923-A59D-E596A981F7B1}">
      <formula1>dropdown</formula1>
    </dataValidation>
  </dataValidations>
  <pageMargins left="0.7" right="0.7" top="0.75" bottom="0.75" header="0.3" footer="0.3"/>
  <pageSetup paperSize="9" orientation="portrait" horizontalDpi="4294967293"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8" id="{AA65B9DC-292A-4A4B-AAFA-78B861A56436}">
            <xm:f>'hidden sheet 1'!$Z$9=0</xm:f>
            <x14:dxf>
              <font>
                <color theme="0"/>
              </font>
              <fill>
                <patternFill>
                  <fgColor theme="0"/>
                  <bgColor theme="0"/>
                </patternFill>
              </fill>
              <border>
                <left/>
                <right/>
                <top/>
                <bottom/>
                <vertical/>
                <horizontal/>
              </border>
            </x14:dxf>
          </x14:cfRule>
          <xm:sqref>S1:AA50</xm:sqref>
        </x14:conditionalFormatting>
        <x14:conditionalFormatting xmlns:xm="http://schemas.microsoft.com/office/excel/2006/main">
          <x14:cfRule type="expression" priority="1" id="{FEFC171E-C997-48D2-8566-8D0C3F04A106}">
            <xm:f>'hidden sheet 1'!$Z$7=1</xm:f>
            <x14:dxf>
              <fill>
                <patternFill>
                  <bgColor rgb="FFCFE1E9"/>
                </patternFill>
              </fill>
            </x14:dxf>
          </x14:cfRule>
          <xm:sqref>E19 M5 P5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AA9D8-D795-4654-B99D-E41CBB4A26BD}">
  <sheetPr codeName="Sheet3"/>
  <dimension ref="A1:T68"/>
  <sheetViews>
    <sheetView topLeftCell="A5" zoomScale="145" zoomScaleNormal="145" workbookViewId="0">
      <selection activeCell="C56" sqref="C56:C58"/>
    </sheetView>
  </sheetViews>
  <sheetFormatPr defaultRowHeight="15" x14ac:dyDescent="0.25"/>
  <cols>
    <col min="1" max="1" width="2.85546875" customWidth="1"/>
    <col min="2" max="2" width="18.28515625" customWidth="1"/>
    <col min="3" max="3" width="12.140625" customWidth="1"/>
    <col min="4" max="8" width="18.28515625" customWidth="1"/>
    <col min="9" max="9" width="6.5703125" customWidth="1"/>
    <col min="10" max="16" width="13.7109375" style="266" customWidth="1"/>
    <col min="17" max="17" width="13.5703125" style="266" customWidth="1"/>
    <col min="18" max="18" width="5.140625" customWidth="1"/>
    <col min="19" max="19" width="6.85546875" customWidth="1"/>
  </cols>
  <sheetData>
    <row r="1" spans="1:20" hidden="1" x14ac:dyDescent="0.25">
      <c r="A1" s="28"/>
      <c r="B1" s="28"/>
      <c r="C1" s="28"/>
      <c r="D1" s="28"/>
      <c r="E1" s="28"/>
      <c r="F1" s="28"/>
      <c r="G1" s="28"/>
      <c r="H1" s="28"/>
      <c r="K1" s="326" t="str">
        <f>'hidden sum calcs'!AG13</f>
        <v>1,1</v>
      </c>
      <c r="L1" s="326"/>
      <c r="M1" s="326" t="str">
        <f>'hidden sum calcs'!AH13</f>
        <v>1,2</v>
      </c>
      <c r="N1" s="326"/>
      <c r="O1" s="326" t="str">
        <f>'hidden sum calcs'!AI13</f>
        <v>2,1</v>
      </c>
      <c r="P1" s="326"/>
      <c r="Q1" s="326" t="str">
        <f>'hidden sum calcs'!AJ13</f>
        <v>2,2</v>
      </c>
      <c r="R1" s="27"/>
      <c r="S1" s="26" t="str">
        <f>'hidden sum calcs'!AK13</f>
        <v>Interpolation</v>
      </c>
    </row>
    <row r="2" spans="1:20" hidden="1" x14ac:dyDescent="0.25">
      <c r="A2" s="28"/>
      <c r="B2" s="28"/>
      <c r="C2" s="28"/>
      <c r="D2" s="28"/>
      <c r="E2" s="28"/>
      <c r="F2" s="28"/>
      <c r="G2" s="28"/>
      <c r="H2" s="28"/>
      <c r="I2" t="s">
        <v>66</v>
      </c>
      <c r="J2" s="327" t="str">
        <f>CONCATENATE("hours, ", K2)</f>
        <v>hours, 0,0</v>
      </c>
      <c r="K2" s="328" t="str">
        <f>'hidden sum calcs'!AG11</f>
        <v>0,0</v>
      </c>
      <c r="L2" s="327" t="str">
        <f>CONCATENATE("hours, ", M2)</f>
        <v>hours, 0,0</v>
      </c>
      <c r="M2" s="328" t="str">
        <f>'hidden sum calcs'!AH11</f>
        <v>0,0</v>
      </c>
      <c r="N2" s="327" t="str">
        <f>CONCATENATE("hours, ", O2)</f>
        <v>hours, 0,0</v>
      </c>
      <c r="O2" s="328" t="str">
        <f>'hidden sum calcs'!AI11</f>
        <v>0,0</v>
      </c>
      <c r="P2" s="327" t="str">
        <f>CONCATENATE("hours, ", Q2)</f>
        <v>hours, 0,0</v>
      </c>
      <c r="Q2" s="328" t="str">
        <f>'hidden sum calcs'!AJ11</f>
        <v>0,0</v>
      </c>
      <c r="R2" s="41" t="str">
        <f>CONCATENATE("hours, ", S2)</f>
        <v>hours, 0,0</v>
      </c>
      <c r="S2" s="20" t="str">
        <f>'hidden sum calcs'!AK11</f>
        <v>0,0</v>
      </c>
      <c r="T2" t="str">
        <f>IF('hidden sheet 1'!Z7=1, 'hidden sum calcs'!AC14, IF('hidden sheet 1'!Z8=1, 'hidden sum calcs'!U14, IF('hidden sheet 1'!Z9=1, 'hidden sum calcs'!AK14, "0")))</f>
        <v>0</v>
      </c>
    </row>
    <row r="3" spans="1:20" hidden="1" x14ac:dyDescent="0.25">
      <c r="A3" s="28"/>
      <c r="B3" s="28"/>
      <c r="C3" s="28"/>
      <c r="D3" s="28"/>
      <c r="E3" s="28"/>
      <c r="F3" s="28"/>
      <c r="G3" s="28"/>
      <c r="H3" s="28"/>
      <c r="I3" t="s">
        <v>67</v>
      </c>
      <c r="K3" s="266" t="str">
        <f>'hidden sum calcs'!AG17</f>
        <v>-</v>
      </c>
      <c r="M3" s="266" t="str">
        <f>'hidden sum calcs'!AH17</f>
        <v>-</v>
      </c>
      <c r="O3" s="266" t="str">
        <f>'hidden sum calcs'!AI17</f>
        <v>-</v>
      </c>
      <c r="Q3" s="266" t="str">
        <f>'hidden sum calcs'!AJ17</f>
        <v>-</v>
      </c>
      <c r="S3" t="str">
        <f>'hidden sum calcs'!AK17</f>
        <v>-</v>
      </c>
      <c r="T3" t="str">
        <f>IF('hidden sheet 1'!Z7=1, 'hidden sum calcs'!AA16, IF('hidden sheet 1'!Z8=1, 'hidden sum calcs'!W16, IF('hidden sheet 1'!Z9=1, 'hidden sum calcs'!AK16, "0")))</f>
        <v>0</v>
      </c>
    </row>
    <row r="4" spans="1:20" hidden="1" x14ac:dyDescent="0.25">
      <c r="A4" s="28"/>
      <c r="B4" s="28"/>
      <c r="C4" s="28"/>
      <c r="D4" s="28"/>
      <c r="E4" s="28"/>
      <c r="F4" s="28"/>
      <c r="G4" s="28"/>
      <c r="H4" s="28"/>
      <c r="I4" t="s">
        <v>68</v>
      </c>
      <c r="J4" s="268"/>
      <c r="K4" s="268" t="str">
        <f>'hidden sum calcs'!AG18</f>
        <v>-</v>
      </c>
      <c r="L4" s="268"/>
      <c r="M4" s="268" t="str">
        <f>'hidden sum calcs'!AH18</f>
        <v>-</v>
      </c>
      <c r="N4" s="268"/>
      <c r="O4" s="268" t="str">
        <f>'hidden sum calcs'!AI18</f>
        <v>-</v>
      </c>
      <c r="P4" s="268"/>
      <c r="Q4" s="268" t="str">
        <f>'hidden sum calcs'!AJ18</f>
        <v>-</v>
      </c>
      <c r="S4" t="str">
        <f>'hidden sum calcs'!AK18</f>
        <v>-</v>
      </c>
    </row>
    <row r="5" spans="1:20" ht="9" customHeight="1" x14ac:dyDescent="0.25">
      <c r="A5" s="30"/>
      <c r="B5" s="30"/>
      <c r="C5" s="30"/>
      <c r="D5" s="30"/>
      <c r="E5" s="30"/>
      <c r="F5" s="30"/>
      <c r="G5" s="30"/>
      <c r="H5" s="30"/>
      <c r="I5" s="30"/>
      <c r="J5" s="329"/>
      <c r="K5" s="447" t="s">
        <v>19</v>
      </c>
      <c r="L5" s="447"/>
      <c r="M5" s="447"/>
      <c r="N5" s="447"/>
      <c r="O5" s="447"/>
      <c r="P5" s="447"/>
      <c r="Q5" s="447"/>
      <c r="R5" s="211"/>
      <c r="S5" s="211"/>
      <c r="T5" s="28"/>
    </row>
    <row r="6" spans="1:20" ht="9" customHeight="1" x14ac:dyDescent="0.25">
      <c r="A6" s="30"/>
      <c r="B6" s="30"/>
      <c r="C6" s="30"/>
      <c r="D6" s="30"/>
      <c r="E6" s="30"/>
      <c r="F6" s="30"/>
      <c r="G6" s="30"/>
      <c r="H6" s="30"/>
      <c r="I6" s="210"/>
      <c r="J6" s="381" t="s">
        <v>63</v>
      </c>
      <c r="K6" s="381" t="str">
        <f>CONCATENATE('hidden sum calcs'!AG14, " °C, ", 'hidden sum calcs'!AG16, " mA")</f>
        <v>0 °C, 0 mA</v>
      </c>
      <c r="L6" s="381" t="s">
        <v>63</v>
      </c>
      <c r="M6" s="381" t="str">
        <f>CONCATENATE('hidden sum calcs'!AH14, " °C, ", 'hidden sum calcs'!AH16, " mA")</f>
        <v>0 °C, 0 mA</v>
      </c>
      <c r="N6" s="381" t="s">
        <v>63</v>
      </c>
      <c r="O6" s="381" t="str">
        <f>CONCATENATE('hidden sum calcs'!AI14, " °C, ", 'hidden sum calcs'!AI16, " mA")</f>
        <v>0 °C, 0 mA</v>
      </c>
      <c r="P6" s="381" t="s">
        <v>63</v>
      </c>
      <c r="Q6" s="381" t="str">
        <f>CONCATENATE('hidden sum calcs'!AJ14, " °C, ", 'hidden sum calcs'!AJ16, " mA")</f>
        <v>0 °C, 0 mA</v>
      </c>
      <c r="R6" s="212"/>
      <c r="S6" s="212"/>
      <c r="T6" s="28"/>
    </row>
    <row r="7" spans="1:20" ht="9" customHeight="1" x14ac:dyDescent="0.25">
      <c r="A7" s="30"/>
      <c r="B7" s="30"/>
      <c r="C7" s="30"/>
      <c r="D7" s="30"/>
      <c r="E7" s="30"/>
      <c r="F7" s="30"/>
      <c r="G7" s="30"/>
      <c r="H7" s="30"/>
      <c r="I7" s="210"/>
      <c r="J7" s="386">
        <f t="shared" ref="J7:Q7" si="0">IF(ISNUMBER(VALUE(J53)), VALUE(J53), VALUE($J$52))</f>
        <v>0</v>
      </c>
      <c r="K7" s="386">
        <f t="shared" si="0"/>
        <v>0</v>
      </c>
      <c r="L7" s="386">
        <f t="shared" si="0"/>
        <v>0</v>
      </c>
      <c r="M7" s="386">
        <f t="shared" si="0"/>
        <v>0</v>
      </c>
      <c r="N7" s="386">
        <f t="shared" si="0"/>
        <v>0</v>
      </c>
      <c r="O7" s="386">
        <f t="shared" si="0"/>
        <v>0</v>
      </c>
      <c r="P7" s="386">
        <f t="shared" si="0"/>
        <v>0</v>
      </c>
      <c r="Q7" s="386">
        <f t="shared" si="0"/>
        <v>0</v>
      </c>
      <c r="R7" s="124"/>
      <c r="S7" s="124"/>
      <c r="T7" s="28"/>
    </row>
    <row r="8" spans="1:20" ht="9" customHeight="1" x14ac:dyDescent="0.25">
      <c r="A8" s="30"/>
      <c r="B8" s="30"/>
      <c r="C8" s="30"/>
      <c r="D8" s="30"/>
      <c r="E8" s="30"/>
      <c r="F8" s="30"/>
      <c r="G8" s="30"/>
      <c r="H8" s="30"/>
      <c r="I8" s="210"/>
      <c r="J8" s="330">
        <f t="shared" ref="J8:L12" si="1">IF(ISNUMBER(VALUE(J54)), VALUE(J54), VALUE($J$52))</f>
        <v>0</v>
      </c>
      <c r="K8" s="330">
        <f t="shared" ref="K8" si="2">IF(ISNUMBER(VALUE(K54)), VALUE(K54), VALUE($J$52))</f>
        <v>0</v>
      </c>
      <c r="L8" s="330">
        <f t="shared" si="1"/>
        <v>0</v>
      </c>
      <c r="M8" s="330">
        <f t="shared" ref="M8" si="3">IF(ISNUMBER(VALUE(M54)), VALUE(M54), VALUE($J$52))</f>
        <v>0</v>
      </c>
      <c r="N8" s="330">
        <f t="shared" ref="N8:O8" si="4">IF(ISNUMBER(VALUE(N54)), VALUE(N54), VALUE($J$52))</f>
        <v>0</v>
      </c>
      <c r="O8" s="330">
        <f t="shared" si="4"/>
        <v>0</v>
      </c>
      <c r="P8" s="330">
        <f t="shared" ref="P8:Q8" si="5">IF(ISNUMBER(VALUE(P54)), VALUE(P54), VALUE($J$52))</f>
        <v>0</v>
      </c>
      <c r="Q8" s="330">
        <f t="shared" si="5"/>
        <v>0</v>
      </c>
      <c r="R8" s="124"/>
      <c r="S8" s="124"/>
      <c r="T8" s="28"/>
    </row>
    <row r="9" spans="1:20" ht="9" customHeight="1" x14ac:dyDescent="0.25">
      <c r="A9" s="30"/>
      <c r="B9" s="30"/>
      <c r="C9" s="30"/>
      <c r="D9" s="30"/>
      <c r="E9" s="30"/>
      <c r="F9" s="30"/>
      <c r="G9" s="30"/>
      <c r="H9" s="30"/>
      <c r="I9" s="210"/>
      <c r="J9" s="386">
        <f t="shared" si="1"/>
        <v>0</v>
      </c>
      <c r="K9" s="386">
        <f t="shared" ref="K9" si="6">IF(ISNUMBER(VALUE(K55)), VALUE(K55), VALUE($J$52))</f>
        <v>0</v>
      </c>
      <c r="L9" s="386">
        <f t="shared" si="1"/>
        <v>0</v>
      </c>
      <c r="M9" s="386">
        <f t="shared" ref="M9" si="7">IF(ISNUMBER(VALUE(M55)), VALUE(M55), VALUE($J$52))</f>
        <v>0</v>
      </c>
      <c r="N9" s="386">
        <f t="shared" ref="N9:O9" si="8">IF(ISNUMBER(VALUE(N55)), VALUE(N55), VALUE($J$52))</f>
        <v>0</v>
      </c>
      <c r="O9" s="386">
        <f t="shared" si="8"/>
        <v>0</v>
      </c>
      <c r="P9" s="386">
        <f t="shared" ref="P9:Q9" si="9">IF(ISNUMBER(VALUE(P55)), VALUE(P55), VALUE($J$52))</f>
        <v>0</v>
      </c>
      <c r="Q9" s="386">
        <f t="shared" si="9"/>
        <v>0</v>
      </c>
      <c r="R9" s="124"/>
      <c r="S9" s="124"/>
      <c r="T9" s="28"/>
    </row>
    <row r="10" spans="1:20" ht="9" customHeight="1" x14ac:dyDescent="0.25">
      <c r="A10" s="30"/>
      <c r="B10" s="30"/>
      <c r="C10" s="30"/>
      <c r="D10" s="30"/>
      <c r="E10" s="30"/>
      <c r="F10" s="30"/>
      <c r="G10" s="30"/>
      <c r="H10" s="30"/>
      <c r="I10" s="210"/>
      <c r="J10" s="330">
        <f t="shared" si="1"/>
        <v>0</v>
      </c>
      <c r="K10" s="330">
        <f t="shared" ref="K10" si="10">IF(ISNUMBER(VALUE(K56)), VALUE(K56), VALUE($J$52))</f>
        <v>0</v>
      </c>
      <c r="L10" s="330">
        <f t="shared" si="1"/>
        <v>0</v>
      </c>
      <c r="M10" s="330">
        <f t="shared" ref="M10" si="11">IF(ISNUMBER(VALUE(M56)), VALUE(M56), VALUE($J$52))</f>
        <v>0</v>
      </c>
      <c r="N10" s="330">
        <f t="shared" ref="N10:O10" si="12">IF(ISNUMBER(VALUE(N56)), VALUE(N56), VALUE($J$52))</f>
        <v>0</v>
      </c>
      <c r="O10" s="330">
        <f t="shared" si="12"/>
        <v>0</v>
      </c>
      <c r="P10" s="330">
        <f t="shared" ref="P10:Q10" si="13">IF(ISNUMBER(VALUE(P56)), VALUE(P56), VALUE($J$52))</f>
        <v>0</v>
      </c>
      <c r="Q10" s="330">
        <f t="shared" si="13"/>
        <v>0</v>
      </c>
      <c r="R10" s="124"/>
      <c r="S10" s="124"/>
      <c r="T10" s="28"/>
    </row>
    <row r="11" spans="1:20" ht="9" customHeight="1" x14ac:dyDescent="0.25">
      <c r="A11" s="30"/>
      <c r="B11" s="30"/>
      <c r="C11" s="30"/>
      <c r="D11" s="30"/>
      <c r="E11" s="30"/>
      <c r="F11" s="30"/>
      <c r="G11" s="30"/>
      <c r="H11" s="30"/>
      <c r="I11" s="210"/>
      <c r="J11" s="386">
        <f t="shared" si="1"/>
        <v>0</v>
      </c>
      <c r="K11" s="386">
        <f t="shared" ref="K11:L17" si="14">IF(ISNUMBER(VALUE(K57)), VALUE(K57), VALUE($J$52))</f>
        <v>0</v>
      </c>
      <c r="L11" s="386">
        <f t="shared" si="1"/>
        <v>0</v>
      </c>
      <c r="M11" s="386">
        <f t="shared" ref="M11:Q17" si="15">IF(ISNUMBER(VALUE(M57)), VALUE(M57), VALUE($J$52))</f>
        <v>0</v>
      </c>
      <c r="N11" s="386">
        <f t="shared" ref="N11:O11" si="16">IF(ISNUMBER(VALUE(N57)), VALUE(N57), VALUE($J$52))</f>
        <v>0</v>
      </c>
      <c r="O11" s="386">
        <f t="shared" si="16"/>
        <v>0</v>
      </c>
      <c r="P11" s="386">
        <f t="shared" ref="P11:Q11" si="17">IF(ISNUMBER(VALUE(P57)), VALUE(P57), VALUE($J$52))</f>
        <v>0</v>
      </c>
      <c r="Q11" s="386">
        <f t="shared" si="17"/>
        <v>0</v>
      </c>
      <c r="R11" s="124"/>
      <c r="S11" s="124"/>
      <c r="T11" s="28"/>
    </row>
    <row r="12" spans="1:20" ht="9" customHeight="1" x14ac:dyDescent="0.25">
      <c r="A12" s="30"/>
      <c r="B12" s="30"/>
      <c r="C12" s="30"/>
      <c r="D12" s="30"/>
      <c r="E12" s="30"/>
      <c r="F12" s="30"/>
      <c r="G12" s="30"/>
      <c r="H12" s="30"/>
      <c r="I12" s="210"/>
      <c r="J12" s="330">
        <f t="shared" si="1"/>
        <v>0</v>
      </c>
      <c r="K12" s="330">
        <f t="shared" ref="K12" si="18">IF(ISNUMBER(VALUE(K58)), VALUE(K58), VALUE($J$52))</f>
        <v>0</v>
      </c>
      <c r="L12" s="330">
        <f t="shared" si="1"/>
        <v>0</v>
      </c>
      <c r="M12" s="330">
        <f t="shared" ref="M12" si="19">IF(ISNUMBER(VALUE(M58)), VALUE(M58), VALUE($J$52))</f>
        <v>0</v>
      </c>
      <c r="N12" s="330">
        <f t="shared" ref="N12:O12" si="20">IF(ISNUMBER(VALUE(N58)), VALUE(N58), VALUE($J$52))</f>
        <v>0</v>
      </c>
      <c r="O12" s="330">
        <f t="shared" si="20"/>
        <v>0</v>
      </c>
      <c r="P12" s="330">
        <f t="shared" ref="P12:Q12" si="21">IF(ISNUMBER(VALUE(P58)), VALUE(P58), VALUE($J$52))</f>
        <v>0</v>
      </c>
      <c r="Q12" s="330">
        <f t="shared" si="21"/>
        <v>0</v>
      </c>
      <c r="R12" s="124"/>
      <c r="S12" s="124"/>
      <c r="T12" s="28"/>
    </row>
    <row r="13" spans="1:20" ht="9" customHeight="1" x14ac:dyDescent="0.25">
      <c r="A13" s="30"/>
      <c r="B13" s="30"/>
      <c r="C13" s="30"/>
      <c r="D13" s="30"/>
      <c r="E13" s="30"/>
      <c r="F13" s="30"/>
      <c r="G13" s="30"/>
      <c r="H13" s="30"/>
      <c r="I13" s="210"/>
      <c r="J13" s="386">
        <f t="shared" ref="J13" si="22">IF(ISNUMBER(VALUE(J59)), VALUE(J59), VALUE($J$52))</f>
        <v>0</v>
      </c>
      <c r="K13" s="386">
        <f t="shared" si="14"/>
        <v>0</v>
      </c>
      <c r="L13" s="386">
        <f t="shared" si="14"/>
        <v>0</v>
      </c>
      <c r="M13" s="386">
        <f t="shared" si="15"/>
        <v>0</v>
      </c>
      <c r="N13" s="386">
        <f t="shared" si="15"/>
        <v>0</v>
      </c>
      <c r="O13" s="386">
        <f t="shared" si="15"/>
        <v>0</v>
      </c>
      <c r="P13" s="386">
        <f t="shared" si="15"/>
        <v>0</v>
      </c>
      <c r="Q13" s="386">
        <f t="shared" si="15"/>
        <v>0</v>
      </c>
      <c r="R13" s="124"/>
      <c r="S13" s="124"/>
      <c r="T13" s="28"/>
    </row>
    <row r="14" spans="1:20" ht="9" customHeight="1" x14ac:dyDescent="0.25">
      <c r="A14" s="30"/>
      <c r="B14" s="30"/>
      <c r="C14" s="30"/>
      <c r="D14" s="30"/>
      <c r="E14" s="30"/>
      <c r="F14" s="30"/>
      <c r="G14" s="30"/>
      <c r="H14" s="30"/>
      <c r="I14" s="210"/>
      <c r="J14" s="330">
        <f t="shared" ref="J14:Q14" si="23">IF(ISNUMBER(VALUE(J60)), VALUE(J60), VALUE($J$52))</f>
        <v>0</v>
      </c>
      <c r="K14" s="330">
        <f t="shared" si="23"/>
        <v>0</v>
      </c>
      <c r="L14" s="330">
        <f t="shared" si="23"/>
        <v>0</v>
      </c>
      <c r="M14" s="330">
        <f t="shared" si="23"/>
        <v>0</v>
      </c>
      <c r="N14" s="330">
        <f t="shared" si="23"/>
        <v>0</v>
      </c>
      <c r="O14" s="330">
        <f t="shared" si="23"/>
        <v>0</v>
      </c>
      <c r="P14" s="330">
        <f t="shared" si="23"/>
        <v>0</v>
      </c>
      <c r="Q14" s="330">
        <f t="shared" si="23"/>
        <v>0</v>
      </c>
      <c r="R14" s="124" t="str">
        <f>IF(ISNUMBER(_xlfn.XLOOKUP(R$2,'hidden sum calcs'!$D$11:$K$11,'hidden sum calcs'!$D23:$K23,"",0)), (_xlfn.XLOOKUP(R$2,'hidden sum calcs'!$D$11:$K$11,'hidden sum calcs'!$D23:$K23,"",0)),"")</f>
        <v/>
      </c>
      <c r="S14" s="124" t="str">
        <f>_xlfn.XLOOKUP(S$2, 'hidden sum calcs'!$D$11:$K$11, 'hidden sum calcs'!$D23:$K23, "", 0)</f>
        <v/>
      </c>
      <c r="T14" s="28"/>
    </row>
    <row r="15" spans="1:20" ht="9" customHeight="1" x14ac:dyDescent="0.25">
      <c r="A15" s="30"/>
      <c r="B15" s="30"/>
      <c r="C15" s="30"/>
      <c r="D15" s="30"/>
      <c r="E15" s="30"/>
      <c r="F15" s="30"/>
      <c r="G15" s="30"/>
      <c r="H15" s="30"/>
      <c r="I15" s="210"/>
      <c r="J15" s="386">
        <f t="shared" ref="J15" si="24">IF(ISNUMBER(VALUE(J61)), VALUE(J61), VALUE($J$52))</f>
        <v>0</v>
      </c>
      <c r="K15" s="386">
        <f t="shared" si="14"/>
        <v>0</v>
      </c>
      <c r="L15" s="386">
        <f t="shared" si="14"/>
        <v>0</v>
      </c>
      <c r="M15" s="386">
        <f t="shared" si="15"/>
        <v>0</v>
      </c>
      <c r="N15" s="386">
        <f t="shared" si="15"/>
        <v>0</v>
      </c>
      <c r="O15" s="386">
        <f t="shared" si="15"/>
        <v>0</v>
      </c>
      <c r="P15" s="386">
        <f t="shared" si="15"/>
        <v>0</v>
      </c>
      <c r="Q15" s="386">
        <f t="shared" si="15"/>
        <v>0</v>
      </c>
      <c r="R15" s="124" t="str">
        <f>IF(ISNUMBER(_xlfn.XLOOKUP(R$2,'hidden sum calcs'!$D$11:$K$11,'hidden sum calcs'!$D24:$K24,"",0)), (_xlfn.XLOOKUP(R$2,'hidden sum calcs'!$D$11:$K$11,'hidden sum calcs'!$D24:$K24,"",0)),"")</f>
        <v/>
      </c>
      <c r="S15" s="124" t="str">
        <f>_xlfn.XLOOKUP(S$2, 'hidden sum calcs'!$D$11:$K$11, 'hidden sum calcs'!$D24:$K24, "", 0)</f>
        <v/>
      </c>
      <c r="T15" s="28"/>
    </row>
    <row r="16" spans="1:20" ht="9" customHeight="1" x14ac:dyDescent="0.25">
      <c r="A16" s="30"/>
      <c r="B16" s="30"/>
      <c r="C16" s="30"/>
      <c r="D16" s="30"/>
      <c r="E16" s="30"/>
      <c r="F16" s="30"/>
      <c r="G16" s="30"/>
      <c r="H16" s="30"/>
      <c r="I16" s="210" t="str">
        <f>IF(I15="", "", IF((I15+'hidden sum calcs'!E$6)&lt;='hidden sum calcs'!E$3, (I15+'hidden sum calcs'!E$6), ""))</f>
        <v/>
      </c>
      <c r="J16" s="330">
        <f t="shared" ref="J16:Q16" si="25">IF(ISNUMBER(VALUE(J62)), VALUE(J62), VALUE($J$52))</f>
        <v>0</v>
      </c>
      <c r="K16" s="330">
        <f t="shared" si="25"/>
        <v>0</v>
      </c>
      <c r="L16" s="330">
        <f t="shared" si="25"/>
        <v>0</v>
      </c>
      <c r="M16" s="330">
        <f t="shared" si="25"/>
        <v>0</v>
      </c>
      <c r="N16" s="330">
        <f t="shared" si="25"/>
        <v>0</v>
      </c>
      <c r="O16" s="330">
        <f t="shared" si="25"/>
        <v>0</v>
      </c>
      <c r="P16" s="330">
        <f t="shared" si="25"/>
        <v>0</v>
      </c>
      <c r="Q16" s="330">
        <f t="shared" si="25"/>
        <v>0</v>
      </c>
      <c r="R16" s="124" t="str">
        <f>IF(ISNUMBER(_xlfn.XLOOKUP(R$2,'hidden sum calcs'!$D$11:$K$11,'hidden sum calcs'!$D25:$K25,"",0)), (_xlfn.XLOOKUP(R$2,'hidden sum calcs'!$D$11:$K$11,'hidden sum calcs'!$D25:$K25,"",0)),"")</f>
        <v/>
      </c>
      <c r="S16" s="124" t="str">
        <f>_xlfn.XLOOKUP(S$2, 'hidden sum calcs'!$D$11:$K$11, 'hidden sum calcs'!$D25:$K25, "", 0)</f>
        <v/>
      </c>
      <c r="T16" s="28"/>
    </row>
    <row r="17" spans="1:20" ht="9" customHeight="1" x14ac:dyDescent="0.25">
      <c r="A17" s="30"/>
      <c r="B17" s="30"/>
      <c r="C17" s="30"/>
      <c r="D17" s="30"/>
      <c r="E17" s="30"/>
      <c r="F17" s="30"/>
      <c r="G17" s="30"/>
      <c r="H17" s="30"/>
      <c r="I17" s="210" t="str">
        <f>IF(I16="", "", IF((I16+'hidden sum calcs'!E$6)&lt;='hidden sum calcs'!E$3, (I16+'hidden sum calcs'!E$6), ""))</f>
        <v/>
      </c>
      <c r="J17" s="386">
        <f t="shared" ref="J17" si="26">IF(ISNUMBER(VALUE(J63)), VALUE(J63), VALUE($J$52))</f>
        <v>0</v>
      </c>
      <c r="K17" s="386">
        <f t="shared" si="14"/>
        <v>0</v>
      </c>
      <c r="L17" s="386">
        <f t="shared" si="14"/>
        <v>0</v>
      </c>
      <c r="M17" s="386">
        <f t="shared" si="15"/>
        <v>0</v>
      </c>
      <c r="N17" s="386">
        <f t="shared" si="15"/>
        <v>0</v>
      </c>
      <c r="O17" s="386">
        <f t="shared" si="15"/>
        <v>0</v>
      </c>
      <c r="P17" s="386">
        <f t="shared" si="15"/>
        <v>0</v>
      </c>
      <c r="Q17" s="386">
        <f t="shared" si="15"/>
        <v>0</v>
      </c>
      <c r="R17" s="124" t="str">
        <f>IF(ISNUMBER(_xlfn.XLOOKUP(R$2,'hidden sum calcs'!$D$11:$K$11,'hidden sum calcs'!$D26:$K26,"",0)), (_xlfn.XLOOKUP(R$2,'hidden sum calcs'!$D$11:$K$11,'hidden sum calcs'!$D26:$K26,"",0)),"")</f>
        <v/>
      </c>
      <c r="S17" s="124" t="str">
        <f>_xlfn.XLOOKUP(S$2, 'hidden sum calcs'!$D$11:$K$11, 'hidden sum calcs'!$D26:$K26, "", 0)</f>
        <v/>
      </c>
      <c r="T17" s="28"/>
    </row>
    <row r="18" spans="1:20" ht="9" customHeight="1" x14ac:dyDescent="0.25">
      <c r="A18" s="30"/>
      <c r="B18" s="30"/>
      <c r="C18" s="30"/>
      <c r="D18" s="30"/>
      <c r="E18" s="30"/>
      <c r="F18" s="30"/>
      <c r="G18" s="30"/>
      <c r="H18" s="30"/>
      <c r="I18" s="210" t="str">
        <f>IF(I17="", "", IF((I17+'hidden sum calcs'!E$6)&lt;='hidden sum calcs'!E$3, (I17+'hidden sum calcs'!E$6), ""))</f>
        <v/>
      </c>
      <c r="J18" s="330">
        <f t="shared" ref="J18:Q18" si="27">IF(ISNUMBER(VALUE(J64)), VALUE(J64), VALUE($J$52))</f>
        <v>0</v>
      </c>
      <c r="K18" s="330">
        <f t="shared" si="27"/>
        <v>0</v>
      </c>
      <c r="L18" s="330">
        <f t="shared" si="27"/>
        <v>0</v>
      </c>
      <c r="M18" s="330">
        <f t="shared" si="27"/>
        <v>0</v>
      </c>
      <c r="N18" s="330">
        <f t="shared" si="27"/>
        <v>0</v>
      </c>
      <c r="O18" s="330">
        <f t="shared" si="27"/>
        <v>0</v>
      </c>
      <c r="P18" s="330">
        <f t="shared" si="27"/>
        <v>0</v>
      </c>
      <c r="Q18" s="330">
        <f t="shared" si="27"/>
        <v>0</v>
      </c>
      <c r="R18" s="124" t="str">
        <f>IF(ISNUMBER(_xlfn.XLOOKUP(R$2,'hidden sum calcs'!$D$11:$K$11,'hidden sum calcs'!$D28:$K28,"",0)), (_xlfn.XLOOKUP(R$2,'hidden sum calcs'!$D$11:$K$11,'hidden sum calcs'!$D28:$K28,"",0)),"")</f>
        <v/>
      </c>
      <c r="S18" s="124" t="str">
        <f>_xlfn.XLOOKUP(S$2, 'hidden sum calcs'!$D$11:$K$11, 'hidden sum calcs'!$D28:$K28, "", 0)</f>
        <v/>
      </c>
      <c r="T18" s="28"/>
    </row>
    <row r="19" spans="1:20" ht="9" customHeight="1" x14ac:dyDescent="0.25">
      <c r="A19" s="30"/>
      <c r="B19" s="30"/>
      <c r="C19" s="30"/>
      <c r="D19" s="30"/>
      <c r="E19" s="30"/>
      <c r="F19" s="30"/>
      <c r="G19" s="30"/>
      <c r="H19" s="30"/>
      <c r="I19" s="30"/>
      <c r="J19" s="329"/>
      <c r="K19" s="447" t="s">
        <v>73</v>
      </c>
      <c r="L19" s="447"/>
      <c r="M19" s="447"/>
      <c r="N19" s="447"/>
      <c r="O19" s="447"/>
      <c r="P19" s="337"/>
      <c r="Q19" s="331"/>
      <c r="R19" s="30"/>
      <c r="S19" s="30"/>
      <c r="T19" s="28"/>
    </row>
    <row r="20" spans="1:20" ht="22.5" x14ac:dyDescent="0.25">
      <c r="A20" s="30"/>
      <c r="B20" s="30"/>
      <c r="C20" s="30"/>
      <c r="D20" s="30"/>
      <c r="E20" s="30"/>
      <c r="F20" s="30"/>
      <c r="G20" s="30"/>
      <c r="H20" s="30"/>
      <c r="I20" s="30"/>
      <c r="J20" s="382" t="s">
        <v>63</v>
      </c>
      <c r="K20" s="382" t="str">
        <f>CONCATENATE('hidden sum calcs'!AG14, " °C, ", 'hidden sum calcs'!AG16, " mA", " projected")</f>
        <v>0 °C, 0 mA projected</v>
      </c>
      <c r="L20" s="382" t="str">
        <f>CONCATENATE('hidden sum calcs'!AH14, " °C, ", 'hidden sum calcs'!AH16, " mA", " projected")</f>
        <v>0 °C, 0 mA projected</v>
      </c>
      <c r="M20" s="382" t="str">
        <f>CONCATENATE('hidden sum calcs'!AI14, " °C, ", 'hidden sum calcs'!AI16, " mA", " projected")</f>
        <v>0 °C, 0 mA projected</v>
      </c>
      <c r="N20" s="382" t="str">
        <f>CONCATENATE('hidden sum calcs'!AJ14, " °C, ", 'hidden sum calcs'!AJ16, " mA", " projected")</f>
        <v>0 °C, 0 mA projected</v>
      </c>
      <c r="O20" s="382" t="str">
        <f>CONCATENATE(T2, " °C, ",T3, " mA", " projected")</f>
        <v>0 °C, 0 mA projected</v>
      </c>
      <c r="P20" s="331"/>
      <c r="Q20" s="331"/>
      <c r="R20" s="30"/>
      <c r="S20" s="30"/>
      <c r="T20" s="28"/>
    </row>
    <row r="21" spans="1:20" ht="9" customHeight="1" x14ac:dyDescent="0.25">
      <c r="A21" s="30"/>
      <c r="B21" s="30"/>
      <c r="C21" s="30"/>
      <c r="D21" s="30"/>
      <c r="E21" s="30"/>
      <c r="F21" s="30"/>
      <c r="G21" s="30"/>
      <c r="H21" s="30"/>
      <c r="I21" s="30"/>
      <c r="J21" s="386" t="str">
        <f>'hidden sum calcs'!$E$3</f>
        <v/>
      </c>
      <c r="K21" s="387" t="e">
        <f t="shared" ref="K21:K51" si="28">K$4*EXP(-K$3*$J21)</f>
        <v>#VALUE!</v>
      </c>
      <c r="L21" s="387" t="e">
        <f t="shared" ref="L21:L51" si="29">M$4*EXP(-M$3*$J21)</f>
        <v>#VALUE!</v>
      </c>
      <c r="M21" s="387" t="e">
        <f t="shared" ref="M21:M51" si="30">O$4*EXP(-O$3*$J21)</f>
        <v>#VALUE!</v>
      </c>
      <c r="N21" s="387" t="e">
        <f t="shared" ref="N21:N51" si="31">Q$4*EXP(-Q$3*$J21)</f>
        <v>#VALUE!</v>
      </c>
      <c r="O21" s="387" t="e">
        <f t="shared" ref="O21:O51" si="32">S$4*EXP(-S$3*$J21)</f>
        <v>#VALUE!</v>
      </c>
      <c r="P21" s="331"/>
      <c r="Q21" s="331"/>
      <c r="R21" s="30"/>
      <c r="S21" s="30"/>
      <c r="T21" s="28"/>
    </row>
    <row r="22" spans="1:20" ht="9" customHeight="1" x14ac:dyDescent="0.25">
      <c r="A22" s="30"/>
      <c r="B22" s="30"/>
      <c r="C22" s="30"/>
      <c r="D22" s="30"/>
      <c r="E22" s="30"/>
      <c r="F22" s="30"/>
      <c r="G22" s="30"/>
      <c r="H22" s="30"/>
      <c r="I22" s="30"/>
      <c r="J22" s="332" t="e">
        <f>J21+('hidden sum calcs'!$E$6*$C$56)</f>
        <v>#VALUE!</v>
      </c>
      <c r="K22" s="333" t="e">
        <f t="shared" si="28"/>
        <v>#VALUE!</v>
      </c>
      <c r="L22" s="333" t="e">
        <f t="shared" si="29"/>
        <v>#VALUE!</v>
      </c>
      <c r="M22" s="333" t="e">
        <f t="shared" si="30"/>
        <v>#VALUE!</v>
      </c>
      <c r="N22" s="333" t="e">
        <f t="shared" si="31"/>
        <v>#VALUE!</v>
      </c>
      <c r="O22" s="333" t="e">
        <f t="shared" si="32"/>
        <v>#VALUE!</v>
      </c>
      <c r="P22" s="334"/>
      <c r="Q22" s="334"/>
      <c r="R22" s="224"/>
      <c r="S22" s="224"/>
      <c r="T22" s="28"/>
    </row>
    <row r="23" spans="1:20" ht="9" customHeight="1" x14ac:dyDescent="0.25">
      <c r="A23" s="30"/>
      <c r="B23" s="30"/>
      <c r="C23" s="30"/>
      <c r="D23" s="30"/>
      <c r="E23" s="30"/>
      <c r="F23" s="30"/>
      <c r="G23" s="30"/>
      <c r="H23" s="30"/>
      <c r="I23" s="30"/>
      <c r="J23" s="386" t="e">
        <f>J22+('hidden sum calcs'!$E$6*$C$56)</f>
        <v>#VALUE!</v>
      </c>
      <c r="K23" s="387" t="e">
        <f t="shared" si="28"/>
        <v>#VALUE!</v>
      </c>
      <c r="L23" s="387" t="e">
        <f t="shared" si="29"/>
        <v>#VALUE!</v>
      </c>
      <c r="M23" s="387" t="e">
        <f t="shared" si="30"/>
        <v>#VALUE!</v>
      </c>
      <c r="N23" s="387" t="e">
        <f t="shared" si="31"/>
        <v>#VALUE!</v>
      </c>
      <c r="O23" s="387" t="e">
        <f t="shared" si="32"/>
        <v>#VALUE!</v>
      </c>
      <c r="P23" s="334"/>
      <c r="Q23" s="334"/>
      <c r="R23" s="224"/>
      <c r="S23" s="224"/>
      <c r="T23" s="28"/>
    </row>
    <row r="24" spans="1:20" ht="9" customHeight="1" x14ac:dyDescent="0.25">
      <c r="A24" s="30"/>
      <c r="B24" s="30"/>
      <c r="C24" s="30"/>
      <c r="D24" s="30"/>
      <c r="E24" s="30"/>
      <c r="F24" s="30"/>
      <c r="G24" s="30"/>
      <c r="H24" s="30"/>
      <c r="I24" s="30"/>
      <c r="J24" s="332" t="e">
        <f>J23+('hidden sum calcs'!$E$6*$C$56)</f>
        <v>#VALUE!</v>
      </c>
      <c r="K24" s="333" t="e">
        <f>K$4*EXP(-K$3*$J24)</f>
        <v>#VALUE!</v>
      </c>
      <c r="L24" s="333" t="e">
        <f t="shared" si="29"/>
        <v>#VALUE!</v>
      </c>
      <c r="M24" s="333" t="e">
        <f t="shared" si="30"/>
        <v>#VALUE!</v>
      </c>
      <c r="N24" s="333" t="e">
        <f t="shared" si="31"/>
        <v>#VALUE!</v>
      </c>
      <c r="O24" s="333" t="e">
        <f t="shared" si="32"/>
        <v>#VALUE!</v>
      </c>
      <c r="P24" s="334"/>
      <c r="Q24" s="334"/>
      <c r="R24" s="224"/>
      <c r="S24" s="224"/>
      <c r="T24" s="28"/>
    </row>
    <row r="25" spans="1:20" ht="9" customHeight="1" x14ac:dyDescent="0.25">
      <c r="A25" s="30"/>
      <c r="B25" s="30"/>
      <c r="C25" s="30"/>
      <c r="D25" s="30"/>
      <c r="E25" s="30"/>
      <c r="F25" s="30"/>
      <c r="G25" s="30"/>
      <c r="H25" s="30"/>
      <c r="I25" s="30"/>
      <c r="J25" s="386" t="e">
        <f>J24+('hidden sum calcs'!$E$6*$C$56)</f>
        <v>#VALUE!</v>
      </c>
      <c r="K25" s="387" t="e">
        <f t="shared" si="28"/>
        <v>#VALUE!</v>
      </c>
      <c r="L25" s="387" t="e">
        <f t="shared" si="29"/>
        <v>#VALUE!</v>
      </c>
      <c r="M25" s="387" t="e">
        <f t="shared" si="30"/>
        <v>#VALUE!</v>
      </c>
      <c r="N25" s="387" t="e">
        <f t="shared" si="31"/>
        <v>#VALUE!</v>
      </c>
      <c r="O25" s="387" t="e">
        <f t="shared" si="32"/>
        <v>#VALUE!</v>
      </c>
      <c r="P25" s="334"/>
      <c r="Q25" s="334"/>
      <c r="R25" s="224"/>
      <c r="S25" s="224"/>
      <c r="T25" s="28"/>
    </row>
    <row r="26" spans="1:20" ht="9" customHeight="1" x14ac:dyDescent="0.25">
      <c r="A26" s="30"/>
      <c r="B26" s="30"/>
      <c r="C26" s="30"/>
      <c r="D26" s="30"/>
      <c r="E26" s="30"/>
      <c r="F26" s="30"/>
      <c r="G26" s="30"/>
      <c r="H26" s="30"/>
      <c r="I26" s="30"/>
      <c r="J26" s="332" t="e">
        <f>J25+('hidden sum calcs'!$E$6*$C$56)</f>
        <v>#VALUE!</v>
      </c>
      <c r="K26" s="333" t="e">
        <f t="shared" si="28"/>
        <v>#VALUE!</v>
      </c>
      <c r="L26" s="333" t="e">
        <f t="shared" si="29"/>
        <v>#VALUE!</v>
      </c>
      <c r="M26" s="333" t="e">
        <f t="shared" si="30"/>
        <v>#VALUE!</v>
      </c>
      <c r="N26" s="333" t="e">
        <f t="shared" si="31"/>
        <v>#VALUE!</v>
      </c>
      <c r="O26" s="333" t="e">
        <f t="shared" si="32"/>
        <v>#VALUE!</v>
      </c>
      <c r="P26" s="334"/>
      <c r="Q26" s="335"/>
      <c r="R26" s="221"/>
      <c r="S26" s="221"/>
      <c r="T26" s="28"/>
    </row>
    <row r="27" spans="1:20" ht="9" customHeight="1" x14ac:dyDescent="0.25">
      <c r="A27" s="30"/>
      <c r="B27" s="30"/>
      <c r="C27" s="30"/>
      <c r="D27" s="30"/>
      <c r="E27" s="30"/>
      <c r="F27" s="30"/>
      <c r="G27" s="30"/>
      <c r="H27" s="30"/>
      <c r="I27" s="30"/>
      <c r="J27" s="386" t="e">
        <f>J26+('hidden sum calcs'!$E$6*$C$56)</f>
        <v>#VALUE!</v>
      </c>
      <c r="K27" s="387" t="e">
        <f t="shared" si="28"/>
        <v>#VALUE!</v>
      </c>
      <c r="L27" s="387" t="e">
        <f t="shared" si="29"/>
        <v>#VALUE!</v>
      </c>
      <c r="M27" s="387" t="e">
        <f t="shared" si="30"/>
        <v>#VALUE!</v>
      </c>
      <c r="N27" s="387" t="e">
        <f t="shared" si="31"/>
        <v>#VALUE!</v>
      </c>
      <c r="O27" s="387" t="e">
        <f t="shared" si="32"/>
        <v>#VALUE!</v>
      </c>
      <c r="P27" s="334"/>
      <c r="Q27" s="335"/>
      <c r="R27" s="221"/>
      <c r="S27" s="221"/>
      <c r="T27" s="28"/>
    </row>
    <row r="28" spans="1:20" ht="9" customHeight="1" x14ac:dyDescent="0.25">
      <c r="A28" s="30"/>
      <c r="B28" s="30"/>
      <c r="C28" s="30"/>
      <c r="D28" s="30"/>
      <c r="E28" s="30"/>
      <c r="F28" s="30"/>
      <c r="G28" s="30"/>
      <c r="H28" s="30"/>
      <c r="I28" s="30"/>
      <c r="J28" s="332" t="e">
        <f>J27+('hidden sum calcs'!$E$6*$C$56)</f>
        <v>#VALUE!</v>
      </c>
      <c r="K28" s="333" t="e">
        <f t="shared" si="28"/>
        <v>#VALUE!</v>
      </c>
      <c r="L28" s="333" t="e">
        <f t="shared" si="29"/>
        <v>#VALUE!</v>
      </c>
      <c r="M28" s="333" t="e">
        <f t="shared" si="30"/>
        <v>#VALUE!</v>
      </c>
      <c r="N28" s="333" t="e">
        <f t="shared" si="31"/>
        <v>#VALUE!</v>
      </c>
      <c r="O28" s="333" t="e">
        <f t="shared" si="32"/>
        <v>#VALUE!</v>
      </c>
      <c r="P28" s="334"/>
      <c r="Q28" s="335"/>
      <c r="R28" s="221"/>
      <c r="S28" s="221"/>
      <c r="T28" s="28"/>
    </row>
    <row r="29" spans="1:20" ht="9" customHeight="1" x14ac:dyDescent="0.25">
      <c r="A29" s="30"/>
      <c r="B29" s="30"/>
      <c r="C29" s="30"/>
      <c r="D29" s="30"/>
      <c r="E29" s="30"/>
      <c r="F29" s="30"/>
      <c r="G29" s="30"/>
      <c r="H29" s="30"/>
      <c r="I29" s="30"/>
      <c r="J29" s="386" t="e">
        <f>J28+('hidden sum calcs'!$E$6*$C$56)</f>
        <v>#VALUE!</v>
      </c>
      <c r="K29" s="387" t="e">
        <f t="shared" si="28"/>
        <v>#VALUE!</v>
      </c>
      <c r="L29" s="387" t="e">
        <f t="shared" si="29"/>
        <v>#VALUE!</v>
      </c>
      <c r="M29" s="387" t="e">
        <f t="shared" si="30"/>
        <v>#VALUE!</v>
      </c>
      <c r="N29" s="387" t="e">
        <f t="shared" si="31"/>
        <v>#VALUE!</v>
      </c>
      <c r="O29" s="387" t="e">
        <f t="shared" si="32"/>
        <v>#VALUE!</v>
      </c>
      <c r="P29" s="334"/>
      <c r="Q29" s="335"/>
      <c r="R29" s="221"/>
      <c r="S29" s="221"/>
      <c r="T29" s="28"/>
    </row>
    <row r="30" spans="1:20" ht="9" customHeight="1" x14ac:dyDescent="0.25">
      <c r="A30" s="30"/>
      <c r="B30" s="30"/>
      <c r="C30" s="30"/>
      <c r="D30" s="30"/>
      <c r="E30" s="30"/>
      <c r="F30" s="30"/>
      <c r="G30" s="30"/>
      <c r="H30" s="30"/>
      <c r="I30" s="30"/>
      <c r="J30" s="332" t="e">
        <f>J29+('hidden sum calcs'!$E$6*$C$56)</f>
        <v>#VALUE!</v>
      </c>
      <c r="K30" s="333" t="e">
        <f t="shared" si="28"/>
        <v>#VALUE!</v>
      </c>
      <c r="L30" s="333" t="e">
        <f t="shared" si="29"/>
        <v>#VALUE!</v>
      </c>
      <c r="M30" s="333" t="e">
        <f t="shared" si="30"/>
        <v>#VALUE!</v>
      </c>
      <c r="N30" s="333" t="e">
        <f t="shared" si="31"/>
        <v>#VALUE!</v>
      </c>
      <c r="O30" s="333" t="e">
        <f t="shared" si="32"/>
        <v>#VALUE!</v>
      </c>
      <c r="P30" s="334"/>
      <c r="Q30" s="335"/>
      <c r="R30" s="221"/>
      <c r="S30" s="221"/>
      <c r="T30" s="28"/>
    </row>
    <row r="31" spans="1:20" ht="9" customHeight="1" x14ac:dyDescent="0.25">
      <c r="A31" s="30"/>
      <c r="B31" s="30"/>
      <c r="C31" s="30"/>
      <c r="D31" s="30"/>
      <c r="E31" s="30"/>
      <c r="F31" s="30"/>
      <c r="G31" s="30"/>
      <c r="H31" s="30"/>
      <c r="I31" s="30"/>
      <c r="J31" s="386" t="e">
        <f>J30+('hidden sum calcs'!$E$6*$C$56)</f>
        <v>#VALUE!</v>
      </c>
      <c r="K31" s="387" t="e">
        <f t="shared" si="28"/>
        <v>#VALUE!</v>
      </c>
      <c r="L31" s="387" t="e">
        <f t="shared" si="29"/>
        <v>#VALUE!</v>
      </c>
      <c r="M31" s="387" t="e">
        <f t="shared" si="30"/>
        <v>#VALUE!</v>
      </c>
      <c r="N31" s="387" t="e">
        <f t="shared" si="31"/>
        <v>#VALUE!</v>
      </c>
      <c r="O31" s="387" t="e">
        <f t="shared" si="32"/>
        <v>#VALUE!</v>
      </c>
      <c r="P31" s="334"/>
      <c r="Q31" s="335"/>
      <c r="R31" s="221"/>
      <c r="S31" s="221"/>
      <c r="T31" s="28"/>
    </row>
    <row r="32" spans="1:20" ht="9" customHeight="1" x14ac:dyDescent="0.25">
      <c r="A32" s="30"/>
      <c r="B32" s="30"/>
      <c r="C32" s="30"/>
      <c r="D32" s="30"/>
      <c r="E32" s="30"/>
      <c r="F32" s="30"/>
      <c r="G32" s="30"/>
      <c r="H32" s="30"/>
      <c r="I32" s="30"/>
      <c r="J32" s="332" t="e">
        <f>J31+('hidden sum calcs'!$E$6*$C$56)</f>
        <v>#VALUE!</v>
      </c>
      <c r="K32" s="333" t="e">
        <f t="shared" si="28"/>
        <v>#VALUE!</v>
      </c>
      <c r="L32" s="333" t="e">
        <f t="shared" si="29"/>
        <v>#VALUE!</v>
      </c>
      <c r="M32" s="333" t="e">
        <f t="shared" si="30"/>
        <v>#VALUE!</v>
      </c>
      <c r="N32" s="333" t="e">
        <f t="shared" si="31"/>
        <v>#VALUE!</v>
      </c>
      <c r="O32" s="333" t="e">
        <f t="shared" si="32"/>
        <v>#VALUE!</v>
      </c>
      <c r="P32" s="334"/>
      <c r="Q32" s="335"/>
      <c r="R32" s="221"/>
      <c r="S32" s="221"/>
      <c r="T32" s="28"/>
    </row>
    <row r="33" spans="1:20" ht="9" customHeight="1" x14ac:dyDescent="0.25">
      <c r="A33" s="30"/>
      <c r="B33" s="30"/>
      <c r="C33" s="30"/>
      <c r="D33" s="30"/>
      <c r="E33" s="30"/>
      <c r="F33" s="30"/>
      <c r="G33" s="30"/>
      <c r="H33" s="30"/>
      <c r="I33" s="30"/>
      <c r="J33" s="386" t="e">
        <f>J32+('hidden sum calcs'!$E$6*$C$56)</f>
        <v>#VALUE!</v>
      </c>
      <c r="K33" s="387" t="e">
        <f t="shared" si="28"/>
        <v>#VALUE!</v>
      </c>
      <c r="L33" s="387" t="e">
        <f t="shared" si="29"/>
        <v>#VALUE!</v>
      </c>
      <c r="M33" s="387" t="e">
        <f t="shared" si="30"/>
        <v>#VALUE!</v>
      </c>
      <c r="N33" s="387" t="e">
        <f t="shared" si="31"/>
        <v>#VALUE!</v>
      </c>
      <c r="O33" s="387" t="e">
        <f t="shared" si="32"/>
        <v>#VALUE!</v>
      </c>
      <c r="P33" s="334"/>
      <c r="Q33" s="335"/>
      <c r="R33" s="221"/>
      <c r="S33" s="221"/>
      <c r="T33" s="28"/>
    </row>
    <row r="34" spans="1:20" ht="9" customHeight="1" x14ac:dyDescent="0.25">
      <c r="A34" s="30"/>
      <c r="B34" s="30"/>
      <c r="C34" s="30"/>
      <c r="D34" s="30"/>
      <c r="E34" s="30"/>
      <c r="F34" s="30"/>
      <c r="G34" s="30"/>
      <c r="H34" s="30"/>
      <c r="I34" s="30"/>
      <c r="J34" s="332" t="e">
        <f>J33+('hidden sum calcs'!$E$6*$C$56)</f>
        <v>#VALUE!</v>
      </c>
      <c r="K34" s="333" t="e">
        <f t="shared" si="28"/>
        <v>#VALUE!</v>
      </c>
      <c r="L34" s="333" t="e">
        <f t="shared" si="29"/>
        <v>#VALUE!</v>
      </c>
      <c r="M34" s="333" t="e">
        <f t="shared" si="30"/>
        <v>#VALUE!</v>
      </c>
      <c r="N34" s="333" t="e">
        <f t="shared" si="31"/>
        <v>#VALUE!</v>
      </c>
      <c r="O34" s="333" t="e">
        <f t="shared" si="32"/>
        <v>#VALUE!</v>
      </c>
      <c r="P34" s="334"/>
      <c r="Q34" s="334"/>
      <c r="R34" s="223" t="str">
        <f>IF(ISNUMBER(_xlfn.XLOOKUP(K$2,'hidden sum calcs'!$D$11:$K$11,'hidden sum calcs'!$D22:$K22,"",0)), (_xlfn.XLOOKUP(K$2,'hidden sum calcs'!$D$11:$K$11,'hidden sum calcs'!$D22:$K22,"",0)),"")</f>
        <v/>
      </c>
      <c r="S34" s="223" t="str">
        <f>IF(ISNUMBER(_xlfn.XLOOKUP(L$2,'hidden sum calcs'!$D$11:$K$11,'hidden sum calcs'!$D22:$K22,"",0)), (_xlfn.XLOOKUP(L$2,'hidden sum calcs'!$D$11:$K$11,'hidden sum calcs'!$D22:$K22,"",0)),"")</f>
        <v/>
      </c>
      <c r="T34" s="28"/>
    </row>
    <row r="35" spans="1:20" ht="9" customHeight="1" x14ac:dyDescent="0.25">
      <c r="A35" s="30"/>
      <c r="B35" s="30"/>
      <c r="C35" s="30"/>
      <c r="D35" s="30"/>
      <c r="E35" s="30"/>
      <c r="F35" s="30"/>
      <c r="G35" s="30"/>
      <c r="H35" s="30"/>
      <c r="I35" s="30"/>
      <c r="J35" s="386" t="e">
        <f>J34+('hidden sum calcs'!$E$6*$C$56)</f>
        <v>#VALUE!</v>
      </c>
      <c r="K35" s="387" t="e">
        <f t="shared" si="28"/>
        <v>#VALUE!</v>
      </c>
      <c r="L35" s="387" t="e">
        <f t="shared" si="29"/>
        <v>#VALUE!</v>
      </c>
      <c r="M35" s="387" t="e">
        <f t="shared" si="30"/>
        <v>#VALUE!</v>
      </c>
      <c r="N35" s="387" t="e">
        <f t="shared" si="31"/>
        <v>#VALUE!</v>
      </c>
      <c r="O35" s="387" t="e">
        <f t="shared" si="32"/>
        <v>#VALUE!</v>
      </c>
      <c r="P35" s="334"/>
      <c r="Q35" s="334"/>
      <c r="R35" s="223" t="str">
        <f>IF(ISNUMBER(_xlfn.XLOOKUP(K$2,'hidden sum calcs'!$D$11:$K$11,'hidden sum calcs'!$D23:$K23,"",0)), (_xlfn.XLOOKUP(K$2,'hidden sum calcs'!$D$11:$K$11,'hidden sum calcs'!$D23:$K23,"",0)),"")</f>
        <v/>
      </c>
      <c r="S35" s="223" t="str">
        <f>IF(ISNUMBER(_xlfn.XLOOKUP(L$2,'hidden sum calcs'!$D$11:$K$11,'hidden sum calcs'!$D23:$K23,"",0)), (_xlfn.XLOOKUP(L$2,'hidden sum calcs'!$D$11:$K$11,'hidden sum calcs'!$D23:$K23,"",0)),"")</f>
        <v/>
      </c>
      <c r="T35" s="28"/>
    </row>
    <row r="36" spans="1:20" ht="9" customHeight="1" x14ac:dyDescent="0.25">
      <c r="A36" s="30"/>
      <c r="B36" s="30"/>
      <c r="C36" s="30"/>
      <c r="D36" s="30"/>
      <c r="E36" s="30"/>
      <c r="F36" s="30"/>
      <c r="G36" s="30"/>
      <c r="H36" s="30"/>
      <c r="I36" s="30"/>
      <c r="J36" s="332" t="e">
        <f>J35+('hidden sum calcs'!$E$6*$C$56)</f>
        <v>#VALUE!</v>
      </c>
      <c r="K36" s="333" t="e">
        <f t="shared" si="28"/>
        <v>#VALUE!</v>
      </c>
      <c r="L36" s="333" t="e">
        <f t="shared" si="29"/>
        <v>#VALUE!</v>
      </c>
      <c r="M36" s="333" t="e">
        <f t="shared" si="30"/>
        <v>#VALUE!</v>
      </c>
      <c r="N36" s="333" t="e">
        <f t="shared" si="31"/>
        <v>#VALUE!</v>
      </c>
      <c r="O36" s="333" t="e">
        <f t="shared" si="32"/>
        <v>#VALUE!</v>
      </c>
      <c r="P36" s="334"/>
      <c r="Q36" s="334"/>
      <c r="R36" s="224" t="str">
        <f>IF(ISNUMBER(_xlfn.XLOOKUP(K$2,'hidden sum calcs'!$D$11:$K$11,'hidden sum calcs'!$D24:$K24,"",0)), (_xlfn.XLOOKUP(K$2,'hidden sum calcs'!$D$11:$K$11,'hidden sum calcs'!$D24:$K24,"",0)),"")</f>
        <v/>
      </c>
      <c r="S36" s="224" t="str">
        <f>IF(ISNUMBER(_xlfn.XLOOKUP(L$2,'hidden sum calcs'!$D$11:$K$11,'hidden sum calcs'!$D24:$K24,"",0)), (_xlfn.XLOOKUP(L$2,'hidden sum calcs'!$D$11:$K$11,'hidden sum calcs'!$D24:$K24,"",0)),"")</f>
        <v/>
      </c>
      <c r="T36" s="28"/>
    </row>
    <row r="37" spans="1:20" ht="9" customHeight="1" x14ac:dyDescent="0.25">
      <c r="A37" s="30"/>
      <c r="B37" s="28"/>
      <c r="C37" s="28"/>
      <c r="D37" s="28"/>
      <c r="E37" s="30"/>
      <c r="F37" s="30"/>
      <c r="G37" s="30"/>
      <c r="H37" s="30"/>
      <c r="I37" s="30"/>
      <c r="J37" s="386" t="e">
        <f>J36+('hidden sum calcs'!$E$6*$C$56)</f>
        <v>#VALUE!</v>
      </c>
      <c r="K37" s="387" t="e">
        <f t="shared" si="28"/>
        <v>#VALUE!</v>
      </c>
      <c r="L37" s="387" t="e">
        <f t="shared" si="29"/>
        <v>#VALUE!</v>
      </c>
      <c r="M37" s="387" t="e">
        <f t="shared" si="30"/>
        <v>#VALUE!</v>
      </c>
      <c r="N37" s="387" t="e">
        <f t="shared" si="31"/>
        <v>#VALUE!</v>
      </c>
      <c r="O37" s="387" t="e">
        <f t="shared" si="32"/>
        <v>#VALUE!</v>
      </c>
      <c r="P37" s="334"/>
      <c r="Q37" s="334"/>
      <c r="R37" s="224" t="str">
        <f>IF(ISNUMBER(_xlfn.XLOOKUP(K$2,'hidden sum calcs'!$D$11:$K$11,'hidden sum calcs'!$D25:$K25,"",0)), (_xlfn.XLOOKUP(K$2,'hidden sum calcs'!$D$11:$K$11,'hidden sum calcs'!$D25:$K25,"",0)),"")</f>
        <v/>
      </c>
      <c r="S37" s="224" t="str">
        <f>IF(ISNUMBER(_xlfn.XLOOKUP(L$2,'hidden sum calcs'!$D$11:$K$11,'hidden sum calcs'!$D25:$K25,"",0)), (_xlfn.XLOOKUP(L$2,'hidden sum calcs'!$D$11:$K$11,'hidden sum calcs'!$D25:$K25,"",0)),"")</f>
        <v/>
      </c>
      <c r="T37" s="28"/>
    </row>
    <row r="38" spans="1:20" ht="9" customHeight="1" x14ac:dyDescent="0.25">
      <c r="A38" s="30"/>
      <c r="B38" s="30"/>
      <c r="C38" s="30"/>
      <c r="D38" s="30"/>
      <c r="E38" s="30"/>
      <c r="F38" s="30"/>
      <c r="G38" s="30"/>
      <c r="H38" s="30"/>
      <c r="I38" s="30"/>
      <c r="J38" s="332" t="e">
        <f>J37+('hidden sum calcs'!$E$6*$C$56)</f>
        <v>#VALUE!</v>
      </c>
      <c r="K38" s="333" t="e">
        <f t="shared" si="28"/>
        <v>#VALUE!</v>
      </c>
      <c r="L38" s="333" t="e">
        <f t="shared" si="29"/>
        <v>#VALUE!</v>
      </c>
      <c r="M38" s="333" t="e">
        <f t="shared" si="30"/>
        <v>#VALUE!</v>
      </c>
      <c r="N38" s="333" t="e">
        <f t="shared" si="31"/>
        <v>#VALUE!</v>
      </c>
      <c r="O38" s="333" t="e">
        <f t="shared" si="32"/>
        <v>#VALUE!</v>
      </c>
      <c r="P38" s="334"/>
      <c r="Q38" s="334"/>
      <c r="R38" s="224" t="str">
        <f>IF(ISNUMBER(_xlfn.XLOOKUP(K$2,'hidden sum calcs'!$D$11:$K$11,'hidden sum calcs'!$D26:$K26,"",0)), (_xlfn.XLOOKUP(K$2,'hidden sum calcs'!$D$11:$K$11,'hidden sum calcs'!$D26:$K26,"",0)),"")</f>
        <v/>
      </c>
      <c r="S38" s="224" t="str">
        <f>IF(ISNUMBER(_xlfn.XLOOKUP(L$2,'hidden sum calcs'!$D$11:$K$11,'hidden sum calcs'!$D26:$K26,"",0)), (_xlfn.XLOOKUP(L$2,'hidden sum calcs'!$D$11:$K$11,'hidden sum calcs'!$D26:$K26,"",0)),"")</f>
        <v/>
      </c>
      <c r="T38" s="28"/>
    </row>
    <row r="39" spans="1:20" ht="9" customHeight="1" x14ac:dyDescent="0.25">
      <c r="A39" s="30"/>
      <c r="B39" s="30"/>
      <c r="C39" s="30"/>
      <c r="D39" s="30"/>
      <c r="E39" s="30"/>
      <c r="F39" s="30"/>
      <c r="G39" s="30"/>
      <c r="H39" s="30"/>
      <c r="I39" s="30"/>
      <c r="J39" s="386" t="e">
        <f>J38+('hidden sum calcs'!$E$6*$C$56)</f>
        <v>#VALUE!</v>
      </c>
      <c r="K39" s="387" t="e">
        <f t="shared" si="28"/>
        <v>#VALUE!</v>
      </c>
      <c r="L39" s="387" t="e">
        <f t="shared" si="29"/>
        <v>#VALUE!</v>
      </c>
      <c r="M39" s="387" t="e">
        <f t="shared" si="30"/>
        <v>#VALUE!</v>
      </c>
      <c r="N39" s="387" t="e">
        <f t="shared" si="31"/>
        <v>#VALUE!</v>
      </c>
      <c r="O39" s="387" t="e">
        <f t="shared" si="32"/>
        <v>#VALUE!</v>
      </c>
      <c r="P39" s="334"/>
      <c r="Q39" s="334"/>
      <c r="R39" s="224" t="str">
        <f>IF(ISNUMBER(_xlfn.XLOOKUP(K$2,'hidden sum calcs'!$D$11:$K$11,'hidden sum calcs'!$D28:$K28,"",0)), (_xlfn.XLOOKUP(K$2,'hidden sum calcs'!$D$11:$K$11,'hidden sum calcs'!$D28:$K28,"",0)),"")</f>
        <v/>
      </c>
      <c r="S39" s="224" t="str">
        <f>IF(ISNUMBER(_xlfn.XLOOKUP(L$2,'hidden sum calcs'!$D$11:$K$11,'hidden sum calcs'!$D28:$K28,"",0)), (_xlfn.XLOOKUP(L$2,'hidden sum calcs'!$D$11:$K$11,'hidden sum calcs'!$D28:$K28,"",0)),"")</f>
        <v/>
      </c>
      <c r="T39" s="28"/>
    </row>
    <row r="40" spans="1:20" ht="9" customHeight="1" x14ac:dyDescent="0.25">
      <c r="A40" s="30"/>
      <c r="B40" s="30"/>
      <c r="C40" s="30"/>
      <c r="D40" s="30"/>
      <c r="E40" s="30"/>
      <c r="F40" s="30"/>
      <c r="G40" s="30"/>
      <c r="H40" s="30"/>
      <c r="I40" s="30"/>
      <c r="J40" s="332" t="e">
        <f>J39+('hidden sum calcs'!$E$6*$C$56)</f>
        <v>#VALUE!</v>
      </c>
      <c r="K40" s="333" t="e">
        <f t="shared" si="28"/>
        <v>#VALUE!</v>
      </c>
      <c r="L40" s="333" t="e">
        <f t="shared" si="29"/>
        <v>#VALUE!</v>
      </c>
      <c r="M40" s="333" t="e">
        <f t="shared" si="30"/>
        <v>#VALUE!</v>
      </c>
      <c r="N40" s="333" t="e">
        <f t="shared" si="31"/>
        <v>#VALUE!</v>
      </c>
      <c r="O40" s="333" t="e">
        <f t="shared" si="32"/>
        <v>#VALUE!</v>
      </c>
      <c r="P40" s="334"/>
      <c r="Q40" s="334"/>
      <c r="R40" s="224" t="str">
        <f>IF(ISNUMBER(_xlfn.XLOOKUP(K$2,'hidden sum calcs'!$D$11:$K$11,'hidden sum calcs'!$D29:$K29,"",0)), (_xlfn.XLOOKUP(K$2,'hidden sum calcs'!$D$11:$K$11,'hidden sum calcs'!$D29:$K29,"",0)),"")</f>
        <v/>
      </c>
      <c r="S40" s="224" t="str">
        <f>IF(ISNUMBER(_xlfn.XLOOKUP(L$2,'hidden sum calcs'!$D$11:$K$11,'hidden sum calcs'!$D29:$K29,"",0)), (_xlfn.XLOOKUP(L$2,'hidden sum calcs'!$D$11:$K$11,'hidden sum calcs'!$D29:$K29,"",0)),"")</f>
        <v/>
      </c>
      <c r="T40" s="28"/>
    </row>
    <row r="41" spans="1:20" ht="9" customHeight="1" x14ac:dyDescent="0.25">
      <c r="A41" s="30"/>
      <c r="B41" s="30"/>
      <c r="C41" s="30"/>
      <c r="D41" s="30"/>
      <c r="E41" s="30"/>
      <c r="F41" s="30"/>
      <c r="G41" s="30"/>
      <c r="H41" s="30"/>
      <c r="I41" s="30"/>
      <c r="J41" s="386" t="e">
        <f>J40+('hidden sum calcs'!$E$6*$C$56)</f>
        <v>#VALUE!</v>
      </c>
      <c r="K41" s="387" t="e">
        <f t="shared" si="28"/>
        <v>#VALUE!</v>
      </c>
      <c r="L41" s="387" t="e">
        <f t="shared" si="29"/>
        <v>#VALUE!</v>
      </c>
      <c r="M41" s="387" t="e">
        <f t="shared" si="30"/>
        <v>#VALUE!</v>
      </c>
      <c r="N41" s="387" t="e">
        <f t="shared" si="31"/>
        <v>#VALUE!</v>
      </c>
      <c r="O41" s="387" t="e">
        <f t="shared" si="32"/>
        <v>#VALUE!</v>
      </c>
      <c r="P41" s="334"/>
      <c r="Q41" s="334"/>
      <c r="R41" s="224"/>
      <c r="S41" s="224"/>
      <c r="T41" s="28"/>
    </row>
    <row r="42" spans="1:20" ht="9" customHeight="1" x14ac:dyDescent="0.25">
      <c r="A42" s="30"/>
      <c r="B42" s="30"/>
      <c r="C42" s="30"/>
      <c r="D42" s="30"/>
      <c r="E42" s="30"/>
      <c r="F42" s="30"/>
      <c r="G42" s="30"/>
      <c r="H42" s="30"/>
      <c r="I42" s="30"/>
      <c r="J42" s="332" t="e">
        <f>J41+('hidden sum calcs'!$E$6*$C$56)</f>
        <v>#VALUE!</v>
      </c>
      <c r="K42" s="333" t="e">
        <f t="shared" si="28"/>
        <v>#VALUE!</v>
      </c>
      <c r="L42" s="333" t="e">
        <f t="shared" si="29"/>
        <v>#VALUE!</v>
      </c>
      <c r="M42" s="333" t="e">
        <f t="shared" si="30"/>
        <v>#VALUE!</v>
      </c>
      <c r="N42" s="333" t="e">
        <f t="shared" si="31"/>
        <v>#VALUE!</v>
      </c>
      <c r="O42" s="333" t="e">
        <f t="shared" si="32"/>
        <v>#VALUE!</v>
      </c>
      <c r="P42" s="334"/>
      <c r="Q42" s="334"/>
      <c r="R42" s="224"/>
      <c r="S42" s="224"/>
      <c r="T42" s="28"/>
    </row>
    <row r="43" spans="1:20" ht="9" customHeight="1" x14ac:dyDescent="0.25">
      <c r="A43" s="30"/>
      <c r="B43" s="30"/>
      <c r="C43" s="30"/>
      <c r="D43" s="30"/>
      <c r="E43" s="30"/>
      <c r="F43" s="30"/>
      <c r="G43" s="30"/>
      <c r="H43" s="30"/>
      <c r="I43" s="30"/>
      <c r="J43" s="386" t="e">
        <f>J42+('hidden sum calcs'!$E$6*$C$56)</f>
        <v>#VALUE!</v>
      </c>
      <c r="K43" s="387" t="e">
        <f t="shared" si="28"/>
        <v>#VALUE!</v>
      </c>
      <c r="L43" s="387" t="e">
        <f t="shared" si="29"/>
        <v>#VALUE!</v>
      </c>
      <c r="M43" s="387" t="e">
        <f t="shared" si="30"/>
        <v>#VALUE!</v>
      </c>
      <c r="N43" s="387" t="e">
        <f t="shared" si="31"/>
        <v>#VALUE!</v>
      </c>
      <c r="O43" s="387" t="e">
        <f t="shared" si="32"/>
        <v>#VALUE!</v>
      </c>
      <c r="P43" s="334"/>
      <c r="Q43" s="334"/>
      <c r="R43" s="224"/>
      <c r="S43" s="224"/>
      <c r="T43" s="28"/>
    </row>
    <row r="44" spans="1:20" ht="9" customHeight="1" x14ac:dyDescent="0.25">
      <c r="A44" s="30"/>
      <c r="B44" s="30"/>
      <c r="C44" s="30"/>
      <c r="D44" s="30"/>
      <c r="E44" s="30"/>
      <c r="F44" s="30"/>
      <c r="G44" s="30"/>
      <c r="H44" s="30"/>
      <c r="I44" s="30"/>
      <c r="J44" s="332" t="e">
        <f>J43+('hidden sum calcs'!$E$6*$C$56)</f>
        <v>#VALUE!</v>
      </c>
      <c r="K44" s="333" t="e">
        <f t="shared" si="28"/>
        <v>#VALUE!</v>
      </c>
      <c r="L44" s="333" t="e">
        <f t="shared" si="29"/>
        <v>#VALUE!</v>
      </c>
      <c r="M44" s="333" t="e">
        <f t="shared" si="30"/>
        <v>#VALUE!</v>
      </c>
      <c r="N44" s="333" t="e">
        <f t="shared" si="31"/>
        <v>#VALUE!</v>
      </c>
      <c r="O44" s="333" t="e">
        <f t="shared" si="32"/>
        <v>#VALUE!</v>
      </c>
      <c r="P44" s="334"/>
      <c r="Q44" s="334"/>
      <c r="R44" s="224"/>
      <c r="S44" s="224"/>
      <c r="T44" s="28"/>
    </row>
    <row r="45" spans="1:20" ht="9" customHeight="1" x14ac:dyDescent="0.25">
      <c r="A45" s="30"/>
      <c r="B45" s="30"/>
      <c r="C45" s="30"/>
      <c r="D45" s="30"/>
      <c r="E45" s="30"/>
      <c r="F45" s="30"/>
      <c r="G45" s="30"/>
      <c r="H45" s="30"/>
      <c r="I45" s="30"/>
      <c r="J45" s="386" t="e">
        <f>J44+('hidden sum calcs'!$E$6*$C$56)</f>
        <v>#VALUE!</v>
      </c>
      <c r="K45" s="387" t="e">
        <f t="shared" si="28"/>
        <v>#VALUE!</v>
      </c>
      <c r="L45" s="387" t="e">
        <f t="shared" si="29"/>
        <v>#VALUE!</v>
      </c>
      <c r="M45" s="387" t="e">
        <f t="shared" si="30"/>
        <v>#VALUE!</v>
      </c>
      <c r="N45" s="387" t="e">
        <f t="shared" si="31"/>
        <v>#VALUE!</v>
      </c>
      <c r="O45" s="387" t="e">
        <f t="shared" si="32"/>
        <v>#VALUE!</v>
      </c>
      <c r="P45" s="336"/>
      <c r="Q45" s="336"/>
      <c r="R45" s="221"/>
      <c r="S45" s="221"/>
      <c r="T45" s="28"/>
    </row>
    <row r="46" spans="1:20" ht="9" customHeight="1" x14ac:dyDescent="0.25">
      <c r="A46" s="30"/>
      <c r="B46" s="30"/>
      <c r="C46" s="30"/>
      <c r="D46" s="30"/>
      <c r="E46" s="30"/>
      <c r="F46" s="30"/>
      <c r="G46" s="30"/>
      <c r="H46" s="30"/>
      <c r="I46" s="30"/>
      <c r="J46" s="332" t="e">
        <f>J45+('hidden sum calcs'!$E$6*$C$56)</f>
        <v>#VALUE!</v>
      </c>
      <c r="K46" s="333" t="e">
        <f t="shared" si="28"/>
        <v>#VALUE!</v>
      </c>
      <c r="L46" s="333" t="e">
        <f t="shared" si="29"/>
        <v>#VALUE!</v>
      </c>
      <c r="M46" s="333" t="e">
        <f t="shared" si="30"/>
        <v>#VALUE!</v>
      </c>
      <c r="N46" s="333" t="e">
        <f t="shared" si="31"/>
        <v>#VALUE!</v>
      </c>
      <c r="O46" s="333" t="e">
        <f t="shared" si="32"/>
        <v>#VALUE!</v>
      </c>
      <c r="P46" s="336"/>
      <c r="Q46" s="336"/>
      <c r="R46" s="221"/>
      <c r="S46" s="221"/>
      <c r="T46" s="28"/>
    </row>
    <row r="47" spans="1:20" ht="9" customHeight="1" x14ac:dyDescent="0.25">
      <c r="A47" s="30"/>
      <c r="B47" s="30"/>
      <c r="C47" s="30"/>
      <c r="D47" s="30"/>
      <c r="E47" s="30"/>
      <c r="F47" s="30"/>
      <c r="G47" s="30"/>
      <c r="H47" s="30"/>
      <c r="I47" s="30"/>
      <c r="J47" s="386" t="e">
        <f>J46+('hidden sum calcs'!$E$6*$C$56)</f>
        <v>#VALUE!</v>
      </c>
      <c r="K47" s="387" t="e">
        <f t="shared" si="28"/>
        <v>#VALUE!</v>
      </c>
      <c r="L47" s="387" t="e">
        <f t="shared" si="29"/>
        <v>#VALUE!</v>
      </c>
      <c r="M47" s="387" t="e">
        <f t="shared" si="30"/>
        <v>#VALUE!</v>
      </c>
      <c r="N47" s="387" t="e">
        <f t="shared" si="31"/>
        <v>#VALUE!</v>
      </c>
      <c r="O47" s="387" t="e">
        <f t="shared" si="32"/>
        <v>#VALUE!</v>
      </c>
      <c r="P47" s="336"/>
      <c r="Q47" s="336"/>
      <c r="R47" s="221"/>
      <c r="S47" s="221"/>
      <c r="T47" s="28"/>
    </row>
    <row r="48" spans="1:20" ht="9" customHeight="1" x14ac:dyDescent="0.25">
      <c r="A48" s="30"/>
      <c r="B48" s="28"/>
      <c r="C48" s="28"/>
      <c r="D48" s="28"/>
      <c r="E48" s="30"/>
      <c r="F48" s="30"/>
      <c r="G48" s="30"/>
      <c r="H48" s="30"/>
      <c r="I48" s="30"/>
      <c r="J48" s="332" t="e">
        <f>J47+('hidden sum calcs'!$E$6*$C$56)</f>
        <v>#VALUE!</v>
      </c>
      <c r="K48" s="333" t="e">
        <f t="shared" si="28"/>
        <v>#VALUE!</v>
      </c>
      <c r="L48" s="333" t="e">
        <f t="shared" si="29"/>
        <v>#VALUE!</v>
      </c>
      <c r="M48" s="333" t="e">
        <f t="shared" si="30"/>
        <v>#VALUE!</v>
      </c>
      <c r="N48" s="333" t="e">
        <f t="shared" si="31"/>
        <v>#VALUE!</v>
      </c>
      <c r="O48" s="333" t="e">
        <f t="shared" si="32"/>
        <v>#VALUE!</v>
      </c>
      <c r="P48" s="336"/>
      <c r="Q48" s="336"/>
      <c r="R48" s="221"/>
      <c r="S48" s="221"/>
      <c r="T48" s="28"/>
    </row>
    <row r="49" spans="1:20" ht="9" customHeight="1" x14ac:dyDescent="0.25">
      <c r="A49" s="30"/>
      <c r="B49" s="30"/>
      <c r="C49" s="30"/>
      <c r="D49" s="30"/>
      <c r="E49" s="30"/>
      <c r="F49" s="30"/>
      <c r="G49" s="30"/>
      <c r="H49" s="30"/>
      <c r="I49" s="30"/>
      <c r="J49" s="386" t="e">
        <f>J48+('hidden sum calcs'!$E$6*$C$56)</f>
        <v>#VALUE!</v>
      </c>
      <c r="K49" s="387" t="e">
        <f t="shared" si="28"/>
        <v>#VALUE!</v>
      </c>
      <c r="L49" s="387" t="e">
        <f t="shared" si="29"/>
        <v>#VALUE!</v>
      </c>
      <c r="M49" s="387" t="e">
        <f t="shared" si="30"/>
        <v>#VALUE!</v>
      </c>
      <c r="N49" s="387" t="e">
        <f t="shared" si="31"/>
        <v>#VALUE!</v>
      </c>
      <c r="O49" s="387" t="e">
        <f t="shared" si="32"/>
        <v>#VALUE!</v>
      </c>
      <c r="P49" s="336"/>
      <c r="Q49" s="336"/>
      <c r="R49" s="221"/>
      <c r="S49" s="221"/>
      <c r="T49" s="28"/>
    </row>
    <row r="50" spans="1:20" ht="9" customHeight="1" x14ac:dyDescent="0.25">
      <c r="A50" s="30"/>
      <c r="B50" s="30"/>
      <c r="C50" s="30"/>
      <c r="D50" s="30"/>
      <c r="E50" s="30"/>
      <c r="F50" s="30"/>
      <c r="G50" s="30"/>
      <c r="H50" s="30"/>
      <c r="I50" s="30"/>
      <c r="J50" s="332" t="e">
        <f>J49+('hidden sum calcs'!$E$6*$C$56)</f>
        <v>#VALUE!</v>
      </c>
      <c r="K50" s="333" t="e">
        <f t="shared" si="28"/>
        <v>#VALUE!</v>
      </c>
      <c r="L50" s="333" t="e">
        <f t="shared" si="29"/>
        <v>#VALUE!</v>
      </c>
      <c r="M50" s="333" t="e">
        <f t="shared" si="30"/>
        <v>#VALUE!</v>
      </c>
      <c r="N50" s="333" t="e">
        <f t="shared" si="31"/>
        <v>#VALUE!</v>
      </c>
      <c r="O50" s="333" t="e">
        <f t="shared" si="32"/>
        <v>#VALUE!</v>
      </c>
      <c r="P50" s="336"/>
      <c r="Q50" s="336"/>
      <c r="R50" s="221"/>
      <c r="S50" s="221"/>
      <c r="T50" s="28"/>
    </row>
    <row r="51" spans="1:20" ht="9" customHeight="1" x14ac:dyDescent="0.25">
      <c r="A51" s="30"/>
      <c r="B51" s="451" t="str">
        <f>IF(AND('hidden sheet 1'!Z7=1, 'TM-21 inputs'!E20&lt;'TM-21 inputs'!M7), "The L(70) projections displayed in this graph are for the drive current specified in the LM-80 test data provided, since it is higher than the drive current of the DUT.", IF(AND('hidden sheet 1'!Z8=1, 'TM-21 inputs'!E21&lt;'TM-21 inputs'!M6), "The L(70) projections displayed in this graph are for the temperature specified in the LM-80 test data provided, since it is higher than the temperature of the DUT.", ""))</f>
        <v/>
      </c>
      <c r="C51" s="451"/>
      <c r="D51" s="451"/>
      <c r="E51" s="451"/>
      <c r="F51" s="451"/>
      <c r="G51" s="451"/>
      <c r="H51" s="451"/>
      <c r="I51" s="30"/>
      <c r="J51" s="386" t="e">
        <f>J50+('hidden sum calcs'!$E$6*$C$56)</f>
        <v>#VALUE!</v>
      </c>
      <c r="K51" s="387" t="e">
        <f t="shared" si="28"/>
        <v>#VALUE!</v>
      </c>
      <c r="L51" s="387" t="e">
        <f t="shared" si="29"/>
        <v>#VALUE!</v>
      </c>
      <c r="M51" s="387" t="e">
        <f t="shared" si="30"/>
        <v>#VALUE!</v>
      </c>
      <c r="N51" s="387" t="e">
        <f t="shared" si="31"/>
        <v>#VALUE!</v>
      </c>
      <c r="O51" s="387" t="e">
        <f t="shared" si="32"/>
        <v>#VALUE!</v>
      </c>
      <c r="P51" s="336"/>
      <c r="Q51" s="336"/>
      <c r="R51" s="221"/>
      <c r="S51" s="221"/>
      <c r="T51" s="28"/>
    </row>
    <row r="52" spans="1:20" ht="3.95" customHeight="1" x14ac:dyDescent="0.25">
      <c r="A52" s="30"/>
      <c r="B52" s="451"/>
      <c r="C52" s="451"/>
      <c r="D52" s="451"/>
      <c r="E52" s="451"/>
      <c r="F52" s="451"/>
      <c r="G52" s="451"/>
      <c r="H52" s="451"/>
      <c r="I52" s="221"/>
      <c r="J52" s="337">
        <v>0</v>
      </c>
      <c r="K52" s="337"/>
      <c r="L52" s="337"/>
      <c r="M52" s="337"/>
      <c r="N52" s="337"/>
      <c r="O52" s="337"/>
      <c r="P52" s="337"/>
      <c r="Q52" s="337"/>
      <c r="R52" s="221"/>
      <c r="S52" s="221"/>
      <c r="T52" s="221"/>
    </row>
    <row r="53" spans="1:20" ht="9" customHeight="1" x14ac:dyDescent="0.25">
      <c r="A53" s="30"/>
      <c r="B53" s="451"/>
      <c r="C53" s="451"/>
      <c r="D53" s="451"/>
      <c r="E53" s="451"/>
      <c r="F53" s="451"/>
      <c r="G53" s="451"/>
      <c r="H53" s="451"/>
      <c r="I53" s="221"/>
      <c r="J53" s="337" t="e">
        <f>INDEX('hidden sum calcs'!$D16:$K16, MATCH(J$2, 'hidden sum calcs'!$D$11:$K$11, 0))</f>
        <v>#N/A</v>
      </c>
      <c r="K53" s="337" t="e">
        <f>INDEX('hidden sum calcs'!$D16:$K16, MATCH(K$2, 'hidden sum calcs'!$D$11:$K$11, 0))</f>
        <v>#N/A</v>
      </c>
      <c r="L53" s="337" t="e">
        <f>INDEX('hidden sum calcs'!$D16:$K16, MATCH(L$2, 'hidden sum calcs'!$D$11:$K$11, 0))</f>
        <v>#N/A</v>
      </c>
      <c r="M53" s="337" t="e">
        <f>INDEX('hidden sum calcs'!$D16:$K16, MATCH(M$2, 'hidden sum calcs'!$D$11:$K$11, 0))</f>
        <v>#N/A</v>
      </c>
      <c r="N53" s="337" t="e">
        <f>INDEX('hidden sum calcs'!$D16:$K16, MATCH(N$2, 'hidden sum calcs'!$D$11:$K$11, 0))</f>
        <v>#N/A</v>
      </c>
      <c r="O53" s="337" t="e">
        <f>INDEX('hidden sum calcs'!$D16:$K16, MATCH(O$2, 'hidden sum calcs'!$D$11:$K$11, 0))</f>
        <v>#N/A</v>
      </c>
      <c r="P53" s="337" t="e">
        <f>INDEX('hidden sum calcs'!$D16:$K16, MATCH(P$2, 'hidden sum calcs'!$D$11:$K$11, 0))</f>
        <v>#N/A</v>
      </c>
      <c r="Q53" s="337" t="e">
        <f>INDEX('hidden sum calcs'!$D16:$K16, MATCH(Q$2, 'hidden sum calcs'!$D$11:$K$11, 0))</f>
        <v>#N/A</v>
      </c>
      <c r="R53" s="221"/>
      <c r="S53" s="221"/>
      <c r="T53" s="221"/>
    </row>
    <row r="54" spans="1:20" ht="9" customHeight="1" x14ac:dyDescent="0.25">
      <c r="A54" s="30"/>
      <c r="B54" s="451"/>
      <c r="C54" s="451"/>
      <c r="D54" s="451"/>
      <c r="E54" s="451"/>
      <c r="F54" s="451"/>
      <c r="G54" s="451"/>
      <c r="H54" s="451"/>
      <c r="I54" s="221"/>
      <c r="J54" s="337" t="str">
        <f>INDEX('hidden sum calcs'!$D17:$K17, MATCH(J$2, 'hidden sum calcs'!$D$11:$K$11, 0))</f>
        <v/>
      </c>
      <c r="K54" s="337" t="str">
        <f>INDEX('hidden sum calcs'!$D17:$K17, MATCH(K$2, 'hidden sum calcs'!$D$11:$K$11, 0))</f>
        <v/>
      </c>
      <c r="L54" s="337" t="str">
        <f>INDEX('hidden sum calcs'!$D17:$K17, MATCH(L$2, 'hidden sum calcs'!$D$11:$K$11, 0))</f>
        <v/>
      </c>
      <c r="M54" s="337" t="str">
        <f>INDEX('hidden sum calcs'!$D17:$K17, MATCH(M$2, 'hidden sum calcs'!$D$11:$K$11, 0))</f>
        <v/>
      </c>
      <c r="N54" s="337" t="str">
        <f>INDEX('hidden sum calcs'!$D17:$K17, MATCH(N$2, 'hidden sum calcs'!$D$11:$K$11, 0))</f>
        <v/>
      </c>
      <c r="O54" s="337" t="str">
        <f>INDEX('hidden sum calcs'!$D17:$K17, MATCH(O$2, 'hidden sum calcs'!$D$11:$K$11, 0))</f>
        <v/>
      </c>
      <c r="P54" s="337" t="str">
        <f>INDEX('hidden sum calcs'!$D17:$K17, MATCH(P$2, 'hidden sum calcs'!$D$11:$K$11, 0))</f>
        <v/>
      </c>
      <c r="Q54" s="337" t="str">
        <f>INDEX('hidden sum calcs'!$D17:$K17, MATCH(Q$2, 'hidden sum calcs'!$D$11:$K$11, 0))</f>
        <v/>
      </c>
      <c r="R54" s="221"/>
      <c r="S54" s="221"/>
      <c r="T54" s="221"/>
    </row>
    <row r="55" spans="1:20" ht="6" customHeight="1" x14ac:dyDescent="0.25">
      <c r="A55" s="30"/>
      <c r="B55" s="244"/>
      <c r="C55" s="244"/>
      <c r="D55" s="244"/>
      <c r="E55" s="244"/>
      <c r="F55" s="244"/>
      <c r="G55" s="244"/>
      <c r="H55" s="244"/>
      <c r="I55" s="221"/>
      <c r="J55" s="337" t="str">
        <f>INDEX('hidden sum calcs'!$D18:$K18, MATCH(J$2, 'hidden sum calcs'!$D$11:$K$11, 0))</f>
        <v/>
      </c>
      <c r="K55" s="337" t="str">
        <f>INDEX('hidden sum calcs'!$D18:$K18, MATCH(K$2, 'hidden sum calcs'!$D$11:$K$11, 0))</f>
        <v/>
      </c>
      <c r="L55" s="337" t="str">
        <f>INDEX('hidden sum calcs'!$D18:$K18, MATCH(L$2, 'hidden sum calcs'!$D$11:$K$11, 0))</f>
        <v/>
      </c>
      <c r="M55" s="337" t="str">
        <f>INDEX('hidden sum calcs'!$D18:$K18, MATCH(M$2, 'hidden sum calcs'!$D$11:$K$11, 0))</f>
        <v/>
      </c>
      <c r="N55" s="337" t="str">
        <f>INDEX('hidden sum calcs'!$D18:$K18, MATCH(N$2, 'hidden sum calcs'!$D$11:$K$11, 0))</f>
        <v/>
      </c>
      <c r="O55" s="337" t="str">
        <f>INDEX('hidden sum calcs'!$D18:$K18, MATCH(O$2, 'hidden sum calcs'!$D$11:$K$11, 0))</f>
        <v/>
      </c>
      <c r="P55" s="337" t="str">
        <f>INDEX('hidden sum calcs'!$D18:$K18, MATCH(P$2, 'hidden sum calcs'!$D$11:$K$11, 0))</f>
        <v/>
      </c>
      <c r="Q55" s="337" t="str">
        <f>INDEX('hidden sum calcs'!$D18:$K18, MATCH(Q$2, 'hidden sum calcs'!$D$11:$K$11, 0))</f>
        <v/>
      </c>
      <c r="R55" s="221"/>
      <c r="S55" s="221"/>
      <c r="T55" s="221"/>
    </row>
    <row r="56" spans="1:20" ht="9" customHeight="1" x14ac:dyDescent="0.25">
      <c r="A56" s="30"/>
      <c r="B56" s="448" t="s">
        <v>69</v>
      </c>
      <c r="C56" s="449">
        <v>1.5</v>
      </c>
      <c r="D56" s="450" t="s">
        <v>220</v>
      </c>
      <c r="E56" s="450"/>
      <c r="F56" s="450"/>
      <c r="G56" s="450"/>
      <c r="H56" s="244"/>
      <c r="I56" s="221"/>
      <c r="J56" s="337" t="str">
        <f>INDEX('hidden sum calcs'!$D19:$K19, MATCH(J$2, 'hidden sum calcs'!$D$11:$K$11, 0))</f>
        <v/>
      </c>
      <c r="K56" s="337" t="str">
        <f>INDEX('hidden sum calcs'!$D19:$K19, MATCH(K$2, 'hidden sum calcs'!$D$11:$K$11, 0))</f>
        <v/>
      </c>
      <c r="L56" s="337" t="str">
        <f>INDEX('hidden sum calcs'!$D19:$K19, MATCH(L$2, 'hidden sum calcs'!$D$11:$K$11, 0))</f>
        <v/>
      </c>
      <c r="M56" s="337" t="str">
        <f>INDEX('hidden sum calcs'!$D19:$K19, MATCH(M$2, 'hidden sum calcs'!$D$11:$K$11, 0))</f>
        <v/>
      </c>
      <c r="N56" s="337" t="str">
        <f>INDEX('hidden sum calcs'!$D19:$K19, MATCH(N$2, 'hidden sum calcs'!$D$11:$K$11, 0))</f>
        <v/>
      </c>
      <c r="O56" s="337" t="str">
        <f>INDEX('hidden sum calcs'!$D19:$K19, MATCH(O$2, 'hidden sum calcs'!$D$11:$K$11, 0))</f>
        <v/>
      </c>
      <c r="P56" s="337" t="str">
        <f>INDEX('hidden sum calcs'!$D19:$K19, MATCH(P$2, 'hidden sum calcs'!$D$11:$K$11, 0))</f>
        <v/>
      </c>
      <c r="Q56" s="337" t="str">
        <f>INDEX('hidden sum calcs'!$D19:$K19, MATCH(Q$2, 'hidden sum calcs'!$D$11:$K$11, 0))</f>
        <v/>
      </c>
      <c r="R56" s="221"/>
      <c r="S56" s="221"/>
      <c r="T56" s="221"/>
    </row>
    <row r="57" spans="1:20" ht="9" customHeight="1" x14ac:dyDescent="0.25">
      <c r="A57" s="28"/>
      <c r="B57" s="448"/>
      <c r="C57" s="449"/>
      <c r="D57" s="450"/>
      <c r="E57" s="450"/>
      <c r="F57" s="450"/>
      <c r="G57" s="450"/>
      <c r="H57" s="241"/>
      <c r="I57" s="221"/>
      <c r="J57" s="337" t="str">
        <f>INDEX('hidden sum calcs'!$D20:$K20, MATCH(J$2, 'hidden sum calcs'!$D$11:$K$11, 0))</f>
        <v/>
      </c>
      <c r="K57" s="337" t="str">
        <f>INDEX('hidden sum calcs'!$D20:$K20, MATCH(K$2, 'hidden sum calcs'!$D$11:$K$11, 0))</f>
        <v/>
      </c>
      <c r="L57" s="337" t="str">
        <f>INDEX('hidden sum calcs'!$D20:$K20, MATCH(L$2, 'hidden sum calcs'!$D$11:$K$11, 0))</f>
        <v/>
      </c>
      <c r="M57" s="337" t="str">
        <f>INDEX('hidden sum calcs'!$D20:$K20, MATCH(M$2, 'hidden sum calcs'!$D$11:$K$11, 0))</f>
        <v/>
      </c>
      <c r="N57" s="337" t="str">
        <f>INDEX('hidden sum calcs'!$D20:$K20, MATCH(N$2, 'hidden sum calcs'!$D$11:$K$11, 0))</f>
        <v/>
      </c>
      <c r="O57" s="337" t="str">
        <f>INDEX('hidden sum calcs'!$D20:$K20, MATCH(O$2, 'hidden sum calcs'!$D$11:$K$11, 0))</f>
        <v/>
      </c>
      <c r="P57" s="337" t="str">
        <f>INDEX('hidden sum calcs'!$D20:$K20, MATCH(P$2, 'hidden sum calcs'!$D$11:$K$11, 0))</f>
        <v/>
      </c>
      <c r="Q57" s="337" t="str">
        <f>INDEX('hidden sum calcs'!$D20:$K20, MATCH(Q$2, 'hidden sum calcs'!$D$11:$K$11, 0))</f>
        <v/>
      </c>
      <c r="R57" s="221"/>
      <c r="S57" s="221"/>
      <c r="T57" s="221"/>
    </row>
    <row r="58" spans="1:20" ht="12" customHeight="1" x14ac:dyDescent="0.25">
      <c r="A58" s="28"/>
      <c r="B58" s="448"/>
      <c r="C58" s="449"/>
      <c r="D58" s="450"/>
      <c r="E58" s="450"/>
      <c r="F58" s="450"/>
      <c r="G58" s="450"/>
      <c r="H58" s="241"/>
      <c r="I58" s="221"/>
      <c r="J58" s="337" t="str">
        <f>INDEX('hidden sum calcs'!$D21:$K21, MATCH(J$2, 'hidden sum calcs'!$D$11:$K$11, 0))</f>
        <v/>
      </c>
      <c r="K58" s="337" t="str">
        <f>INDEX('hidden sum calcs'!$D21:$K21, MATCH(K$2, 'hidden sum calcs'!$D$11:$K$11, 0))</f>
        <v/>
      </c>
      <c r="L58" s="337" t="str">
        <f>INDEX('hidden sum calcs'!$D21:$K21, MATCH(L$2, 'hidden sum calcs'!$D$11:$K$11, 0))</f>
        <v/>
      </c>
      <c r="M58" s="337" t="str">
        <f>INDEX('hidden sum calcs'!$D21:$K21, MATCH(M$2, 'hidden sum calcs'!$D$11:$K$11, 0))</f>
        <v/>
      </c>
      <c r="N58" s="337" t="str">
        <f>INDEX('hidden sum calcs'!$D21:$K21, MATCH(N$2, 'hidden sum calcs'!$D$11:$K$11, 0))</f>
        <v/>
      </c>
      <c r="O58" s="337" t="str">
        <f>INDEX('hidden sum calcs'!$D21:$K21, MATCH(O$2, 'hidden sum calcs'!$D$11:$K$11, 0))</f>
        <v/>
      </c>
      <c r="P58" s="337" t="str">
        <f>INDEX('hidden sum calcs'!$D21:$K21, MATCH(P$2, 'hidden sum calcs'!$D$11:$K$11, 0))</f>
        <v/>
      </c>
      <c r="Q58" s="337" t="str">
        <f>INDEX('hidden sum calcs'!$D21:$K21, MATCH(Q$2, 'hidden sum calcs'!$D$11:$K$11, 0))</f>
        <v/>
      </c>
      <c r="R58" s="221"/>
      <c r="S58" s="221"/>
      <c r="T58" s="221"/>
    </row>
    <row r="59" spans="1:20" s="216" customFormat="1" ht="2.1" customHeight="1" x14ac:dyDescent="0.25">
      <c r="A59" s="221"/>
      <c r="B59" s="221"/>
      <c r="C59" s="221"/>
      <c r="D59" s="221"/>
      <c r="E59" s="221"/>
      <c r="F59" s="221"/>
      <c r="G59" s="221"/>
      <c r="H59" s="221"/>
      <c r="I59" s="221"/>
      <c r="J59" s="337" t="str">
        <f>INDEX('hidden sum calcs'!$D22:$K22, MATCH(J$2, 'hidden sum calcs'!$D$11:$K$11, 0))</f>
        <v/>
      </c>
      <c r="K59" s="337" t="str">
        <f>INDEX('hidden sum calcs'!$D22:$K22, MATCH(K$2, 'hidden sum calcs'!$D$11:$K$11, 0))</f>
        <v/>
      </c>
      <c r="L59" s="337" t="str">
        <f>INDEX('hidden sum calcs'!$D22:$K22, MATCH(L$2, 'hidden sum calcs'!$D$11:$K$11, 0))</f>
        <v/>
      </c>
      <c r="M59" s="337" t="str">
        <f>INDEX('hidden sum calcs'!$D22:$K22, MATCH(M$2, 'hidden sum calcs'!$D$11:$K$11, 0))</f>
        <v/>
      </c>
      <c r="N59" s="337" t="str">
        <f>INDEX('hidden sum calcs'!$D22:$K22, MATCH(N$2, 'hidden sum calcs'!$D$11:$K$11, 0))</f>
        <v/>
      </c>
      <c r="O59" s="337" t="str">
        <f>INDEX('hidden sum calcs'!$D22:$K22, MATCH(O$2, 'hidden sum calcs'!$D$11:$K$11, 0))</f>
        <v/>
      </c>
      <c r="P59" s="337" t="str">
        <f>INDEX('hidden sum calcs'!$D22:$K22, MATCH(P$2, 'hidden sum calcs'!$D$11:$K$11, 0))</f>
        <v/>
      </c>
      <c r="Q59" s="337" t="str">
        <f>INDEX('hidden sum calcs'!$D22:$K22, MATCH(Q$2, 'hidden sum calcs'!$D$11:$K$11, 0))</f>
        <v/>
      </c>
      <c r="R59" s="221"/>
      <c r="S59" s="221"/>
      <c r="T59" s="221"/>
    </row>
    <row r="60" spans="1:20" s="216" customFormat="1" ht="2.1" customHeight="1" x14ac:dyDescent="0.25">
      <c r="A60" s="221"/>
      <c r="B60" s="221"/>
      <c r="C60" s="221"/>
      <c r="D60" s="221"/>
      <c r="E60" s="221"/>
      <c r="F60" s="221"/>
      <c r="G60" s="221"/>
      <c r="H60" s="221"/>
      <c r="I60" s="221"/>
      <c r="J60" s="337" t="str">
        <f>INDEX('hidden sum calcs'!$D23:$K23, MATCH(J$2, 'hidden sum calcs'!$D$11:$K$11, 0))</f>
        <v/>
      </c>
      <c r="K60" s="337" t="str">
        <f>INDEX('hidden sum calcs'!$D23:$K23, MATCH(K$2, 'hidden sum calcs'!$D$11:$K$11, 0))</f>
        <v/>
      </c>
      <c r="L60" s="337" t="str">
        <f>INDEX('hidden sum calcs'!$D23:$K23, MATCH(L$2, 'hidden sum calcs'!$D$11:$K$11, 0))</f>
        <v/>
      </c>
      <c r="M60" s="337" t="str">
        <f>INDEX('hidden sum calcs'!$D23:$K23, MATCH(M$2, 'hidden sum calcs'!$D$11:$K$11, 0))</f>
        <v/>
      </c>
      <c r="N60" s="337" t="str">
        <f>INDEX('hidden sum calcs'!$D23:$K23, MATCH(N$2, 'hidden sum calcs'!$D$11:$K$11, 0))</f>
        <v/>
      </c>
      <c r="O60" s="337" t="str">
        <f>INDEX('hidden sum calcs'!$D23:$K23, MATCH(O$2, 'hidden sum calcs'!$D$11:$K$11, 0))</f>
        <v/>
      </c>
      <c r="P60" s="337" t="str">
        <f>INDEX('hidden sum calcs'!$D23:$K23, MATCH(P$2, 'hidden sum calcs'!$D$11:$K$11, 0))</f>
        <v/>
      </c>
      <c r="Q60" s="337" t="str">
        <f>INDEX('hidden sum calcs'!$D23:$K23, MATCH(Q$2, 'hidden sum calcs'!$D$11:$K$11, 0))</f>
        <v/>
      </c>
      <c r="R60" s="221"/>
      <c r="S60" s="221"/>
      <c r="T60" s="221"/>
    </row>
    <row r="61" spans="1:20" s="216" customFormat="1" ht="2.1" customHeight="1" x14ac:dyDescent="0.25">
      <c r="A61" s="221"/>
      <c r="B61" s="221"/>
      <c r="C61" s="221"/>
      <c r="D61" s="221"/>
      <c r="E61" s="221"/>
      <c r="F61" s="221"/>
      <c r="G61" s="221"/>
      <c r="H61" s="221"/>
      <c r="I61" s="221"/>
      <c r="J61" s="337" t="str">
        <f>INDEX('hidden sum calcs'!$D24:$K24, MATCH(J$2, 'hidden sum calcs'!$D$11:$K$11, 0))</f>
        <v/>
      </c>
      <c r="K61" s="337" t="str">
        <f>INDEX('hidden sum calcs'!$D24:$K24, MATCH(K$2, 'hidden sum calcs'!$D$11:$K$11, 0))</f>
        <v/>
      </c>
      <c r="L61" s="337" t="str">
        <f>INDEX('hidden sum calcs'!$D24:$K24, MATCH(L$2, 'hidden sum calcs'!$D$11:$K$11, 0))</f>
        <v/>
      </c>
      <c r="M61" s="337" t="str">
        <f>INDEX('hidden sum calcs'!$D24:$K24, MATCH(M$2, 'hidden sum calcs'!$D$11:$K$11, 0))</f>
        <v/>
      </c>
      <c r="N61" s="337" t="str">
        <f>INDEX('hidden sum calcs'!$D24:$K24, MATCH(N$2, 'hidden sum calcs'!$D$11:$K$11, 0))</f>
        <v/>
      </c>
      <c r="O61" s="337" t="str">
        <f>INDEX('hidden sum calcs'!$D24:$K24, MATCH(O$2, 'hidden sum calcs'!$D$11:$K$11, 0))</f>
        <v/>
      </c>
      <c r="P61" s="337" t="str">
        <f>INDEX('hidden sum calcs'!$D24:$K24, MATCH(P$2, 'hidden sum calcs'!$D$11:$K$11, 0))</f>
        <v/>
      </c>
      <c r="Q61" s="337" t="str">
        <f>INDEX('hidden sum calcs'!$D24:$K24, MATCH(Q$2, 'hidden sum calcs'!$D$11:$K$11, 0))</f>
        <v/>
      </c>
      <c r="R61" s="221"/>
      <c r="S61" s="221"/>
      <c r="T61" s="221"/>
    </row>
    <row r="62" spans="1:20" s="216" customFormat="1" ht="2.1" customHeight="1" x14ac:dyDescent="0.25">
      <c r="A62" s="221"/>
      <c r="B62" s="221"/>
      <c r="C62" s="221"/>
      <c r="D62" s="221"/>
      <c r="E62" s="221"/>
      <c r="F62" s="221"/>
      <c r="G62" s="221"/>
      <c r="H62" s="221"/>
      <c r="I62" s="221"/>
      <c r="J62" s="337" t="str">
        <f>INDEX('hidden sum calcs'!$D25:$K25, MATCH(J$2, 'hidden sum calcs'!$D$11:$K$11, 0))</f>
        <v/>
      </c>
      <c r="K62" s="337" t="str">
        <f>INDEX('hidden sum calcs'!$D25:$K25, MATCH(K$2, 'hidden sum calcs'!$D$11:$K$11, 0))</f>
        <v/>
      </c>
      <c r="L62" s="337" t="str">
        <f>INDEX('hidden sum calcs'!$D25:$K25, MATCH(L$2, 'hidden sum calcs'!$D$11:$K$11, 0))</f>
        <v/>
      </c>
      <c r="M62" s="337" t="str">
        <f>INDEX('hidden sum calcs'!$D25:$K25, MATCH(M$2, 'hidden sum calcs'!$D$11:$K$11, 0))</f>
        <v/>
      </c>
      <c r="N62" s="337" t="str">
        <f>INDEX('hidden sum calcs'!$D25:$K25, MATCH(N$2, 'hidden sum calcs'!$D$11:$K$11, 0))</f>
        <v/>
      </c>
      <c r="O62" s="337" t="str">
        <f>INDEX('hidden sum calcs'!$D25:$K25, MATCH(O$2, 'hidden sum calcs'!$D$11:$K$11, 0))</f>
        <v/>
      </c>
      <c r="P62" s="337" t="str">
        <f>INDEX('hidden sum calcs'!$D25:$K25, MATCH(P$2, 'hidden sum calcs'!$D$11:$K$11, 0))</f>
        <v/>
      </c>
      <c r="Q62" s="337" t="str">
        <f>INDEX('hidden sum calcs'!$D25:$K25, MATCH(Q$2, 'hidden sum calcs'!$D$11:$K$11, 0))</f>
        <v/>
      </c>
      <c r="R62" s="221"/>
      <c r="S62" s="221"/>
      <c r="T62" s="221"/>
    </row>
    <row r="63" spans="1:20" s="216" customFormat="1" ht="2.1" customHeight="1" x14ac:dyDescent="0.25">
      <c r="A63" s="221"/>
      <c r="B63" s="221"/>
      <c r="C63" s="221"/>
      <c r="D63" s="221"/>
      <c r="E63" s="221"/>
      <c r="F63" s="221"/>
      <c r="G63" s="221"/>
      <c r="H63" s="221"/>
      <c r="I63" s="221"/>
      <c r="J63" s="337" t="str">
        <f>INDEX('hidden sum calcs'!$D26:$K26, MATCH(J$2, 'hidden sum calcs'!$D$11:$K$11, 0))</f>
        <v/>
      </c>
      <c r="K63" s="337" t="str">
        <f>INDEX('hidden sum calcs'!$D26:$K26, MATCH(K$2, 'hidden sum calcs'!$D$11:$K$11, 0))</f>
        <v/>
      </c>
      <c r="L63" s="337" t="str">
        <f>INDEX('hidden sum calcs'!$D26:$K26, MATCH(L$2, 'hidden sum calcs'!$D$11:$K$11, 0))</f>
        <v/>
      </c>
      <c r="M63" s="337" t="str">
        <f>INDEX('hidden sum calcs'!$D26:$K26, MATCH(M$2, 'hidden sum calcs'!$D$11:$K$11, 0))</f>
        <v/>
      </c>
      <c r="N63" s="337" t="str">
        <f>INDEX('hidden sum calcs'!$D26:$K26, MATCH(N$2, 'hidden sum calcs'!$D$11:$K$11, 0))</f>
        <v/>
      </c>
      <c r="O63" s="337" t="str">
        <f>INDEX('hidden sum calcs'!$D26:$K26, MATCH(O$2, 'hidden sum calcs'!$D$11:$K$11, 0))</f>
        <v/>
      </c>
      <c r="P63" s="337" t="str">
        <f>INDEX('hidden sum calcs'!$D26:$K26, MATCH(P$2, 'hidden sum calcs'!$D$11:$K$11, 0))</f>
        <v/>
      </c>
      <c r="Q63" s="337" t="str">
        <f>INDEX('hidden sum calcs'!$D26:$K26, MATCH(Q$2, 'hidden sum calcs'!$D$11:$K$11, 0))</f>
        <v/>
      </c>
      <c r="R63" s="221"/>
      <c r="S63" s="221"/>
      <c r="T63" s="221"/>
    </row>
    <row r="64" spans="1:20" s="216" customFormat="1" ht="2.1" customHeight="1" x14ac:dyDescent="0.25">
      <c r="A64" s="221"/>
      <c r="B64" s="221"/>
      <c r="C64" s="221"/>
      <c r="D64" s="221"/>
      <c r="E64" s="221"/>
      <c r="F64" s="221"/>
      <c r="G64" s="221"/>
      <c r="H64" s="221"/>
      <c r="I64" s="221"/>
      <c r="J64" s="337" t="str">
        <f>INDEX('hidden sum calcs'!$D28:$K28, MATCH(J$2, 'hidden sum calcs'!$D$11:$K$11, 0))</f>
        <v/>
      </c>
      <c r="K64" s="337" t="str">
        <f>INDEX('hidden sum calcs'!$D28:$K28, MATCH(K$2, 'hidden sum calcs'!$D$11:$K$11, 0))</f>
        <v/>
      </c>
      <c r="L64" s="337" t="str">
        <f>INDEX('hidden sum calcs'!$D28:$K28, MATCH(L$2, 'hidden sum calcs'!$D$11:$K$11, 0))</f>
        <v/>
      </c>
      <c r="M64" s="337" t="str">
        <f>INDEX('hidden sum calcs'!$D28:$K28, MATCH(M$2, 'hidden sum calcs'!$D$11:$K$11, 0))</f>
        <v/>
      </c>
      <c r="N64" s="337" t="str">
        <f>INDEX('hidden sum calcs'!$D28:$K28, MATCH(N$2, 'hidden sum calcs'!$D$11:$K$11, 0))</f>
        <v/>
      </c>
      <c r="O64" s="337" t="str">
        <f>INDEX('hidden sum calcs'!$D28:$K28, MATCH(O$2, 'hidden sum calcs'!$D$11:$K$11, 0))</f>
        <v/>
      </c>
      <c r="P64" s="337" t="str">
        <f>INDEX('hidden sum calcs'!$D28:$K28, MATCH(P$2, 'hidden sum calcs'!$D$11:$K$11, 0))</f>
        <v/>
      </c>
      <c r="Q64" s="337" t="str">
        <f>INDEX('hidden sum calcs'!$D28:$K28, MATCH(Q$2, 'hidden sum calcs'!$D$11:$K$11, 0))</f>
        <v/>
      </c>
      <c r="R64" s="221"/>
      <c r="S64" s="221"/>
      <c r="T64" s="221"/>
    </row>
    <row r="65" spans="9:18" x14ac:dyDescent="0.25">
      <c r="I65" s="8"/>
      <c r="J65" s="338"/>
      <c r="K65" s="338"/>
      <c r="L65" s="338"/>
      <c r="M65" s="338"/>
      <c r="N65" s="338"/>
      <c r="O65" s="338"/>
      <c r="P65" s="338"/>
      <c r="Q65" s="338"/>
      <c r="R65" s="8"/>
    </row>
    <row r="66" spans="9:18" x14ac:dyDescent="0.25">
      <c r="I66" s="8"/>
      <c r="J66" s="338"/>
      <c r="K66" s="338"/>
      <c r="L66" s="338"/>
      <c r="M66" s="338"/>
      <c r="N66" s="338"/>
      <c r="O66" s="338"/>
      <c r="P66" s="338"/>
      <c r="Q66" s="338"/>
      <c r="R66" s="8"/>
    </row>
    <row r="67" spans="9:18" x14ac:dyDescent="0.25">
      <c r="I67" s="8"/>
      <c r="J67" s="339"/>
      <c r="K67" s="339"/>
      <c r="L67" s="339"/>
      <c r="M67" s="339"/>
      <c r="N67" s="339"/>
      <c r="O67" s="339"/>
      <c r="P67" s="339"/>
      <c r="Q67" s="339"/>
      <c r="R67" s="8"/>
    </row>
    <row r="68" spans="9:18" x14ac:dyDescent="0.25">
      <c r="I68" s="8"/>
      <c r="J68" s="339"/>
      <c r="K68" s="339"/>
      <c r="L68" s="339"/>
      <c r="M68" s="339"/>
      <c r="N68" s="339"/>
      <c r="O68" s="339"/>
      <c r="P68" s="339"/>
      <c r="Q68" s="339"/>
      <c r="R68" s="8"/>
    </row>
  </sheetData>
  <sheetProtection algorithmName="SHA-512" hashValue="8ZttxrqykKuBVqLmom9MVnbfAv1hH/OVSQd+QAONQHaEek9P716R8oGDJxcE99O/cqoJRsiFHDdpV0O2BCj0gQ==" saltValue="bUNPs1n5n2vHYBu8MGfKDQ==" spinCount="100000" sheet="1" objects="1" scenarios="1" selectLockedCells="1"/>
  <mergeCells count="6">
    <mergeCell ref="K5:Q5"/>
    <mergeCell ref="K19:O19"/>
    <mergeCell ref="B56:B58"/>
    <mergeCell ref="C56:C58"/>
    <mergeCell ref="D56:G58"/>
    <mergeCell ref="B51:H54"/>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335F0-2594-4106-8B4A-DD72F12508C5}">
  <sheetPr codeName="Sheet4"/>
  <dimension ref="A1:H49"/>
  <sheetViews>
    <sheetView zoomScale="130" zoomScaleNormal="130" workbookViewId="0">
      <selection activeCell="C29" sqref="C29"/>
    </sheetView>
  </sheetViews>
  <sheetFormatPr defaultRowHeight="15" x14ac:dyDescent="0.25"/>
  <cols>
    <col min="1" max="1" width="19.28515625" customWidth="1"/>
    <col min="2" max="2" width="20.140625" customWidth="1"/>
    <col min="3" max="4" width="19.28515625" customWidth="1"/>
    <col min="5" max="5" width="17.7109375" customWidth="1"/>
  </cols>
  <sheetData>
    <row r="1" spans="1:8" ht="18" customHeight="1" x14ac:dyDescent="0.25">
      <c r="A1" s="267">
        <f ca="1">'TM-21 inputs'!C49</f>
        <v>44497</v>
      </c>
      <c r="B1" s="267" t="str">
        <f>'TM-21 inputs'!D49</f>
        <v xml:space="preserve">TM-21-19 Calculator: </v>
      </c>
      <c r="C1" s="241"/>
      <c r="D1" s="241"/>
      <c r="E1" s="241"/>
      <c r="F1" s="241"/>
      <c r="G1" s="241"/>
      <c r="H1" s="241"/>
    </row>
    <row r="2" spans="1:8" ht="18" customHeight="1" x14ac:dyDescent="0.25">
      <c r="A2" s="267"/>
      <c r="B2" s="267"/>
      <c r="C2" s="241"/>
      <c r="D2" s="241"/>
      <c r="E2" s="340"/>
      <c r="F2" s="340"/>
      <c r="G2" s="340"/>
      <c r="H2" s="241"/>
    </row>
    <row r="3" spans="1:8" ht="18" customHeight="1" x14ac:dyDescent="0.25">
      <c r="A3" s="456"/>
      <c r="B3" s="457"/>
      <c r="C3" s="341" t="s">
        <v>101</v>
      </c>
      <c r="D3" s="342" t="s">
        <v>102</v>
      </c>
      <c r="E3" s="340"/>
      <c r="F3" s="340"/>
      <c r="G3" s="340"/>
      <c r="H3" s="241"/>
    </row>
    <row r="4" spans="1:8" ht="18" customHeight="1" x14ac:dyDescent="0.25">
      <c r="A4" s="458" t="s">
        <v>99</v>
      </c>
      <c r="B4" s="459"/>
      <c r="C4" s="343">
        <f>'TM-21 inputs'!M4</f>
        <v>0</v>
      </c>
      <c r="D4" s="344">
        <f>'TM-21 inputs'!P4</f>
        <v>0</v>
      </c>
      <c r="E4" s="345"/>
      <c r="F4" s="340"/>
      <c r="G4" s="340"/>
      <c r="H4" s="241"/>
    </row>
    <row r="5" spans="1:8" ht="18" customHeight="1" x14ac:dyDescent="0.25">
      <c r="A5" s="454" t="s">
        <v>97</v>
      </c>
      <c r="B5" s="455"/>
      <c r="C5" s="346">
        <f>'TM-21 inputs'!M8</f>
        <v>0</v>
      </c>
      <c r="D5" s="347">
        <f>'TM-21 inputs'!P8</f>
        <v>0</v>
      </c>
      <c r="E5" s="345" t="str">
        <f>'TM-21 inputs'!$F$15</f>
        <v/>
      </c>
      <c r="F5" s="340"/>
      <c r="G5" s="340"/>
      <c r="H5" s="241"/>
    </row>
    <row r="6" spans="1:8" ht="18" customHeight="1" x14ac:dyDescent="0.25">
      <c r="A6" s="454" t="s">
        <v>105</v>
      </c>
      <c r="B6" s="455"/>
      <c r="C6" s="346">
        <f>'TM-21 inputs'!M7</f>
        <v>0</v>
      </c>
      <c r="D6" s="347">
        <f>'TM-21 inputs'!P7</f>
        <v>0</v>
      </c>
      <c r="E6" s="345"/>
      <c r="F6" s="340"/>
      <c r="G6" s="340"/>
      <c r="H6" s="241"/>
    </row>
    <row r="7" spans="1:8" ht="18" customHeight="1" x14ac:dyDescent="0.25">
      <c r="A7" s="454" t="s">
        <v>4</v>
      </c>
      <c r="B7" s="455"/>
      <c r="C7" s="346">
        <f>'TM-21 inputs'!M9</f>
        <v>0</v>
      </c>
      <c r="D7" s="347">
        <f>'TM-21 inputs'!P9</f>
        <v>0</v>
      </c>
      <c r="E7" s="345" t="str">
        <f>'TM-21 inputs'!$F$16</f>
        <v/>
      </c>
      <c r="F7" s="340"/>
      <c r="G7" s="340"/>
      <c r="H7" s="241"/>
    </row>
    <row r="8" spans="1:8" ht="18" customHeight="1" x14ac:dyDescent="0.25">
      <c r="A8" s="454" t="s">
        <v>106</v>
      </c>
      <c r="B8" s="455"/>
      <c r="C8" s="346" t="str">
        <f>_xlfn.CONCAT('hidden sheet 1'!E7, " to ", 'hidden sheet 1'!E8)</f>
        <v>0 to 0</v>
      </c>
      <c r="D8" s="347" t="str">
        <f>_xlfn.CONCAT('hidden sheet 1'!J7, " to ", 'hidden sheet 1'!J8)</f>
        <v>0 to 0</v>
      </c>
      <c r="E8" s="345"/>
      <c r="F8" s="340"/>
      <c r="G8" s="340"/>
      <c r="H8" s="241"/>
    </row>
    <row r="9" spans="1:8" ht="18" customHeight="1" x14ac:dyDescent="0.25">
      <c r="A9" s="462" t="s">
        <v>179</v>
      </c>
      <c r="B9" s="463"/>
      <c r="C9" s="346">
        <f>'TM-21 inputs'!M6</f>
        <v>0</v>
      </c>
      <c r="D9" s="346">
        <f>'TM-21 inputs'!P6</f>
        <v>0</v>
      </c>
      <c r="E9" s="345"/>
      <c r="F9" s="340"/>
      <c r="G9" s="340"/>
      <c r="H9" s="241"/>
    </row>
    <row r="10" spans="1:8" ht="18" customHeight="1" x14ac:dyDescent="0.25">
      <c r="A10" s="464" t="s">
        <v>100</v>
      </c>
      <c r="B10" s="465"/>
      <c r="C10" s="460"/>
      <c r="D10" s="461"/>
      <c r="E10" s="345"/>
      <c r="F10" s="340"/>
      <c r="G10" s="340"/>
      <c r="H10" s="241"/>
    </row>
    <row r="11" spans="1:8" ht="18" customHeight="1" x14ac:dyDescent="0.25">
      <c r="A11" s="466" t="s">
        <v>12</v>
      </c>
      <c r="B11" s="467"/>
      <c r="C11" s="348" t="str">
        <f>'hidden sum calcs'!N18</f>
        <v>-</v>
      </c>
      <c r="D11" s="349" t="str">
        <f>'hidden sum calcs'!O18</f>
        <v>-</v>
      </c>
      <c r="E11" s="345"/>
      <c r="F11" s="350"/>
      <c r="G11" s="350"/>
      <c r="H11" s="244"/>
    </row>
    <row r="12" spans="1:8" ht="18" customHeight="1" x14ac:dyDescent="0.25">
      <c r="A12" s="466" t="s">
        <v>13</v>
      </c>
      <c r="B12" s="467"/>
      <c r="C12" s="351" t="str">
        <f>'hidden sum calcs'!N19</f>
        <v>-</v>
      </c>
      <c r="D12" s="352" t="str">
        <f>'hidden sum calcs'!O19</f>
        <v>-</v>
      </c>
      <c r="E12" s="345"/>
      <c r="F12" s="350"/>
      <c r="G12" s="350"/>
      <c r="H12" s="244"/>
    </row>
    <row r="13" spans="1:8" ht="18" customHeight="1" x14ac:dyDescent="0.25">
      <c r="A13" s="452" t="e">
        <f>_xlfn.CONCAT("Reported L(", 'TM-21 inputs'!E22, ") (", 'TM-21 inputs'!E16/1000, "k)")</f>
        <v>#VALUE!</v>
      </c>
      <c r="B13" s="453"/>
      <c r="C13" s="353" t="str">
        <f>'hidden sum calcs'!N21</f>
        <v>-</v>
      </c>
      <c r="D13" s="354" t="str">
        <f>'hidden sum calcs'!O21</f>
        <v>-</v>
      </c>
      <c r="E13" s="345"/>
      <c r="F13" s="350"/>
      <c r="G13" s="350"/>
      <c r="H13" s="244"/>
    </row>
    <row r="14" spans="1:8" ht="18" customHeight="1" x14ac:dyDescent="0.25">
      <c r="A14" s="241"/>
      <c r="B14" s="241"/>
      <c r="C14" s="340"/>
      <c r="D14" s="340"/>
      <c r="E14" s="340"/>
      <c r="F14" s="350"/>
      <c r="G14" s="350"/>
      <c r="H14" s="244"/>
    </row>
    <row r="15" spans="1:8" ht="18" customHeight="1" x14ac:dyDescent="0.25">
      <c r="A15" s="241" t="s">
        <v>96</v>
      </c>
      <c r="B15" s="241"/>
      <c r="C15" s="340"/>
      <c r="D15" s="340"/>
      <c r="E15" s="340"/>
      <c r="F15" s="340"/>
      <c r="G15" s="340"/>
      <c r="H15" s="241"/>
    </row>
    <row r="16" spans="1:8" ht="18" customHeight="1" x14ac:dyDescent="0.25">
      <c r="A16" s="355" t="s">
        <v>180</v>
      </c>
      <c r="B16" s="355">
        <f>'hidden sum calcs'!$AB$15</f>
        <v>273.14999999999998</v>
      </c>
      <c r="C16" s="340"/>
      <c r="D16" s="340"/>
      <c r="E16" s="340"/>
      <c r="F16" s="340"/>
      <c r="G16" s="340"/>
      <c r="H16" s="241"/>
    </row>
    <row r="17" spans="1:8" ht="18" customHeight="1" x14ac:dyDescent="0.25">
      <c r="A17" s="355" t="s">
        <v>181</v>
      </c>
      <c r="B17" s="356" t="str">
        <f>'hidden sum calcs'!$AB$17</f>
        <v>-</v>
      </c>
      <c r="C17" s="340"/>
      <c r="D17" s="340"/>
      <c r="E17" s="340"/>
      <c r="F17" s="340"/>
      <c r="G17" s="340"/>
      <c r="H17" s="241"/>
    </row>
    <row r="18" spans="1:8" ht="18" customHeight="1" x14ac:dyDescent="0.25">
      <c r="A18" s="355" t="s">
        <v>182</v>
      </c>
      <c r="B18" s="357" t="str">
        <f>'hidden sum calcs'!$AB$18</f>
        <v>-</v>
      </c>
      <c r="C18" s="340"/>
      <c r="D18" s="340"/>
      <c r="E18" s="340"/>
      <c r="F18" s="340"/>
      <c r="G18" s="340"/>
      <c r="H18" s="241"/>
    </row>
    <row r="19" spans="1:8" ht="18" customHeight="1" x14ac:dyDescent="0.25">
      <c r="A19" s="355" t="s">
        <v>10</v>
      </c>
      <c r="B19" s="356" t="str">
        <f>'hidden sum calcs'!$AC$19</f>
        <v>-</v>
      </c>
      <c r="C19" s="345"/>
      <c r="D19" s="340"/>
      <c r="E19" s="340"/>
      <c r="F19" s="340"/>
      <c r="G19" s="340"/>
      <c r="H19" s="241"/>
    </row>
    <row r="20" spans="1:8" ht="18" customHeight="1" x14ac:dyDescent="0.25">
      <c r="A20" s="355" t="s">
        <v>183</v>
      </c>
      <c r="B20" s="356" t="str">
        <f>'hidden sum calcs'!$AC$20</f>
        <v>-</v>
      </c>
      <c r="C20" s="345"/>
      <c r="D20" s="340"/>
      <c r="E20" s="340"/>
      <c r="F20" s="340"/>
      <c r="G20" s="340"/>
      <c r="H20" s="241"/>
    </row>
    <row r="21" spans="1:8" ht="18" customHeight="1" x14ac:dyDescent="0.25">
      <c r="A21" s="355" t="s">
        <v>184</v>
      </c>
      <c r="B21" s="357" t="str">
        <f>'hidden sum calcs'!$AC$21</f>
        <v>-</v>
      </c>
      <c r="C21" s="345"/>
      <c r="D21" s="340"/>
      <c r="E21" s="340"/>
      <c r="F21" s="340"/>
      <c r="G21" s="340"/>
      <c r="H21" s="241"/>
    </row>
    <row r="22" spans="1:8" ht="18" customHeight="1" x14ac:dyDescent="0.25">
      <c r="A22" s="355" t="s">
        <v>185</v>
      </c>
      <c r="B22" s="355">
        <f>'hidden sum calcs'!$AC$14</f>
        <v>0</v>
      </c>
      <c r="C22" s="345"/>
      <c r="D22" s="340"/>
      <c r="E22" s="340"/>
      <c r="F22" s="340"/>
      <c r="G22" s="340"/>
      <c r="H22" s="241"/>
    </row>
    <row r="23" spans="1:8" ht="18" customHeight="1" x14ac:dyDescent="0.25">
      <c r="A23" s="355" t="s">
        <v>186</v>
      </c>
      <c r="B23" s="355">
        <f>'hidden sum calcs'!$AC$15</f>
        <v>273.14999999999998</v>
      </c>
      <c r="C23" s="345" t="str">
        <f>'TM-21 inputs'!C44</f>
        <v/>
      </c>
      <c r="D23" s="340"/>
      <c r="E23" s="340"/>
      <c r="F23" s="340"/>
      <c r="G23" s="340"/>
      <c r="H23" s="241"/>
    </row>
    <row r="24" spans="1:8" ht="18" customHeight="1" x14ac:dyDescent="0.25">
      <c r="A24" s="355" t="s">
        <v>187</v>
      </c>
      <c r="B24" s="356" t="str">
        <f>'hidden sum calcs'!$AC$22</f>
        <v>-</v>
      </c>
      <c r="C24" s="345" t="str">
        <f>'TM-21 inputs'!C45</f>
        <v/>
      </c>
      <c r="D24" s="340"/>
      <c r="E24" s="340"/>
      <c r="F24" s="340"/>
      <c r="G24" s="340"/>
      <c r="H24" s="241"/>
    </row>
    <row r="25" spans="1:8" ht="18" customHeight="1" x14ac:dyDescent="0.25">
      <c r="A25" s="355" t="s">
        <v>188</v>
      </c>
      <c r="B25" s="357" t="str">
        <f>'hidden sum calcs'!$AC$23</f>
        <v>-</v>
      </c>
      <c r="C25" s="345" t="str">
        <f>'TM-21 inputs'!$L$37</f>
        <v/>
      </c>
      <c r="D25" s="340"/>
      <c r="E25" s="340"/>
      <c r="F25" s="340"/>
      <c r="G25" s="340"/>
      <c r="H25" s="241"/>
    </row>
    <row r="26" spans="1:8" ht="18" customHeight="1" x14ac:dyDescent="0.25">
      <c r="A26" s="358" t="e">
        <f>_xlfn.CONCAT("Reported L(", 'TM-21 inputs'!E22, ") (", 'TM-21 inputs'!E16/1000, "k)")</f>
        <v>#VALUE!</v>
      </c>
      <c r="B26" s="358" t="str">
        <f>'hidden sum calcs'!$AC$25</f>
        <v>-</v>
      </c>
      <c r="C26" s="345" t="str">
        <f>'TM-21 inputs'!$F$22</f>
        <v/>
      </c>
      <c r="D26" s="340"/>
      <c r="E26" s="340"/>
      <c r="F26" s="241"/>
      <c r="G26" s="241"/>
      <c r="H26" s="241"/>
    </row>
    <row r="27" spans="1:8" ht="18" customHeight="1" x14ac:dyDescent="0.25"/>
    <row r="28" spans="1:8" ht="18" customHeight="1" x14ac:dyDescent="0.25"/>
    <row r="29" spans="1:8" ht="18" customHeight="1" x14ac:dyDescent="0.25"/>
    <row r="30" spans="1:8" ht="18" customHeight="1" x14ac:dyDescent="0.25"/>
    <row r="31" spans="1:8" ht="18" customHeight="1" x14ac:dyDescent="0.25"/>
    <row r="32" spans="1:8" ht="18" customHeight="1" x14ac:dyDescent="0.25"/>
    <row r="33" ht="18" customHeight="1" x14ac:dyDescent="0.25"/>
    <row r="34" ht="18" customHeight="1" x14ac:dyDescent="0.25"/>
    <row r="35" ht="18" customHeight="1" x14ac:dyDescent="0.25"/>
    <row r="36" ht="18" customHeight="1" x14ac:dyDescent="0.25"/>
    <row r="37" ht="18" customHeight="1" x14ac:dyDescent="0.25"/>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sheetData>
  <sheetProtection algorithmName="SHA-512" hashValue="Pnv/SrOsgbJ2fWxdnmUpZMbgtGEchXHf/KkKJxzA/w9BWkD34ETaRK9QGGM5NslAyFz937FzC9XE3qWabZuIkQ==" saltValue="H/kWe5DEgu7eD/kO1PZm9g==" spinCount="100000" sheet="1" objects="1" scenarios="1" selectLockedCells="1"/>
  <mergeCells count="12">
    <mergeCell ref="C10:D10"/>
    <mergeCell ref="A9:B9"/>
    <mergeCell ref="A10:B10"/>
    <mergeCell ref="A11:B11"/>
    <mergeCell ref="A12:B12"/>
    <mergeCell ref="A13:B13"/>
    <mergeCell ref="A8:B8"/>
    <mergeCell ref="A3:B3"/>
    <mergeCell ref="A4:B4"/>
    <mergeCell ref="A5:B5"/>
    <mergeCell ref="A6:B6"/>
    <mergeCell ref="A7:B7"/>
  </mergeCells>
  <pageMargins left="0.7" right="0.7" top="0.75" bottom="0.75" header="0.3" footer="0.3"/>
  <pageSetup paperSize="9" orientation="landscape" horizontalDpi="4294967293" verticalDpi="1200" r:id="rId1"/>
  <extLst>
    <ext xmlns:x14="http://schemas.microsoft.com/office/spreadsheetml/2009/9/main" uri="{78C0D931-6437-407d-A8EE-F0AAD7539E65}">
      <x14:conditionalFormattings>
        <x14:conditionalFormatting xmlns:xm="http://schemas.microsoft.com/office/excel/2006/main">
          <x14:cfRule type="expression" priority="1" id="{6A275D05-E3C0-4405-BF9C-70BCAD55A86E}">
            <xm:f>'hidden sheet 1'!$Z$7=0</xm:f>
            <x14:dxf>
              <font>
                <color theme="0"/>
              </font>
              <fill>
                <patternFill>
                  <bgColor theme="0"/>
                </patternFill>
              </fill>
              <border>
                <left style="thin">
                  <color theme="0"/>
                </left>
                <right style="thin">
                  <color theme="0"/>
                </right>
                <top style="thin">
                  <color theme="0"/>
                </top>
                <bottom style="thin">
                  <color theme="0"/>
                </bottom>
                <vertical/>
                <horizontal/>
              </border>
            </x14:dxf>
          </x14:cfRule>
          <xm:sqref>A1:H27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821F1-E82D-48DE-B0F3-619F1ED8C8C6}">
  <sheetPr codeName="Sheet5"/>
  <dimension ref="A1:H50"/>
  <sheetViews>
    <sheetView zoomScale="130" zoomScaleNormal="130" workbookViewId="0">
      <selection activeCell="C32" sqref="C32"/>
    </sheetView>
  </sheetViews>
  <sheetFormatPr defaultRowHeight="15" x14ac:dyDescent="0.25"/>
  <cols>
    <col min="1" max="1" width="19.28515625" style="266" customWidth="1"/>
    <col min="2" max="2" width="20.28515625" style="266" customWidth="1"/>
    <col min="3" max="4" width="19.28515625" style="266" customWidth="1"/>
    <col min="5" max="5" width="18.140625" style="266" customWidth="1"/>
    <col min="6" max="8" width="9.140625" style="266"/>
  </cols>
  <sheetData>
    <row r="1" spans="1:8" ht="18" customHeight="1" x14ac:dyDescent="0.25">
      <c r="A1" s="267">
        <f ca="1">'TM-21 inputs'!C49</f>
        <v>44497</v>
      </c>
      <c r="B1" s="267" t="str">
        <f>'TM-21 inputs'!D49</f>
        <v xml:space="preserve">TM-21-19 Calculator: </v>
      </c>
      <c r="C1" s="241"/>
      <c r="D1" s="241"/>
      <c r="E1" s="241"/>
      <c r="F1" s="241"/>
      <c r="G1" s="241"/>
      <c r="H1" s="241"/>
    </row>
    <row r="2" spans="1:8" ht="18" customHeight="1" x14ac:dyDescent="0.25">
      <c r="A2" s="241"/>
      <c r="B2" s="241"/>
      <c r="C2" s="241"/>
      <c r="D2" s="241"/>
      <c r="E2" s="241"/>
      <c r="F2" s="241"/>
      <c r="G2" s="241"/>
      <c r="H2" s="241"/>
    </row>
    <row r="3" spans="1:8" ht="18" customHeight="1" x14ac:dyDescent="0.25">
      <c r="A3" s="456"/>
      <c r="B3" s="457"/>
      <c r="C3" s="341" t="s">
        <v>101</v>
      </c>
      <c r="D3" s="342" t="s">
        <v>102</v>
      </c>
      <c r="E3" s="241"/>
      <c r="F3" s="241"/>
      <c r="G3" s="241"/>
      <c r="H3" s="241"/>
    </row>
    <row r="4" spans="1:8" ht="18" customHeight="1" x14ac:dyDescent="0.25">
      <c r="A4" s="458" t="s">
        <v>99</v>
      </c>
      <c r="B4" s="459"/>
      <c r="C4" s="343">
        <f>'TM-21 inputs'!M4</f>
        <v>0</v>
      </c>
      <c r="D4" s="344">
        <f>'TM-21 inputs'!P4</f>
        <v>0</v>
      </c>
      <c r="E4" s="359"/>
      <c r="F4" s="241"/>
      <c r="G4" s="241"/>
      <c r="H4" s="241"/>
    </row>
    <row r="5" spans="1:8" ht="18" customHeight="1" x14ac:dyDescent="0.25">
      <c r="A5" s="454" t="s">
        <v>97</v>
      </c>
      <c r="B5" s="455"/>
      <c r="C5" s="346">
        <f>'TM-21 inputs'!M8</f>
        <v>0</v>
      </c>
      <c r="D5" s="347">
        <f>'TM-21 inputs'!P8</f>
        <v>0</v>
      </c>
      <c r="E5" s="359" t="str">
        <f>'TM-21 inputs'!$F$15</f>
        <v/>
      </c>
      <c r="F5" s="241"/>
      <c r="G5" s="241"/>
      <c r="H5" s="241"/>
    </row>
    <row r="6" spans="1:8" ht="18" customHeight="1" x14ac:dyDescent="0.25">
      <c r="A6" s="454" t="s">
        <v>105</v>
      </c>
      <c r="B6" s="455"/>
      <c r="C6" s="346">
        <f>'TM-21 inputs'!M7</f>
        <v>0</v>
      </c>
      <c r="D6" s="347">
        <f>'TM-21 inputs'!P7</f>
        <v>0</v>
      </c>
      <c r="E6" s="345"/>
      <c r="F6" s="340"/>
      <c r="G6" s="340"/>
      <c r="H6" s="241"/>
    </row>
    <row r="7" spans="1:8" ht="18" customHeight="1" x14ac:dyDescent="0.25">
      <c r="A7" s="454" t="s">
        <v>4</v>
      </c>
      <c r="B7" s="455"/>
      <c r="C7" s="346">
        <f>'TM-21 inputs'!M9</f>
        <v>0</v>
      </c>
      <c r="D7" s="347">
        <f>'TM-21 inputs'!P9</f>
        <v>0</v>
      </c>
      <c r="E7" s="345" t="str">
        <f>'TM-21 inputs'!$F$16</f>
        <v/>
      </c>
      <c r="F7" s="340"/>
      <c r="G7" s="340"/>
      <c r="H7" s="241"/>
    </row>
    <row r="8" spans="1:8" ht="18" customHeight="1" x14ac:dyDescent="0.25">
      <c r="A8" s="454" t="s">
        <v>106</v>
      </c>
      <c r="B8" s="455"/>
      <c r="C8" s="346" t="str">
        <f>_xlfn.CONCAT('hidden sheet 1'!E7, " to ", 'hidden sheet 1'!E8)</f>
        <v>0 to 0</v>
      </c>
      <c r="D8" s="347" t="str">
        <f>_xlfn.CONCAT('hidden sheet 1'!J7, " to ", 'hidden sheet 1'!J8)</f>
        <v>0 to 0</v>
      </c>
      <c r="E8" s="345"/>
      <c r="F8" s="340"/>
      <c r="G8" s="340"/>
      <c r="H8" s="241"/>
    </row>
    <row r="9" spans="1:8" ht="18" customHeight="1" x14ac:dyDescent="0.25">
      <c r="A9" s="454" t="s">
        <v>179</v>
      </c>
      <c r="B9" s="455"/>
      <c r="C9" s="346">
        <f>'TM-21 inputs'!M6</f>
        <v>0</v>
      </c>
      <c r="D9" s="347">
        <f>'TM-21 inputs'!P6</f>
        <v>0</v>
      </c>
      <c r="E9" s="345"/>
      <c r="F9" s="340"/>
      <c r="G9" s="340"/>
      <c r="H9" s="241"/>
    </row>
    <row r="10" spans="1:8" ht="18" customHeight="1" x14ac:dyDescent="0.25">
      <c r="A10" s="464" t="s">
        <v>100</v>
      </c>
      <c r="B10" s="470"/>
      <c r="C10" s="468"/>
      <c r="D10" s="469"/>
      <c r="E10" s="340"/>
      <c r="F10" s="340"/>
      <c r="G10" s="340"/>
      <c r="H10" s="241"/>
    </row>
    <row r="11" spans="1:8" ht="18" customHeight="1" x14ac:dyDescent="0.25">
      <c r="A11" s="466" t="s">
        <v>12</v>
      </c>
      <c r="B11" s="467"/>
      <c r="C11" s="348" t="str">
        <f>'hidden sum calcs'!N18</f>
        <v>-</v>
      </c>
      <c r="D11" s="349" t="str">
        <f>'hidden sum calcs'!O18</f>
        <v>-</v>
      </c>
      <c r="E11" s="340"/>
      <c r="F11" s="350"/>
      <c r="G11" s="350"/>
      <c r="H11" s="244"/>
    </row>
    <row r="12" spans="1:8" ht="18" customHeight="1" x14ac:dyDescent="0.25">
      <c r="A12" s="466" t="s">
        <v>13</v>
      </c>
      <c r="B12" s="467"/>
      <c r="C12" s="351" t="str">
        <f>'hidden sum calcs'!N19</f>
        <v>-</v>
      </c>
      <c r="D12" s="352" t="str">
        <f>'hidden sum calcs'!O19</f>
        <v>-</v>
      </c>
      <c r="E12" s="340"/>
      <c r="F12" s="350"/>
      <c r="G12" s="350"/>
      <c r="H12" s="244"/>
    </row>
    <row r="13" spans="1:8" ht="18" customHeight="1" x14ac:dyDescent="0.25">
      <c r="A13" s="452" t="e">
        <f>_xlfn.CONCAT("Reported L(", 'TM-21 inputs'!E22, ") (", 'TM-21 inputs'!E16/1000, "k)")</f>
        <v>#VALUE!</v>
      </c>
      <c r="B13" s="453"/>
      <c r="C13" s="353" t="str">
        <f>'hidden sum calcs'!N21</f>
        <v>-</v>
      </c>
      <c r="D13" s="354" t="str">
        <f>'hidden sum calcs'!O21</f>
        <v>-</v>
      </c>
      <c r="E13" s="340"/>
      <c r="F13" s="350"/>
      <c r="G13" s="350"/>
      <c r="H13" s="244"/>
    </row>
    <row r="14" spans="1:8" ht="18" customHeight="1" x14ac:dyDescent="0.25">
      <c r="A14" s="241"/>
      <c r="B14" s="241"/>
      <c r="C14" s="340"/>
      <c r="D14" s="340"/>
      <c r="E14" s="340"/>
      <c r="F14" s="350"/>
      <c r="G14" s="350"/>
      <c r="H14" s="244"/>
    </row>
    <row r="15" spans="1:8" ht="18" customHeight="1" x14ac:dyDescent="0.25">
      <c r="A15" s="241" t="s">
        <v>98</v>
      </c>
      <c r="B15" s="241"/>
      <c r="C15" s="340"/>
      <c r="D15" s="340"/>
      <c r="E15" s="340"/>
      <c r="F15" s="340"/>
      <c r="G15" s="340"/>
      <c r="H15" s="241"/>
    </row>
    <row r="16" spans="1:8" ht="18" customHeight="1" x14ac:dyDescent="0.25">
      <c r="A16" s="355" t="s">
        <v>181</v>
      </c>
      <c r="B16" s="356" t="str">
        <f>'hidden sum calcs'!$V$17</f>
        <v>-</v>
      </c>
      <c r="C16" s="340"/>
      <c r="D16" s="340"/>
      <c r="E16" s="340"/>
      <c r="F16" s="340"/>
      <c r="G16" s="340"/>
      <c r="H16" s="241"/>
    </row>
    <row r="17" spans="1:8" ht="18" customHeight="1" x14ac:dyDescent="0.25">
      <c r="A17" s="355" t="s">
        <v>182</v>
      </c>
      <c r="B17" s="357" t="str">
        <f>'hidden sum calcs'!$V$18</f>
        <v>-</v>
      </c>
      <c r="C17" s="340"/>
      <c r="D17" s="340"/>
      <c r="E17" s="340"/>
      <c r="F17" s="340"/>
      <c r="G17" s="340"/>
      <c r="H17" s="241"/>
    </row>
    <row r="18" spans="1:8" ht="18" customHeight="1" x14ac:dyDescent="0.25">
      <c r="A18" s="355" t="s">
        <v>189</v>
      </c>
      <c r="B18" s="356" t="str">
        <f>'hidden sum calcs'!W19</f>
        <v>-</v>
      </c>
      <c r="C18" s="340"/>
      <c r="D18" s="340"/>
      <c r="E18" s="340"/>
      <c r="F18" s="340"/>
      <c r="G18" s="340"/>
      <c r="H18" s="241"/>
    </row>
    <row r="19" spans="1:8" ht="18" customHeight="1" x14ac:dyDescent="0.25">
      <c r="A19" s="355" t="s">
        <v>190</v>
      </c>
      <c r="B19" s="356" t="str">
        <f>'hidden sum calcs'!W20</f>
        <v>-</v>
      </c>
      <c r="C19" s="340"/>
      <c r="D19" s="340"/>
      <c r="E19" s="340"/>
      <c r="F19" s="340"/>
      <c r="G19" s="340"/>
      <c r="H19" s="241"/>
    </row>
    <row r="20" spans="1:8" ht="18" customHeight="1" x14ac:dyDescent="0.25">
      <c r="A20" s="355" t="s">
        <v>183</v>
      </c>
      <c r="B20" s="356" t="str">
        <f>'hidden sum calcs'!W21</f>
        <v>-</v>
      </c>
      <c r="C20" s="340"/>
      <c r="D20" s="340"/>
      <c r="E20" s="340"/>
      <c r="F20" s="340"/>
      <c r="G20" s="340"/>
      <c r="H20" s="241"/>
    </row>
    <row r="21" spans="1:8" ht="18" customHeight="1" x14ac:dyDescent="0.25">
      <c r="A21" s="355" t="s">
        <v>184</v>
      </c>
      <c r="B21" s="356" t="str">
        <f>'hidden sum calcs'!W22</f>
        <v>-</v>
      </c>
      <c r="C21" s="345" t="str">
        <f>'TM-21 inputs'!F19</f>
        <v/>
      </c>
      <c r="D21" s="340"/>
      <c r="E21" s="340"/>
      <c r="F21" s="340"/>
      <c r="G21" s="340"/>
      <c r="H21" s="241"/>
    </row>
    <row r="22" spans="1:8" ht="18" customHeight="1" x14ac:dyDescent="0.25">
      <c r="A22" s="355" t="s">
        <v>191</v>
      </c>
      <c r="B22" s="355">
        <f>'hidden sum calcs'!$W$16</f>
        <v>0</v>
      </c>
      <c r="C22" s="345" t="str">
        <f>'TM-21 inputs'!C44</f>
        <v/>
      </c>
      <c r="D22" s="340"/>
      <c r="E22" s="340"/>
      <c r="F22" s="340"/>
      <c r="G22" s="340"/>
      <c r="H22" s="241"/>
    </row>
    <row r="23" spans="1:8" ht="18" customHeight="1" x14ac:dyDescent="0.25">
      <c r="A23" s="355" t="s">
        <v>187</v>
      </c>
      <c r="B23" s="356" t="str">
        <f>'hidden sum calcs'!W23</f>
        <v>-</v>
      </c>
      <c r="C23" s="345" t="str">
        <f>'TM-21 inputs'!C45</f>
        <v/>
      </c>
      <c r="D23" s="340"/>
      <c r="E23" s="340"/>
      <c r="F23" s="340"/>
      <c r="G23" s="340"/>
      <c r="H23" s="241"/>
    </row>
    <row r="24" spans="1:8" ht="18" customHeight="1" x14ac:dyDescent="0.25">
      <c r="A24" s="355" t="s">
        <v>188</v>
      </c>
      <c r="B24" s="357" t="str">
        <f>'hidden sum calcs'!W24</f>
        <v>-</v>
      </c>
      <c r="C24" s="345" t="str">
        <f>'TM-21 inputs'!$L$37</f>
        <v/>
      </c>
      <c r="D24" s="340"/>
      <c r="E24" s="340"/>
      <c r="F24" s="340"/>
      <c r="G24" s="340"/>
      <c r="H24" s="241"/>
    </row>
    <row r="25" spans="1:8" ht="18" customHeight="1" x14ac:dyDescent="0.25">
      <c r="A25" s="358" t="e">
        <f>_xlfn.CONCAT("Reported L(", 'TM-21 inputs'!E22, ") (", 'TM-21 inputs'!E16/1000, "k)")</f>
        <v>#VALUE!</v>
      </c>
      <c r="B25" s="358" t="str">
        <f>'hidden sum calcs'!$W$26</f>
        <v>-</v>
      </c>
      <c r="C25" s="345" t="str">
        <f>'TM-21 inputs'!$F$22</f>
        <v/>
      </c>
      <c r="D25" s="340"/>
      <c r="E25" s="340"/>
      <c r="F25" s="340"/>
      <c r="G25" s="340"/>
      <c r="H25" s="241"/>
    </row>
    <row r="26" spans="1:8" ht="18" customHeight="1" x14ac:dyDescent="0.25">
      <c r="A26" s="241"/>
      <c r="B26" s="241"/>
      <c r="C26" s="340"/>
      <c r="D26" s="340"/>
      <c r="E26" s="340"/>
      <c r="F26" s="340"/>
      <c r="G26" s="340"/>
      <c r="H26" s="241"/>
    </row>
    <row r="27" spans="1:8" ht="18" customHeight="1" x14ac:dyDescent="0.25">
      <c r="A27" s="241"/>
      <c r="B27" s="241"/>
      <c r="C27" s="360"/>
      <c r="D27" s="241"/>
      <c r="E27" s="340"/>
      <c r="F27" s="340"/>
      <c r="G27" s="340"/>
      <c r="H27" s="241"/>
    </row>
    <row r="28" spans="1:8" ht="18" customHeight="1" x14ac:dyDescent="0.25">
      <c r="C28" s="361"/>
    </row>
    <row r="29" spans="1:8" ht="18" customHeight="1" x14ac:dyDescent="0.25">
      <c r="C29" s="361"/>
    </row>
    <row r="30" spans="1:8" ht="18" customHeight="1" x14ac:dyDescent="0.25"/>
    <row r="31" spans="1:8" ht="18" customHeight="1" x14ac:dyDescent="0.25"/>
    <row r="32" spans="1:8" ht="18" customHeight="1" x14ac:dyDescent="0.25"/>
    <row r="33" ht="18" customHeight="1" x14ac:dyDescent="0.25"/>
    <row r="34" ht="18" customHeight="1" x14ac:dyDescent="0.25"/>
    <row r="35" ht="18" customHeight="1" x14ac:dyDescent="0.25"/>
    <row r="36" ht="18" customHeight="1" x14ac:dyDescent="0.25"/>
    <row r="37" ht="18" customHeight="1" x14ac:dyDescent="0.25"/>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sheetData>
  <sheetProtection algorithmName="SHA-512" hashValue="iNP2RbLv8j7JBy2V6nN3kYI75nG95vLUxrJANO/7zcb1/oMDbp7CgmMOZ3RiPqA48gURtq/tPGByop4RPVmiOA==" saltValue="17f4zA23EQAQALXL8NhV3A==" spinCount="100000" sheet="1" objects="1" scenarios="1" selectLockedCells="1"/>
  <mergeCells count="12">
    <mergeCell ref="C10:D10"/>
    <mergeCell ref="A10:B10"/>
    <mergeCell ref="A11:B11"/>
    <mergeCell ref="A12:B12"/>
    <mergeCell ref="A13:B13"/>
    <mergeCell ref="A8:B8"/>
    <mergeCell ref="A9:B9"/>
    <mergeCell ref="A3:B3"/>
    <mergeCell ref="A4:B4"/>
    <mergeCell ref="A5:B5"/>
    <mergeCell ref="A6:B6"/>
    <mergeCell ref="A7:B7"/>
  </mergeCells>
  <phoneticPr fontId="6" type="noConversion"/>
  <pageMargins left="0.7" right="0.7" top="0.75" bottom="0.75" header="0.3" footer="0.3"/>
  <pageSetup paperSize="9" orientation="landscape" horizontalDpi="4294967293" verticalDpi="1200" r:id="rId1"/>
  <extLst>
    <ext xmlns:x14="http://schemas.microsoft.com/office/spreadsheetml/2009/9/main" uri="{78C0D931-6437-407d-A8EE-F0AAD7539E65}">
      <x14:conditionalFormattings>
        <x14:conditionalFormatting xmlns:xm="http://schemas.microsoft.com/office/excel/2006/main">
          <x14:cfRule type="expression" priority="1" id="{BC6C8782-F44D-4711-B925-449A6353BE73}">
            <xm:f>'hidden sheet 1'!$Z$8=0</xm:f>
            <x14:dxf>
              <font>
                <color theme="0"/>
              </font>
              <fill>
                <patternFill>
                  <bgColor theme="0"/>
                </patternFill>
              </fill>
              <border>
                <left/>
                <right/>
                <top/>
                <bottom/>
                <vertical/>
                <horizontal/>
              </border>
            </x14:dxf>
          </x14:cfRule>
          <xm:sqref>A1:H28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8FEFD-DC0F-409E-932A-4B820FEB19EC}">
  <sheetPr codeName="Sheet6"/>
  <dimension ref="A1:J53"/>
  <sheetViews>
    <sheetView zoomScale="130" zoomScaleNormal="130" workbookViewId="0">
      <selection activeCell="A8" sqref="A8:B8"/>
    </sheetView>
  </sheetViews>
  <sheetFormatPr defaultRowHeight="15" x14ac:dyDescent="0.25"/>
  <cols>
    <col min="1" max="2" width="17.85546875" style="266" customWidth="1"/>
    <col min="3" max="6" width="18" style="266" customWidth="1"/>
    <col min="7" max="8" width="10.5703125" style="266" customWidth="1"/>
  </cols>
  <sheetData>
    <row r="1" spans="1:10" x14ac:dyDescent="0.25">
      <c r="A1" s="362">
        <f ca="1">'TM-21 inputs'!C49</f>
        <v>44497</v>
      </c>
      <c r="B1" s="363" t="str">
        <f>'TM-21 inputs'!D49</f>
        <v xml:space="preserve">TM-21-19 Calculator: </v>
      </c>
      <c r="C1" s="364"/>
      <c r="D1" s="241"/>
      <c r="E1" s="241"/>
      <c r="F1" s="241"/>
      <c r="G1" s="241"/>
      <c r="H1" s="241"/>
    </row>
    <row r="2" spans="1:10" ht="18" customHeight="1" x14ac:dyDescent="0.25">
      <c r="A2" s="456"/>
      <c r="B2" s="457"/>
      <c r="C2" s="341" t="s">
        <v>101</v>
      </c>
      <c r="D2" s="365" t="s">
        <v>102</v>
      </c>
      <c r="E2" s="341" t="s">
        <v>103</v>
      </c>
      <c r="F2" s="342" t="s">
        <v>104</v>
      </c>
      <c r="G2" s="340"/>
      <c r="H2" s="340"/>
    </row>
    <row r="3" spans="1:10" ht="18" customHeight="1" x14ac:dyDescent="0.25">
      <c r="A3" s="473" t="s">
        <v>99</v>
      </c>
      <c r="B3" s="474"/>
      <c r="C3" s="343">
        <f>'TM-21 inputs'!M4</f>
        <v>0</v>
      </c>
      <c r="D3" s="366">
        <f>'TM-21 inputs'!P4</f>
        <v>0</v>
      </c>
      <c r="E3" s="343">
        <f>'TM-21 inputs'!V4</f>
        <v>0</v>
      </c>
      <c r="F3" s="344">
        <f>'TM-21 inputs'!Y4</f>
        <v>0</v>
      </c>
      <c r="G3" s="340"/>
      <c r="H3" s="340"/>
    </row>
    <row r="4" spans="1:10" ht="18" customHeight="1" x14ac:dyDescent="0.25">
      <c r="A4" s="471" t="s">
        <v>97</v>
      </c>
      <c r="B4" s="472"/>
      <c r="C4" s="346">
        <f>'TM-21 inputs'!M8</f>
        <v>0</v>
      </c>
      <c r="D4" s="367">
        <f>'TM-21 inputs'!P8</f>
        <v>0</v>
      </c>
      <c r="E4" s="346">
        <f>'TM-21 inputs'!V8</f>
        <v>0</v>
      </c>
      <c r="F4" s="347">
        <f>'TM-21 inputs'!Y8</f>
        <v>0</v>
      </c>
      <c r="G4" s="345" t="str">
        <f>'TM-21 inputs'!$F$15</f>
        <v/>
      </c>
      <c r="H4" s="340"/>
    </row>
    <row r="5" spans="1:10" ht="18" customHeight="1" x14ac:dyDescent="0.25">
      <c r="A5" s="471" t="s">
        <v>105</v>
      </c>
      <c r="B5" s="472"/>
      <c r="C5" s="346">
        <f>'TM-21 inputs'!M7</f>
        <v>0</v>
      </c>
      <c r="D5" s="367">
        <f>'TM-21 inputs'!P7</f>
        <v>0</v>
      </c>
      <c r="E5" s="346">
        <f>'TM-21 inputs'!V7</f>
        <v>0</v>
      </c>
      <c r="F5" s="347">
        <f>'TM-21 inputs'!Y7</f>
        <v>0</v>
      </c>
      <c r="G5" s="345"/>
      <c r="H5" s="340"/>
    </row>
    <row r="6" spans="1:10" ht="18" customHeight="1" x14ac:dyDescent="0.25">
      <c r="A6" s="471" t="s">
        <v>4</v>
      </c>
      <c r="B6" s="472"/>
      <c r="C6" s="346">
        <f>'TM-21 inputs'!M9</f>
        <v>0</v>
      </c>
      <c r="D6" s="367">
        <f>'TM-21 inputs'!P9</f>
        <v>0</v>
      </c>
      <c r="E6" s="346">
        <f>'TM-21 inputs'!V9</f>
        <v>0</v>
      </c>
      <c r="F6" s="347">
        <f>'TM-21 inputs'!Y9</f>
        <v>0</v>
      </c>
      <c r="G6" s="345" t="str">
        <f>'TM-21 inputs'!$F$16</f>
        <v/>
      </c>
      <c r="H6" s="340"/>
    </row>
    <row r="7" spans="1:10" ht="18" customHeight="1" x14ac:dyDescent="0.25">
      <c r="A7" s="471" t="s">
        <v>106</v>
      </c>
      <c r="B7" s="472"/>
      <c r="C7" s="346" t="str">
        <f>_xlfn.CONCAT('hidden sheet 1'!E7, " to ", 'hidden sheet 1'!E8)</f>
        <v>0 to 0</v>
      </c>
      <c r="D7" s="367" t="str">
        <f>_xlfn.CONCAT('hidden sheet 1'!J7, " to ", 'hidden sheet 1'!J8)</f>
        <v>0 to 0</v>
      </c>
      <c r="E7" s="346" t="str">
        <f>_xlfn.CONCAT('hidden sheet 1'!E35, " to ", 'hidden sheet 1'!E36)</f>
        <v>0 to 0</v>
      </c>
      <c r="F7" s="347" t="str">
        <f>_xlfn.CONCAT('hidden sheet 1'!J35, " to ", 'hidden sheet 1'!J36)</f>
        <v>0 to 0</v>
      </c>
      <c r="G7" s="345"/>
      <c r="H7" s="340"/>
    </row>
    <row r="8" spans="1:10" ht="18" customHeight="1" x14ac:dyDescent="0.25">
      <c r="A8" s="471" t="s">
        <v>179</v>
      </c>
      <c r="B8" s="472"/>
      <c r="C8" s="346">
        <f>'TM-21 inputs'!M6</f>
        <v>0</v>
      </c>
      <c r="D8" s="367">
        <f>'TM-21 inputs'!P6</f>
        <v>0</v>
      </c>
      <c r="E8" s="346">
        <f>'TM-21 inputs'!V6</f>
        <v>0</v>
      </c>
      <c r="F8" s="347">
        <f>'TM-21 inputs'!Y6</f>
        <v>0</v>
      </c>
      <c r="G8" s="340"/>
      <c r="H8" s="340"/>
    </row>
    <row r="9" spans="1:10" ht="18" customHeight="1" x14ac:dyDescent="0.25">
      <c r="A9" s="464" t="s">
        <v>100</v>
      </c>
      <c r="B9" s="470"/>
      <c r="C9" s="346"/>
      <c r="D9" s="367"/>
      <c r="E9" s="346"/>
      <c r="F9" s="347"/>
      <c r="G9" s="340"/>
      <c r="H9" s="340"/>
    </row>
    <row r="10" spans="1:10" ht="18" customHeight="1" x14ac:dyDescent="0.25">
      <c r="A10" s="466" t="s">
        <v>12</v>
      </c>
      <c r="B10" s="467"/>
      <c r="C10" s="348" t="str">
        <f>'hidden sum calcs'!N18</f>
        <v>-</v>
      </c>
      <c r="D10" s="368" t="str">
        <f>'hidden sum calcs'!O18</f>
        <v>-</v>
      </c>
      <c r="E10" s="348" t="str">
        <f>'hidden sum calcs'!P18</f>
        <v>-</v>
      </c>
      <c r="F10" s="349" t="str">
        <f>'hidden sum calcs'!Q18</f>
        <v>-</v>
      </c>
      <c r="G10" s="340"/>
      <c r="H10" s="350"/>
      <c r="I10" s="4"/>
      <c r="J10" s="4"/>
    </row>
    <row r="11" spans="1:10" ht="18" customHeight="1" x14ac:dyDescent="0.25">
      <c r="A11" s="466" t="s">
        <v>13</v>
      </c>
      <c r="B11" s="467"/>
      <c r="C11" s="351" t="str">
        <f>'hidden sum calcs'!N19</f>
        <v>-</v>
      </c>
      <c r="D11" s="369" t="str">
        <f>'hidden sum calcs'!O19</f>
        <v>-</v>
      </c>
      <c r="E11" s="351" t="str">
        <f>'hidden sum calcs'!P19</f>
        <v>-</v>
      </c>
      <c r="F11" s="352" t="str">
        <f>'hidden sum calcs'!Q19</f>
        <v>-</v>
      </c>
      <c r="G11" s="340"/>
      <c r="H11" s="350"/>
      <c r="I11" s="4"/>
      <c r="J11" s="4"/>
    </row>
    <row r="12" spans="1:10" ht="18" customHeight="1" x14ac:dyDescent="0.25">
      <c r="A12" s="452" t="e">
        <f>_xlfn.CONCAT("Reported L(", 'TM-21 inputs'!E22, ") (", 'TM-21 inputs'!E16/1000, "k)")</f>
        <v>#VALUE!</v>
      </c>
      <c r="B12" s="453"/>
      <c r="C12" s="353" t="str">
        <f>'hidden sum calcs'!N21</f>
        <v>-</v>
      </c>
      <c r="D12" s="370" t="str">
        <f>'hidden sum calcs'!O21</f>
        <v>-</v>
      </c>
      <c r="E12" s="353" t="str">
        <f>'hidden sum calcs'!P21</f>
        <v>-</v>
      </c>
      <c r="F12" s="354" t="str">
        <f>'hidden sum calcs'!Q21</f>
        <v>-</v>
      </c>
      <c r="G12" s="340"/>
      <c r="H12" s="350"/>
      <c r="I12" s="4"/>
      <c r="J12" s="4"/>
    </row>
    <row r="13" spans="1:10" ht="18" customHeight="1" x14ac:dyDescent="0.25">
      <c r="A13" s="241"/>
      <c r="B13" s="241"/>
      <c r="C13" s="241"/>
      <c r="D13" s="241"/>
      <c r="E13" s="241"/>
      <c r="F13" s="241"/>
      <c r="G13" s="340"/>
      <c r="H13" s="350"/>
      <c r="I13" s="4"/>
      <c r="J13" s="4"/>
    </row>
    <row r="14" spans="1:10" ht="18" customHeight="1" x14ac:dyDescent="0.25">
      <c r="A14" s="241" t="s">
        <v>138</v>
      </c>
      <c r="B14" s="241"/>
      <c r="C14" s="241"/>
      <c r="D14" s="241"/>
      <c r="E14" s="241"/>
      <c r="F14" s="241"/>
      <c r="G14" s="340"/>
      <c r="H14" s="340"/>
    </row>
    <row r="15" spans="1:10" ht="18" customHeight="1" x14ac:dyDescent="0.35">
      <c r="A15" s="371" t="s">
        <v>192</v>
      </c>
      <c r="B15" s="371">
        <f>'hidden sum calcs'!AG14</f>
        <v>0</v>
      </c>
      <c r="C15" s="371" t="s">
        <v>193</v>
      </c>
      <c r="D15" s="371">
        <f>'hidden sum calcs'!AI14</f>
        <v>0</v>
      </c>
      <c r="E15" s="371" t="s">
        <v>191</v>
      </c>
      <c r="F15" s="371">
        <f>'hidden sum calcs'!$AK$16</f>
        <v>0</v>
      </c>
      <c r="G15" s="372"/>
      <c r="H15" s="340"/>
    </row>
    <row r="16" spans="1:10" ht="18" customHeight="1" x14ac:dyDescent="0.35">
      <c r="A16" s="371" t="s">
        <v>194</v>
      </c>
      <c r="B16" s="371">
        <f>'hidden sum calcs'!AG15</f>
        <v>273.14999999999998</v>
      </c>
      <c r="C16" s="371" t="s">
        <v>195</v>
      </c>
      <c r="D16" s="371">
        <f>'hidden sum calcs'!AI15</f>
        <v>273.14999999999998</v>
      </c>
      <c r="E16" s="371" t="s">
        <v>185</v>
      </c>
      <c r="F16" s="371">
        <f>'hidden sum calcs'!AK14</f>
        <v>0</v>
      </c>
      <c r="G16" s="372"/>
      <c r="H16" s="340"/>
    </row>
    <row r="17" spans="1:8" ht="18" customHeight="1" x14ac:dyDescent="0.35">
      <c r="A17" s="371" t="s">
        <v>196</v>
      </c>
      <c r="B17" s="371">
        <f>'hidden sum calcs'!AG16</f>
        <v>0</v>
      </c>
      <c r="C17" s="371" t="s">
        <v>197</v>
      </c>
      <c r="D17" s="371">
        <f>'hidden sum calcs'!AI16</f>
        <v>0</v>
      </c>
      <c r="E17" s="371" t="s">
        <v>186</v>
      </c>
      <c r="F17" s="371">
        <f>'hidden sum calcs'!AK15</f>
        <v>273.14999999999998</v>
      </c>
      <c r="G17" s="372"/>
      <c r="H17" s="340"/>
    </row>
    <row r="18" spans="1:8" ht="18" customHeight="1" x14ac:dyDescent="0.35">
      <c r="A18" s="371" t="s">
        <v>198</v>
      </c>
      <c r="B18" s="373" t="str">
        <f>'hidden sum calcs'!AG17</f>
        <v>-</v>
      </c>
      <c r="C18" s="371" t="s">
        <v>199</v>
      </c>
      <c r="D18" s="373" t="str">
        <f>'hidden sum calcs'!AI17</f>
        <v>-</v>
      </c>
      <c r="E18" s="371" t="s">
        <v>10</v>
      </c>
      <c r="F18" s="373" t="str">
        <f>'hidden sum calcs'!AG28</f>
        <v>-</v>
      </c>
      <c r="G18" s="372"/>
      <c r="H18" s="340"/>
    </row>
    <row r="19" spans="1:8" ht="18" customHeight="1" x14ac:dyDescent="0.35">
      <c r="A19" s="371" t="s">
        <v>200</v>
      </c>
      <c r="B19" s="374" t="str">
        <f>'hidden sum calcs'!AG18</f>
        <v>-</v>
      </c>
      <c r="C19" s="371" t="s">
        <v>201</v>
      </c>
      <c r="D19" s="374" t="str">
        <f>'hidden sum calcs'!AI18</f>
        <v>-</v>
      </c>
      <c r="E19" s="371" t="s">
        <v>183</v>
      </c>
      <c r="F19" s="373" t="str">
        <f>'hidden sum calcs'!AG29</f>
        <v>-</v>
      </c>
      <c r="G19" s="372"/>
      <c r="H19" s="340"/>
    </row>
    <row r="20" spans="1:8" ht="18" customHeight="1" x14ac:dyDescent="0.35">
      <c r="A20" s="371" t="s">
        <v>202</v>
      </c>
      <c r="B20" s="371">
        <f>'hidden sum calcs'!$AH$16</f>
        <v>0</v>
      </c>
      <c r="C20" s="371" t="s">
        <v>203</v>
      </c>
      <c r="D20" s="371">
        <f>'hidden sum calcs'!$AJ$16</f>
        <v>0</v>
      </c>
      <c r="E20" s="371" t="s">
        <v>184</v>
      </c>
      <c r="F20" s="373" t="str">
        <f>'hidden sum calcs'!AG30</f>
        <v>-</v>
      </c>
      <c r="G20" s="372"/>
      <c r="H20" s="340"/>
    </row>
    <row r="21" spans="1:8" ht="18" customHeight="1" x14ac:dyDescent="0.35">
      <c r="A21" s="371" t="s">
        <v>204</v>
      </c>
      <c r="B21" s="373" t="str">
        <f>'hidden sum calcs'!AH17</f>
        <v>-</v>
      </c>
      <c r="C21" s="371" t="s">
        <v>205</v>
      </c>
      <c r="D21" s="373" t="str">
        <f>'hidden sum calcs'!AJ17</f>
        <v>-</v>
      </c>
      <c r="E21" s="371" t="s">
        <v>187</v>
      </c>
      <c r="F21" s="373" t="str">
        <f>'hidden sum calcs'!AG31</f>
        <v>-</v>
      </c>
      <c r="G21" s="372"/>
      <c r="H21" s="340"/>
    </row>
    <row r="22" spans="1:8" ht="18" customHeight="1" x14ac:dyDescent="0.35">
      <c r="A22" s="371" t="s">
        <v>206</v>
      </c>
      <c r="B22" s="374" t="str">
        <f>'hidden sum calcs'!AH18</f>
        <v>-</v>
      </c>
      <c r="C22" s="371" t="s">
        <v>207</v>
      </c>
      <c r="D22" s="374" t="str">
        <f>'hidden sum calcs'!AJ18</f>
        <v>-</v>
      </c>
      <c r="E22" s="371" t="s">
        <v>188</v>
      </c>
      <c r="F22" s="374" t="str">
        <f>'hidden sum calcs'!AG32</f>
        <v>-</v>
      </c>
      <c r="G22" s="372"/>
      <c r="H22" s="340"/>
    </row>
    <row r="23" spans="1:8" ht="18" customHeight="1" x14ac:dyDescent="0.35">
      <c r="A23" s="371" t="s">
        <v>208</v>
      </c>
      <c r="B23" s="373" t="str">
        <f>'hidden sum calcs'!AG19</f>
        <v>-</v>
      </c>
      <c r="C23" s="371" t="s">
        <v>209</v>
      </c>
      <c r="D23" s="373" t="str">
        <f>'hidden sum calcs'!AI19</f>
        <v>-</v>
      </c>
      <c r="E23" s="375" t="e">
        <f>_xlfn.CONCAT("Reported L(", 'TM-21 inputs'!E22, ") (", 'TM-21 inputs'!E16/1000, "k)")</f>
        <v>#VALUE!</v>
      </c>
      <c r="F23" s="375" t="str">
        <f>'hidden sum calcs'!$AK$26</f>
        <v>-</v>
      </c>
      <c r="G23" s="372"/>
      <c r="H23" s="340"/>
    </row>
    <row r="24" spans="1:8" ht="18" customHeight="1" x14ac:dyDescent="0.35">
      <c r="A24" s="371" t="s">
        <v>210</v>
      </c>
      <c r="B24" s="373" t="str">
        <f>'hidden sum calcs'!AG20</f>
        <v>-</v>
      </c>
      <c r="C24" s="371" t="s">
        <v>211</v>
      </c>
      <c r="D24" s="373" t="str">
        <f>'hidden sum calcs'!AI20</f>
        <v>-</v>
      </c>
      <c r="E24" s="376" t="str">
        <f>'TM-21 inputs'!C44</f>
        <v/>
      </c>
      <c r="F24" s="340"/>
      <c r="G24" s="372"/>
      <c r="H24" s="340"/>
    </row>
    <row r="25" spans="1:8" ht="18" customHeight="1" x14ac:dyDescent="0.35">
      <c r="A25" s="371" t="s">
        <v>212</v>
      </c>
      <c r="B25" s="373" t="str">
        <f>'hidden sum calcs'!AG21</f>
        <v>-</v>
      </c>
      <c r="C25" s="371" t="s">
        <v>213</v>
      </c>
      <c r="D25" s="373" t="str">
        <f>'hidden sum calcs'!AI21</f>
        <v>-</v>
      </c>
      <c r="E25" s="376" t="str">
        <f>'TM-21 inputs'!C45</f>
        <v/>
      </c>
      <c r="F25" s="372"/>
      <c r="G25" s="372"/>
      <c r="H25" s="340"/>
    </row>
    <row r="26" spans="1:8" ht="18" customHeight="1" x14ac:dyDescent="0.35">
      <c r="A26" s="371" t="s">
        <v>214</v>
      </c>
      <c r="B26" s="373" t="str">
        <f>'hidden sum calcs'!AG22</f>
        <v>-</v>
      </c>
      <c r="C26" s="371" t="s">
        <v>215</v>
      </c>
      <c r="D26" s="373" t="str">
        <f>'hidden sum calcs'!AI22</f>
        <v>-</v>
      </c>
      <c r="E26" s="376" t="str">
        <f>'TM-21 inputs'!$F$22</f>
        <v/>
      </c>
      <c r="F26" s="372"/>
      <c r="G26" s="372"/>
      <c r="H26" s="340"/>
    </row>
    <row r="27" spans="1:8" ht="18" customHeight="1" x14ac:dyDescent="0.35">
      <c r="A27" s="371" t="s">
        <v>216</v>
      </c>
      <c r="B27" s="373" t="str">
        <f>'hidden sum calcs'!AG23</f>
        <v>-</v>
      </c>
      <c r="C27" s="371" t="s">
        <v>217</v>
      </c>
      <c r="D27" s="373" t="str">
        <f>'hidden sum calcs'!AI23</f>
        <v>-</v>
      </c>
      <c r="E27" s="376" t="str">
        <f>'TM-21 inputs'!$L$37</f>
        <v/>
      </c>
      <c r="F27" s="372"/>
      <c r="G27" s="372"/>
      <c r="H27" s="340"/>
    </row>
    <row r="28" spans="1:8" ht="18" customHeight="1" x14ac:dyDescent="0.35">
      <c r="A28" s="371" t="s">
        <v>218</v>
      </c>
      <c r="B28" s="374" t="str">
        <f>'hidden sum calcs'!AG24</f>
        <v>-</v>
      </c>
      <c r="C28" s="371" t="s">
        <v>219</v>
      </c>
      <c r="D28" s="374" t="str">
        <f>'hidden sum calcs'!AI24</f>
        <v>-</v>
      </c>
      <c r="E28" s="340" t="str">
        <f>'TM-21 inputs'!F19</f>
        <v/>
      </c>
      <c r="F28" s="340"/>
      <c r="G28" s="340"/>
      <c r="H28" s="340"/>
    </row>
    <row r="29" spans="1:8" ht="18" customHeight="1" x14ac:dyDescent="0.25">
      <c r="A29" s="377"/>
      <c r="B29" s="378"/>
      <c r="C29" s="377"/>
      <c r="D29" s="378"/>
      <c r="E29" s="379"/>
      <c r="F29" s="380"/>
      <c r="G29" s="326"/>
    </row>
    <row r="30" spans="1:8" ht="18" customHeight="1" x14ac:dyDescent="0.25">
      <c r="A30" s="326"/>
      <c r="B30" s="326"/>
      <c r="C30" s="326"/>
      <c r="D30" s="326"/>
      <c r="E30" s="326"/>
      <c r="F30" s="326"/>
      <c r="G30" s="326"/>
    </row>
    <row r="31" spans="1:8" ht="18" customHeight="1" x14ac:dyDescent="0.25">
      <c r="A31" s="326"/>
      <c r="B31" s="326"/>
      <c r="C31" s="326"/>
      <c r="D31" s="326"/>
      <c r="E31" s="326"/>
      <c r="F31" s="326"/>
      <c r="G31" s="326"/>
    </row>
    <row r="32" spans="1:8" ht="18" customHeight="1" x14ac:dyDescent="0.25">
      <c r="A32" s="326"/>
      <c r="B32" s="326"/>
      <c r="C32" s="326"/>
      <c r="D32" s="326"/>
      <c r="E32" s="326"/>
      <c r="F32" s="326"/>
      <c r="G32" s="326"/>
    </row>
    <row r="33" ht="18" customHeight="1" x14ac:dyDescent="0.25"/>
    <row r="34" ht="18" customHeight="1" x14ac:dyDescent="0.25"/>
    <row r="35" ht="18" customHeight="1" x14ac:dyDescent="0.25"/>
    <row r="36" ht="18" customHeight="1" x14ac:dyDescent="0.25"/>
    <row r="37" ht="18" customHeight="1" x14ac:dyDescent="0.25"/>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sheetData>
  <sheetProtection algorithmName="SHA-512" hashValue="dYCiUfvhYT8DBRUekSI49FZ95syVS3ySYOLFA0+5cBOfgiJEZtiSMHzh6K4XIJfAsVf4wBNJby0BuPRi53DFPg==" saltValue="Dw7gyMUrKw0v7j9kaxQfgQ==" spinCount="100000" sheet="1" objects="1" scenarios="1" selectLockedCells="1"/>
  <mergeCells count="11">
    <mergeCell ref="A8:B8"/>
    <mergeCell ref="A9:B9"/>
    <mergeCell ref="A10:B10"/>
    <mergeCell ref="A11:B11"/>
    <mergeCell ref="A12:B12"/>
    <mergeCell ref="A7:B7"/>
    <mergeCell ref="A2:B2"/>
    <mergeCell ref="A3:B3"/>
    <mergeCell ref="A4:B4"/>
    <mergeCell ref="A5:B5"/>
    <mergeCell ref="A6:B6"/>
  </mergeCells>
  <pageMargins left="0.7" right="0.7" top="0.75" bottom="0.75" header="0.3" footer="0.3"/>
  <pageSetup paperSize="9" orientation="landscape" horizontalDpi="4294967293" verticalDpi="1200" r:id="rId1"/>
  <extLst>
    <ext xmlns:x14="http://schemas.microsoft.com/office/spreadsheetml/2009/9/main" uri="{78C0D931-6437-407d-A8EE-F0AAD7539E65}">
      <x14:conditionalFormattings>
        <x14:conditionalFormatting xmlns:xm="http://schemas.microsoft.com/office/excel/2006/main">
          <x14:cfRule type="expression" priority="1" id="{E97BAB3C-484E-4831-8631-81B2F30E739F}">
            <xm:f>'hidden sheet 1'!$Z$9=0</xm:f>
            <x14:dxf>
              <font>
                <color theme="0"/>
              </font>
              <fill>
                <patternFill>
                  <bgColor theme="0"/>
                </patternFill>
              </fill>
              <border>
                <left/>
                <right/>
                <top/>
                <bottom/>
                <vertical/>
                <horizontal/>
              </border>
            </x14:dxf>
          </x14:cfRule>
          <xm:sqref>A2:H27 A29:H29 A28:D28 H28 A1:C1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4BE8C-C7DA-4315-B28B-066D36EE8360}">
  <sheetPr codeName="Sheet7"/>
  <dimension ref="A1:BT51"/>
  <sheetViews>
    <sheetView topLeftCell="AB10" zoomScaleNormal="100" workbookViewId="0">
      <selection activeCell="AG53" sqref="AG53"/>
    </sheetView>
  </sheetViews>
  <sheetFormatPr defaultRowHeight="15" x14ac:dyDescent="0.25"/>
  <cols>
    <col min="1" max="2" width="5.7109375" customWidth="1"/>
    <col min="3" max="3" width="21.140625" bestFit="1" customWidth="1"/>
    <col min="4" max="11" width="11.7109375" customWidth="1"/>
    <col min="13" max="13" width="21.140625" bestFit="1" customWidth="1"/>
    <col min="14" max="17" width="12.85546875" customWidth="1"/>
    <col min="19" max="19" width="4.5703125" customWidth="1"/>
    <col min="20" max="20" width="23.7109375" customWidth="1"/>
    <col min="21" max="23" width="15.7109375" customWidth="1"/>
    <col min="25" max="25" width="4.5703125" customWidth="1"/>
    <col min="26" max="26" width="23.7109375" customWidth="1"/>
    <col min="27" max="29" width="15.7109375" customWidth="1"/>
    <col min="30" max="30" width="9.5703125" bestFit="1" customWidth="1"/>
    <col min="31" max="31" width="4.5703125" customWidth="1"/>
    <col min="32" max="32" width="24.140625" customWidth="1"/>
    <col min="33" max="37" width="15.7109375" customWidth="1"/>
    <col min="38" max="38" width="5.7109375" customWidth="1"/>
    <col min="40" max="40" width="9.140625" style="7"/>
  </cols>
  <sheetData>
    <row r="1" spans="1:72" x14ac:dyDescent="0.25">
      <c r="A1" s="83"/>
      <c r="B1" s="83"/>
      <c r="C1" s="83"/>
      <c r="D1" s="172" t="s">
        <v>158</v>
      </c>
      <c r="E1" s="158" t="str">
        <f>'TM-21 inputs'!$E$16</f>
        <v/>
      </c>
      <c r="F1" s="173"/>
      <c r="G1" s="139"/>
      <c r="H1" s="84"/>
      <c r="I1" s="83"/>
      <c r="J1" s="83"/>
      <c r="K1" s="83"/>
      <c r="L1" s="83"/>
      <c r="M1" s="141"/>
      <c r="N1" s="141"/>
      <c r="O1" s="141"/>
      <c r="P1" s="141"/>
      <c r="Q1" s="141"/>
      <c r="R1" s="83"/>
      <c r="S1" s="83"/>
      <c r="T1" s="83"/>
      <c r="U1" s="83"/>
      <c r="V1" s="83"/>
      <c r="W1" s="83"/>
      <c r="X1" s="83"/>
      <c r="Y1" s="83"/>
      <c r="Z1" s="83"/>
      <c r="AA1" s="83"/>
      <c r="AB1" s="83"/>
      <c r="AC1" s="83"/>
      <c r="AD1" s="83"/>
      <c r="AE1" s="83"/>
      <c r="AF1" s="172" t="s">
        <v>47</v>
      </c>
      <c r="AG1" s="10">
        <f>'TM-21 inputs'!E21</f>
        <v>0</v>
      </c>
      <c r="AH1" s="88"/>
      <c r="AI1" s="172" t="s">
        <v>48</v>
      </c>
      <c r="AJ1" s="10">
        <f>'TM-21 inputs'!E20</f>
        <v>0</v>
      </c>
      <c r="AK1" s="30"/>
      <c r="AL1" s="30" t="s">
        <v>162</v>
      </c>
      <c r="AM1" s="159" t="s">
        <v>160</v>
      </c>
      <c r="AN1" s="159" t="s">
        <v>161</v>
      </c>
      <c r="AO1" s="169"/>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row>
    <row r="2" spans="1:72" x14ac:dyDescent="0.25">
      <c r="A2" s="83"/>
      <c r="B2" s="83"/>
      <c r="C2" s="83"/>
      <c r="D2" s="172" t="s">
        <v>29</v>
      </c>
      <c r="E2" s="159" t="e">
        <f>IF(E1=0,0,IF(AND(E1&gt;=6000,E1&lt;=10000),E1-5000,IF(E1&gt;10000,E1/2,"test duration error")))</f>
        <v>#VALUE!</v>
      </c>
      <c r="F2" s="173"/>
      <c r="G2" s="139"/>
      <c r="H2" s="84"/>
      <c r="I2" s="83"/>
      <c r="J2" s="83"/>
      <c r="K2" s="83"/>
      <c r="L2" s="83"/>
      <c r="M2" s="141"/>
      <c r="N2" s="141"/>
      <c r="O2" s="141"/>
      <c r="P2" s="141"/>
      <c r="Q2" s="141"/>
      <c r="R2" s="83"/>
      <c r="S2" s="83"/>
      <c r="T2" s="83"/>
      <c r="U2" s="83"/>
      <c r="V2" s="83"/>
      <c r="W2" s="83"/>
      <c r="X2" s="83"/>
      <c r="Y2" s="83"/>
      <c r="Z2" s="83"/>
      <c r="AA2" s="83"/>
      <c r="AB2" s="83"/>
      <c r="AC2" s="83"/>
      <c r="AD2" s="83"/>
      <c r="AE2" s="83"/>
      <c r="AF2" s="172" t="s">
        <v>45</v>
      </c>
      <c r="AG2" s="158">
        <f>'TM-21 inputs'!$M$6</f>
        <v>0</v>
      </c>
      <c r="AH2" s="88"/>
      <c r="AI2" s="172" t="s">
        <v>137</v>
      </c>
      <c r="AJ2" s="159">
        <f t="array" ref="AJ2">MIN(IF(N12:Q12=AG6, N14:Q14))</f>
        <v>0</v>
      </c>
      <c r="AK2" s="30"/>
      <c r="AL2" s="147"/>
      <c r="AM2" s="222">
        <f>SMALL($AG$2:$AG$5, ROWS($AG$2:AG2))</f>
        <v>0</v>
      </c>
      <c r="AN2" s="222">
        <f>LARGE($AG$2:$AG$5, ROWS($AG$2:AG2))</f>
        <v>0</v>
      </c>
      <c r="AO2" s="169"/>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row>
    <row r="3" spans="1:72" x14ac:dyDescent="0.25">
      <c r="A3" s="83"/>
      <c r="B3" s="83"/>
      <c r="C3" s="83"/>
      <c r="D3" s="172" t="s">
        <v>30</v>
      </c>
      <c r="E3" s="159" t="str">
        <f>E1</f>
        <v/>
      </c>
      <c r="F3" s="173"/>
      <c r="G3" s="139"/>
      <c r="H3" s="84"/>
      <c r="I3" s="83"/>
      <c r="J3" s="83"/>
      <c r="K3" s="83"/>
      <c r="L3" s="83"/>
      <c r="M3" s="141"/>
      <c r="N3" s="141"/>
      <c r="O3" s="141"/>
      <c r="P3" s="141"/>
      <c r="Q3" s="141"/>
      <c r="R3" s="83"/>
      <c r="S3" s="83"/>
      <c r="T3" s="83"/>
      <c r="U3" s="83"/>
      <c r="V3" s="83"/>
      <c r="W3" s="83"/>
      <c r="X3" s="83"/>
      <c r="Y3" s="83"/>
      <c r="Z3" s="83"/>
      <c r="AA3" s="83"/>
      <c r="AB3" s="83"/>
      <c r="AC3" s="83"/>
      <c r="AD3" s="83"/>
      <c r="AE3" s="83"/>
      <c r="AF3" s="172" t="s">
        <v>46</v>
      </c>
      <c r="AG3" s="158">
        <f>'TM-21 inputs'!$P$6</f>
        <v>0</v>
      </c>
      <c r="AH3" s="88"/>
      <c r="AI3" s="172" t="s">
        <v>136</v>
      </c>
      <c r="AJ3" s="159">
        <f t="array" ref="AJ3">MAX(IF(N12:Q12=AG6, N14:Q14))</f>
        <v>0</v>
      </c>
      <c r="AK3" s="30"/>
      <c r="AL3" s="147"/>
      <c r="AM3" s="222">
        <f>SMALL($AG$2:$AG$5, ROWS($AG$2:AG3))</f>
        <v>0</v>
      </c>
      <c r="AN3" s="222">
        <f>LARGE($AG$2:$AG$5, ROWS($AG$2:AG3))</f>
        <v>0</v>
      </c>
      <c r="AO3" s="169"/>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row>
    <row r="4" spans="1:72" x14ac:dyDescent="0.25">
      <c r="A4" s="83"/>
      <c r="B4" s="83"/>
      <c r="C4" s="83"/>
      <c r="D4" s="172"/>
      <c r="E4" s="159"/>
      <c r="F4" s="173"/>
      <c r="G4" s="139"/>
      <c r="H4" s="84"/>
      <c r="I4" s="83"/>
      <c r="J4" s="83"/>
      <c r="K4" s="83"/>
      <c r="L4" s="83"/>
      <c r="M4" s="141"/>
      <c r="N4" s="141"/>
      <c r="O4" s="141"/>
      <c r="P4" s="141"/>
      <c r="Q4" s="141"/>
      <c r="R4" s="83"/>
      <c r="S4" s="83"/>
      <c r="T4" s="83"/>
      <c r="U4" s="83"/>
      <c r="V4" s="83"/>
      <c r="W4" s="83"/>
      <c r="X4" s="83"/>
      <c r="Y4" s="83"/>
      <c r="Z4" s="83"/>
      <c r="AA4" s="83"/>
      <c r="AB4" s="83"/>
      <c r="AC4" s="83"/>
      <c r="AD4" s="83"/>
      <c r="AE4" s="83"/>
      <c r="AF4" s="172" t="s">
        <v>49</v>
      </c>
      <c r="AG4" s="158">
        <f>'TM-21 inputs'!$V$6</f>
        <v>0</v>
      </c>
      <c r="AH4" s="88"/>
      <c r="AI4" s="172" t="s">
        <v>134</v>
      </c>
      <c r="AJ4" s="159">
        <f t="array" ref="AJ4">MIN(IF(N12:Q12=AG7, N14:Q14))</f>
        <v>0</v>
      </c>
      <c r="AK4" s="117"/>
      <c r="AL4" s="97"/>
      <c r="AM4" s="222">
        <f>SMALL($AG$2:$AG$5, ROWS($AG$2:AG4))</f>
        <v>0</v>
      </c>
      <c r="AN4" s="222">
        <f>LARGE($AG$2:$AG$5, ROWS($AG$2:AG4))</f>
        <v>0</v>
      </c>
      <c r="AO4" s="169"/>
      <c r="AP4" s="168"/>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row>
    <row r="5" spans="1:72" x14ac:dyDescent="0.25">
      <c r="A5" s="83"/>
      <c r="B5" s="83"/>
      <c r="C5" s="83"/>
      <c r="D5" s="172" t="s">
        <v>31</v>
      </c>
      <c r="E5" s="159" t="e">
        <f>(E3/1000)</f>
        <v>#VALUE!</v>
      </c>
      <c r="F5" s="173"/>
      <c r="G5" s="139"/>
      <c r="H5" s="84"/>
      <c r="I5" s="83"/>
      <c r="J5" s="83"/>
      <c r="K5" s="83"/>
      <c r="L5" s="83"/>
      <c r="M5" s="83"/>
      <c r="N5" s="83"/>
      <c r="O5" s="83"/>
      <c r="P5" s="83"/>
      <c r="Q5" s="83"/>
      <c r="R5" s="83"/>
      <c r="S5" s="83"/>
      <c r="T5" s="83"/>
      <c r="U5" s="83"/>
      <c r="V5" s="83"/>
      <c r="W5" s="83"/>
      <c r="X5" s="83"/>
      <c r="Y5" s="83"/>
      <c r="Z5" s="83"/>
      <c r="AA5" s="83"/>
      <c r="AB5" s="83"/>
      <c r="AC5" s="83"/>
      <c r="AD5" s="83"/>
      <c r="AE5" s="83"/>
      <c r="AF5" s="172" t="s">
        <v>80</v>
      </c>
      <c r="AG5" s="158">
        <f>'TM-21 inputs'!$Y$6</f>
        <v>0</v>
      </c>
      <c r="AH5" s="88"/>
      <c r="AI5" s="197" t="s">
        <v>135</v>
      </c>
      <c r="AJ5" s="159">
        <f t="array" ref="AJ5">MAX(IF(N12:Q12=AG7, N14:Q14))</f>
        <v>0</v>
      </c>
      <c r="AK5" s="88"/>
      <c r="AL5" s="86"/>
      <c r="AM5" s="222">
        <f>SMALL($AG$2:$AG$5, ROWS($AG$2:AG5))</f>
        <v>0</v>
      </c>
      <c r="AN5" s="222">
        <f>LARGE($AG$2:$AG$5, ROWS($AG$2:AG5))</f>
        <v>0</v>
      </c>
      <c r="AO5" s="169"/>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row>
    <row r="6" spans="1:72" x14ac:dyDescent="0.25">
      <c r="A6" s="83"/>
      <c r="B6" s="83"/>
      <c r="C6" s="83"/>
      <c r="D6" s="172" t="s">
        <v>32</v>
      </c>
      <c r="E6" s="159" t="e">
        <f>(E3-E2)/(E5-1)</f>
        <v>#VALUE!</v>
      </c>
      <c r="F6" s="173"/>
      <c r="G6" s="139"/>
      <c r="H6" s="84"/>
      <c r="I6" s="83"/>
      <c r="J6" s="83"/>
      <c r="K6" s="83"/>
      <c r="L6" s="83"/>
      <c r="M6" s="83"/>
      <c r="N6" s="83"/>
      <c r="O6" s="83"/>
      <c r="P6" s="83"/>
      <c r="Q6" s="83"/>
      <c r="R6" s="83"/>
      <c r="S6" s="83"/>
      <c r="T6" s="83"/>
      <c r="U6" s="83"/>
      <c r="V6" s="83"/>
      <c r="W6" s="83"/>
      <c r="X6" s="83"/>
      <c r="Y6" s="83"/>
      <c r="Z6" s="83"/>
      <c r="AA6" s="83"/>
      <c r="AB6" s="83"/>
      <c r="AC6" s="83"/>
      <c r="AD6" s="83"/>
      <c r="AE6" s="83"/>
      <c r="AF6" s="172" t="s">
        <v>50</v>
      </c>
      <c r="AG6" s="159">
        <f>IF(INDEX(AM2:AM5, MATCH(AG1, AM2:AM5, 1))=0, AG7, INDEX(AM2:AM5, MATCH(AG1, AM2:AM5, 1)))</f>
        <v>0</v>
      </c>
      <c r="AH6" s="88"/>
      <c r="AI6" s="194"/>
      <c r="AJ6" s="198"/>
      <c r="AK6" s="83"/>
      <c r="AL6" s="83"/>
      <c r="AM6" s="193"/>
      <c r="AN6" s="193"/>
      <c r="AO6" s="168"/>
      <c r="AP6" s="168"/>
      <c r="AQ6" s="168"/>
      <c r="AR6" s="168"/>
      <c r="AS6" s="168"/>
      <c r="AT6" s="168"/>
      <c r="AU6" s="168"/>
      <c r="AV6" s="168"/>
      <c r="AW6" s="168"/>
      <c r="AX6" s="168"/>
      <c r="AY6" s="168"/>
      <c r="AZ6" s="168"/>
      <c r="BA6" s="168"/>
      <c r="BB6" s="168"/>
      <c r="BC6" s="168"/>
      <c r="BD6" s="168"/>
      <c r="BE6" s="168"/>
      <c r="BF6" s="168"/>
      <c r="BG6" s="168"/>
      <c r="BH6" s="168"/>
      <c r="BI6" s="168"/>
      <c r="BJ6" s="168"/>
      <c r="BK6" s="168"/>
      <c r="BL6" s="168"/>
      <c r="BM6" s="168"/>
      <c r="BN6" s="168"/>
      <c r="BO6" s="168"/>
      <c r="BP6" s="168"/>
      <c r="BQ6" s="168"/>
      <c r="BR6" s="168"/>
      <c r="BS6" s="168"/>
      <c r="BT6" s="168"/>
    </row>
    <row r="7" spans="1:72" x14ac:dyDescent="0.25">
      <c r="A7" s="83"/>
      <c r="B7" s="83"/>
      <c r="C7" s="83"/>
      <c r="D7" s="172" t="s">
        <v>82</v>
      </c>
      <c r="E7" s="176" t="e">
        <f>IF('TM-21 inputs'!$E$15&gt;=20, 'hidden sum calcs'!$E$1*6, IF('TM-21 inputs'!$E$15&lt;20, 'hidden sum calcs'!$E$1*5.5, ""))</f>
        <v>#VALUE!</v>
      </c>
      <c r="F7" s="174"/>
      <c r="G7" s="140"/>
      <c r="H7" s="87"/>
      <c r="I7" s="83"/>
      <c r="J7" s="83"/>
      <c r="K7" s="83"/>
      <c r="L7" s="83"/>
      <c r="M7" s="83"/>
      <c r="N7" s="83"/>
      <c r="O7" s="83"/>
      <c r="P7" s="83"/>
      <c r="Q7" s="83"/>
      <c r="R7" s="83"/>
      <c r="S7" s="83"/>
      <c r="T7" s="83"/>
      <c r="U7" s="83"/>
      <c r="V7" s="83"/>
      <c r="W7" s="83"/>
      <c r="X7" s="83"/>
      <c r="Y7" s="83"/>
      <c r="Z7" s="83"/>
      <c r="AA7" s="83"/>
      <c r="AB7" s="83"/>
      <c r="AC7" s="83"/>
      <c r="AD7" s="83"/>
      <c r="AE7" s="83"/>
      <c r="AF7" s="172" t="s">
        <v>51</v>
      </c>
      <c r="AG7" s="159">
        <f>INDEX(AN2:AN5, MATCH(AG1, AN2:AN5, -1))</f>
        <v>0</v>
      </c>
      <c r="AH7" s="88"/>
      <c r="AI7" s="194"/>
      <c r="AJ7" s="195"/>
      <c r="AK7" s="83"/>
      <c r="AL7" s="83"/>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c r="BT7" s="168"/>
    </row>
    <row r="8" spans="1:72" s="8" customFormat="1" ht="18" customHeight="1" thickBot="1" x14ac:dyDescent="0.3">
      <c r="A8" s="84"/>
      <c r="B8" s="99"/>
      <c r="C8" s="99"/>
      <c r="D8" s="100"/>
      <c r="E8" s="175"/>
      <c r="F8" s="101"/>
      <c r="G8" s="101"/>
      <c r="H8" s="101"/>
      <c r="I8" s="99"/>
      <c r="J8" s="99"/>
      <c r="K8" s="99"/>
      <c r="L8" s="99"/>
      <c r="M8" s="99"/>
      <c r="N8" s="99"/>
      <c r="O8" s="99"/>
      <c r="P8" s="99"/>
      <c r="Q8" s="99"/>
      <c r="R8" s="99"/>
      <c r="S8" s="99"/>
      <c r="T8" s="99"/>
      <c r="U8" s="99"/>
      <c r="V8" s="99"/>
      <c r="W8" s="99"/>
      <c r="X8" s="99"/>
      <c r="Y8" s="99"/>
      <c r="Z8" s="99"/>
      <c r="AA8" s="99"/>
      <c r="AB8" s="99"/>
      <c r="AC8" s="99"/>
      <c r="AD8" s="99"/>
      <c r="AE8" s="99"/>
      <c r="AF8" s="100"/>
      <c r="AG8" s="196"/>
      <c r="AH8" s="99"/>
      <c r="AI8" s="100"/>
      <c r="AJ8" s="102"/>
      <c r="AK8" s="99"/>
      <c r="AL8" s="99"/>
      <c r="AM8" s="170"/>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c r="BT8" s="168"/>
    </row>
    <row r="9" spans="1:72" ht="18" customHeight="1" x14ac:dyDescent="0.25">
      <c r="A9" s="86"/>
      <c r="B9" s="103"/>
      <c r="C9" s="98"/>
      <c r="D9" s="104"/>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105"/>
      <c r="AM9" s="30"/>
      <c r="AN9" s="169"/>
      <c r="AO9" s="169"/>
      <c r="AP9" s="169"/>
      <c r="AQ9" s="169"/>
      <c r="AR9" s="169"/>
      <c r="AS9" s="169"/>
      <c r="AT9" s="169"/>
      <c r="AU9" s="169"/>
      <c r="AV9" s="169"/>
      <c r="AW9" s="169"/>
      <c r="AX9" s="169"/>
      <c r="AY9" s="169"/>
      <c r="AZ9" s="169"/>
      <c r="BA9" s="169"/>
      <c r="BB9" s="169"/>
      <c r="BC9" s="169"/>
      <c r="BD9" s="169"/>
      <c r="BE9" s="169"/>
      <c r="BF9" s="169"/>
      <c r="BG9" s="169"/>
      <c r="BH9" s="169"/>
      <c r="BI9" s="169"/>
      <c r="BJ9" s="169"/>
      <c r="BK9" s="169"/>
      <c r="BL9" s="169"/>
      <c r="BM9" s="169"/>
      <c r="BN9" s="169"/>
      <c r="BO9" s="169"/>
      <c r="BP9" s="169"/>
      <c r="BQ9" s="169"/>
      <c r="BR9" s="169"/>
      <c r="BS9" s="169"/>
      <c r="BT9" s="169"/>
    </row>
    <row r="10" spans="1:72" ht="18" customHeight="1" x14ac:dyDescent="0.25">
      <c r="A10" s="86"/>
      <c r="B10" s="106"/>
      <c r="C10" s="83" t="s">
        <v>75</v>
      </c>
      <c r="D10" s="83"/>
      <c r="E10" s="83"/>
      <c r="F10" s="83"/>
      <c r="G10" s="83"/>
      <c r="H10" s="83"/>
      <c r="I10" s="83"/>
      <c r="J10" s="83"/>
      <c r="K10" s="83"/>
      <c r="L10" s="83"/>
      <c r="M10" s="83" t="s">
        <v>76</v>
      </c>
      <c r="N10" s="83"/>
      <c r="O10" s="83"/>
      <c r="P10" s="83"/>
      <c r="Q10" s="83"/>
      <c r="R10" s="83"/>
      <c r="S10" s="83" t="s">
        <v>132</v>
      </c>
      <c r="T10" s="83"/>
      <c r="U10" s="83"/>
      <c r="V10" s="83"/>
      <c r="W10" s="83"/>
      <c r="X10" s="83"/>
      <c r="Y10" s="83" t="s">
        <v>133</v>
      </c>
      <c r="Z10" s="83"/>
      <c r="AA10" s="83"/>
      <c r="AB10" s="83"/>
      <c r="AC10" s="83"/>
      <c r="AD10" s="83"/>
      <c r="AE10" s="83" t="s">
        <v>130</v>
      </c>
      <c r="AF10" s="83"/>
      <c r="AG10" s="83"/>
      <c r="AH10" s="83"/>
      <c r="AI10" s="83"/>
      <c r="AJ10" s="83"/>
      <c r="AK10" s="83"/>
      <c r="AL10" s="107"/>
      <c r="AM10" s="30"/>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c r="BP10" s="169"/>
      <c r="BQ10" s="169"/>
      <c r="BR10" s="169"/>
      <c r="BS10" s="169"/>
      <c r="BT10" s="169"/>
    </row>
    <row r="11" spans="1:72" ht="18" customHeight="1" thickBot="1" x14ac:dyDescent="0.3">
      <c r="A11" s="86"/>
      <c r="B11" s="106"/>
      <c r="C11" s="89"/>
      <c r="D11" s="96" t="str">
        <f>CONCATENATE("hours, ", E11)</f>
        <v>hours, 0,0</v>
      </c>
      <c r="E11" s="92" t="str">
        <f>CONCATENATE(D12, ",", D14)</f>
        <v>0,0</v>
      </c>
      <c r="F11" s="96" t="str">
        <f>CONCATENATE("hours, ", G11)</f>
        <v>hours, 0,0</v>
      </c>
      <c r="G11" s="92" t="str">
        <f>CONCATENATE(F12, ",", F14)</f>
        <v>0,0</v>
      </c>
      <c r="H11" s="96" t="str">
        <f>CONCATENATE("hours, ", I11)</f>
        <v>hours, 0,0</v>
      </c>
      <c r="I11" s="92" t="str">
        <f>CONCATENATE(H12, ",", H14)</f>
        <v>0,0</v>
      </c>
      <c r="J11" s="96" t="str">
        <f>CONCATENATE("hours, ", K11)</f>
        <v>hours, 0,0</v>
      </c>
      <c r="K11" s="92" t="str">
        <f>CONCATENATE(J12, ",", J14)</f>
        <v>0,0</v>
      </c>
      <c r="L11" s="83"/>
      <c r="M11" s="90"/>
      <c r="N11" s="92" t="str">
        <f>CONCATENATE(N12, ",", N14)</f>
        <v>0,0</v>
      </c>
      <c r="O11" s="92" t="str">
        <f>CONCATENATE(O12, ",", O14)</f>
        <v>0,0</v>
      </c>
      <c r="P11" s="92" t="str">
        <f t="shared" ref="P11:Q11" si="0">CONCATENATE(P12, ",", P14)</f>
        <v>0,0</v>
      </c>
      <c r="Q11" s="92" t="str">
        <f t="shared" si="0"/>
        <v>0,0</v>
      </c>
      <c r="R11" s="83"/>
      <c r="S11" s="83"/>
      <c r="T11" s="90"/>
      <c r="U11" s="92" t="str">
        <f>CONCATENATE(U14, ",", U16)</f>
        <v>0,0</v>
      </c>
      <c r="V11" s="92" t="str">
        <f t="shared" ref="V11:W11" si="1">CONCATENATE(V14, ",", V16)</f>
        <v>0,0</v>
      </c>
      <c r="W11" s="92" t="str">
        <f t="shared" si="1"/>
        <v>0,0</v>
      </c>
      <c r="X11" s="83"/>
      <c r="Y11" s="83"/>
      <c r="Z11" s="90"/>
      <c r="AA11" s="92" t="str">
        <f>CONCATENATE(AA14, ",", AA16)</f>
        <v>0,0</v>
      </c>
      <c r="AB11" s="92" t="str">
        <f t="shared" ref="AB11:AC11" si="2">CONCATENATE(AB14, ",", AB16)</f>
        <v>0,0</v>
      </c>
      <c r="AC11" s="92" t="str">
        <f t="shared" si="2"/>
        <v>0,0</v>
      </c>
      <c r="AD11" s="83"/>
      <c r="AE11" s="83"/>
      <c r="AF11" s="90"/>
      <c r="AG11" s="92" t="str">
        <f>CONCATENATE(AG14, ",", AG16)</f>
        <v>0,0</v>
      </c>
      <c r="AH11" s="92" t="str">
        <f t="shared" ref="AH11:AK11" si="3">CONCATENATE(AH14, ",", AH16)</f>
        <v>0,0</v>
      </c>
      <c r="AI11" s="92" t="str">
        <f t="shared" si="3"/>
        <v>0,0</v>
      </c>
      <c r="AJ11" s="92" t="str">
        <f t="shared" si="3"/>
        <v>0,0</v>
      </c>
      <c r="AK11" s="92" t="str">
        <f t="shared" si="3"/>
        <v>0,0</v>
      </c>
      <c r="AL11" s="107"/>
      <c r="AM11" s="30"/>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c r="BT11" s="169"/>
    </row>
    <row r="12" spans="1:72" ht="18" customHeight="1" x14ac:dyDescent="0.25">
      <c r="A12" s="86"/>
      <c r="B12" s="108"/>
      <c r="C12" s="38" t="s">
        <v>20</v>
      </c>
      <c r="D12" s="487">
        <f>'TM-21 inputs'!M6</f>
        <v>0</v>
      </c>
      <c r="E12" s="488"/>
      <c r="F12" s="487">
        <f>'TM-21 inputs'!P6</f>
        <v>0</v>
      </c>
      <c r="G12" s="488"/>
      <c r="H12" s="487">
        <f>'TM-21 inputs'!V6</f>
        <v>0</v>
      </c>
      <c r="I12" s="488"/>
      <c r="J12" s="487">
        <f>'TM-21 inputs'!Y6</f>
        <v>0</v>
      </c>
      <c r="K12" s="488"/>
      <c r="L12" s="95"/>
      <c r="M12" s="42" t="s">
        <v>61</v>
      </c>
      <c r="N12" s="43">
        <f>D12</f>
        <v>0</v>
      </c>
      <c r="O12" s="43">
        <f>F12</f>
        <v>0</v>
      </c>
      <c r="P12" s="43">
        <f>H12</f>
        <v>0</v>
      </c>
      <c r="Q12" s="43">
        <f>J12</f>
        <v>0</v>
      </c>
      <c r="R12" s="88"/>
      <c r="S12" s="86"/>
      <c r="T12" s="53" t="s">
        <v>23</v>
      </c>
      <c r="U12" s="475" t="s">
        <v>44</v>
      </c>
      <c r="V12" s="476"/>
      <c r="W12" s="477"/>
      <c r="X12" s="169"/>
      <c r="Y12" s="86"/>
      <c r="Z12" s="53" t="s">
        <v>23</v>
      </c>
      <c r="AA12" s="475" t="s">
        <v>44</v>
      </c>
      <c r="AB12" s="476"/>
      <c r="AC12" s="477"/>
      <c r="AD12" s="169"/>
      <c r="AE12" s="86"/>
      <c r="AF12" s="53" t="s">
        <v>23</v>
      </c>
      <c r="AG12" s="475" t="s">
        <v>44</v>
      </c>
      <c r="AH12" s="476"/>
      <c r="AI12" s="476"/>
      <c r="AJ12" s="476"/>
      <c r="AK12" s="477"/>
      <c r="AL12" s="109"/>
      <c r="AM12" s="30"/>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row>
    <row r="13" spans="1:72" ht="18" customHeight="1" thickBot="1" x14ac:dyDescent="0.3">
      <c r="A13" s="86"/>
      <c r="B13" s="108"/>
      <c r="C13" s="39" t="s">
        <v>22</v>
      </c>
      <c r="D13" s="489">
        <f>IF(ISNUMBER(D12), (D12+273.15), "")</f>
        <v>273.14999999999998</v>
      </c>
      <c r="E13" s="490"/>
      <c r="F13" s="489">
        <f>IF(ISNUMBER(F12), (F12+273.15), "")</f>
        <v>273.14999999999998</v>
      </c>
      <c r="G13" s="490"/>
      <c r="H13" s="489">
        <f>IF(ISNUMBER(H12), (H12+273.15), "")</f>
        <v>273.14999999999998</v>
      </c>
      <c r="I13" s="490"/>
      <c r="J13" s="489">
        <f>IF(ISNUMBER(J12), (J12+273.15), "")</f>
        <v>273.14999999999998</v>
      </c>
      <c r="K13" s="490"/>
      <c r="L13" s="95"/>
      <c r="M13" s="45" t="s">
        <v>22</v>
      </c>
      <c r="N13" s="132">
        <f>D13</f>
        <v>273.14999999999998</v>
      </c>
      <c r="O13" s="132">
        <f>F13</f>
        <v>273.14999999999998</v>
      </c>
      <c r="P13" s="132">
        <f>H13</f>
        <v>273.14999999999998</v>
      </c>
      <c r="Q13" s="132">
        <f>J13</f>
        <v>273.14999999999998</v>
      </c>
      <c r="R13" s="88"/>
      <c r="S13" s="94"/>
      <c r="T13" s="66"/>
      <c r="U13" s="67" t="s">
        <v>128</v>
      </c>
      <c r="V13" s="67" t="s">
        <v>129</v>
      </c>
      <c r="W13" s="68" t="s">
        <v>43</v>
      </c>
      <c r="X13" s="187"/>
      <c r="Y13" s="94"/>
      <c r="Z13" s="66"/>
      <c r="AA13" s="67" t="s">
        <v>39</v>
      </c>
      <c r="AB13" s="67" t="s">
        <v>42</v>
      </c>
      <c r="AC13" s="68" t="s">
        <v>43</v>
      </c>
      <c r="AD13" s="187"/>
      <c r="AE13" s="94"/>
      <c r="AF13" s="66"/>
      <c r="AG13" s="67" t="s">
        <v>39</v>
      </c>
      <c r="AH13" s="67" t="s">
        <v>40</v>
      </c>
      <c r="AI13" s="67" t="s">
        <v>42</v>
      </c>
      <c r="AJ13" s="67" t="s">
        <v>41</v>
      </c>
      <c r="AK13" s="68" t="s">
        <v>43</v>
      </c>
      <c r="AL13" s="109"/>
      <c r="AM13" s="30"/>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row>
    <row r="14" spans="1:72" ht="18" customHeight="1" thickBot="1" x14ac:dyDescent="0.3">
      <c r="A14" s="86"/>
      <c r="B14" s="108"/>
      <c r="C14" s="40" t="s">
        <v>21</v>
      </c>
      <c r="D14" s="491">
        <f>'TM-21 inputs'!M7</f>
        <v>0</v>
      </c>
      <c r="E14" s="492"/>
      <c r="F14" s="491">
        <f>'TM-21 inputs'!P7</f>
        <v>0</v>
      </c>
      <c r="G14" s="492"/>
      <c r="H14" s="491">
        <f>'TM-21 inputs'!V7</f>
        <v>0</v>
      </c>
      <c r="I14" s="492"/>
      <c r="J14" s="491">
        <f>'TM-21 inputs'!Y7</f>
        <v>0</v>
      </c>
      <c r="K14" s="492"/>
      <c r="L14" s="95"/>
      <c r="M14" s="51" t="s">
        <v>21</v>
      </c>
      <c r="N14" s="52">
        <f>D14</f>
        <v>0</v>
      </c>
      <c r="O14" s="52">
        <f>F14</f>
        <v>0</v>
      </c>
      <c r="P14" s="52">
        <f>H14</f>
        <v>0</v>
      </c>
      <c r="Q14" s="52">
        <f>J14</f>
        <v>0</v>
      </c>
      <c r="R14" s="95"/>
      <c r="S14" s="478" t="s">
        <v>37</v>
      </c>
      <c r="T14" s="73" t="s">
        <v>20</v>
      </c>
      <c r="U14" s="43">
        <f>D12</f>
        <v>0</v>
      </c>
      <c r="V14" s="43">
        <f>F12</f>
        <v>0</v>
      </c>
      <c r="W14" s="44">
        <f>'TM-21 inputs'!E21</f>
        <v>0</v>
      </c>
      <c r="X14" s="30"/>
      <c r="Y14" s="478" t="s">
        <v>37</v>
      </c>
      <c r="Z14" s="73" t="s">
        <v>20</v>
      </c>
      <c r="AA14" s="43">
        <f>MIN(N12:O12)</f>
        <v>0</v>
      </c>
      <c r="AB14" s="43">
        <f>MAX(N12:O12)</f>
        <v>0</v>
      </c>
      <c r="AC14" s="44">
        <f>'TM-21 inputs'!E21</f>
        <v>0</v>
      </c>
      <c r="AD14" s="30"/>
      <c r="AE14" s="478" t="s">
        <v>37</v>
      </c>
      <c r="AF14" s="73" t="s">
        <v>20</v>
      </c>
      <c r="AG14" s="43">
        <f>AG6</f>
        <v>0</v>
      </c>
      <c r="AH14" s="43">
        <f>AG6</f>
        <v>0</v>
      </c>
      <c r="AI14" s="43">
        <f>AG7</f>
        <v>0</v>
      </c>
      <c r="AJ14" s="43">
        <f>AG7</f>
        <v>0</v>
      </c>
      <c r="AK14" s="44">
        <f>AG1</f>
        <v>0</v>
      </c>
      <c r="AL14" s="109"/>
      <c r="AM14" s="30"/>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row>
    <row r="15" spans="1:72" ht="18" customHeight="1" x14ac:dyDescent="0.25">
      <c r="A15" s="86"/>
      <c r="B15" s="106"/>
      <c r="C15" s="97"/>
      <c r="D15" s="165" t="s">
        <v>14</v>
      </c>
      <c r="E15" s="166" t="s">
        <v>74</v>
      </c>
      <c r="F15" s="165" t="s">
        <v>14</v>
      </c>
      <c r="G15" s="166" t="s">
        <v>74</v>
      </c>
      <c r="H15" s="165" t="s">
        <v>14</v>
      </c>
      <c r="I15" s="166" t="s">
        <v>74</v>
      </c>
      <c r="J15" s="165" t="s">
        <v>14</v>
      </c>
      <c r="K15" s="166" t="s">
        <v>74</v>
      </c>
      <c r="L15" s="95"/>
      <c r="M15" s="199" t="s">
        <v>23</v>
      </c>
      <c r="N15" s="200"/>
      <c r="O15" s="200"/>
      <c r="P15" s="200"/>
      <c r="Q15" s="201"/>
      <c r="R15" s="95"/>
      <c r="S15" s="479"/>
      <c r="T15" s="31" t="s">
        <v>22</v>
      </c>
      <c r="U15" s="10">
        <f>U14+273.15</f>
        <v>273.14999999999998</v>
      </c>
      <c r="V15" s="10">
        <f t="shared" ref="V15" si="4">V14+273.15</f>
        <v>273.14999999999998</v>
      </c>
      <c r="W15" s="32">
        <f>W14+273.15</f>
        <v>273.14999999999998</v>
      </c>
      <c r="X15" s="30"/>
      <c r="Y15" s="479"/>
      <c r="Z15" s="31" t="s">
        <v>22</v>
      </c>
      <c r="AA15" s="10">
        <f>AA14+273.15</f>
        <v>273.14999999999998</v>
      </c>
      <c r="AB15" s="10">
        <f t="shared" ref="AB15:AC15" si="5">AB14+273.15</f>
        <v>273.14999999999998</v>
      </c>
      <c r="AC15" s="32">
        <f t="shared" si="5"/>
        <v>273.14999999999998</v>
      </c>
      <c r="AD15" s="30"/>
      <c r="AE15" s="479"/>
      <c r="AF15" s="31" t="s">
        <v>22</v>
      </c>
      <c r="AG15" s="10">
        <f>AG14+273.15</f>
        <v>273.14999999999998</v>
      </c>
      <c r="AH15" s="10">
        <f t="shared" ref="AH15:AK15" si="6">AH14+273.15</f>
        <v>273.14999999999998</v>
      </c>
      <c r="AI15" s="10">
        <f t="shared" si="6"/>
        <v>273.14999999999998</v>
      </c>
      <c r="AJ15" s="10">
        <f t="shared" si="6"/>
        <v>273.14999999999998</v>
      </c>
      <c r="AK15" s="32">
        <f t="shared" si="6"/>
        <v>273.14999999999998</v>
      </c>
      <c r="AL15" s="109"/>
      <c r="AM15" s="30"/>
      <c r="AN15" s="169"/>
      <c r="AO15" s="169"/>
      <c r="AP15" s="169"/>
      <c r="AQ15" s="169"/>
      <c r="AR15" s="169"/>
      <c r="AS15" s="169"/>
      <c r="AT15" s="169"/>
      <c r="AU15" s="169"/>
      <c r="AV15" s="169"/>
      <c r="AW15" s="169"/>
      <c r="AX15" s="169"/>
      <c r="AY15" s="169"/>
      <c r="AZ15" s="169"/>
      <c r="BA15" s="169"/>
      <c r="BB15" s="169"/>
      <c r="BC15" s="169"/>
      <c r="BD15" s="169"/>
      <c r="BE15" s="169"/>
      <c r="BF15" s="169"/>
      <c r="BG15" s="169"/>
      <c r="BH15" s="169"/>
      <c r="BI15" s="169"/>
      <c r="BJ15" s="169"/>
      <c r="BK15" s="169"/>
      <c r="BL15" s="169"/>
      <c r="BM15" s="169"/>
      <c r="BN15" s="169"/>
      <c r="BO15" s="169"/>
      <c r="BP15" s="169"/>
      <c r="BQ15" s="169"/>
      <c r="BR15" s="169"/>
      <c r="BS15" s="169"/>
      <c r="BT15" s="169"/>
    </row>
    <row r="16" spans="1:72" ht="18" customHeight="1" x14ac:dyDescent="0.25">
      <c r="A16" s="86"/>
      <c r="B16" s="106"/>
      <c r="C16" s="86"/>
      <c r="D16" s="31" t="e">
        <f>'hidden sheet 1'!D16</f>
        <v>#N/A</v>
      </c>
      <c r="E16" s="32" t="e">
        <f>'hidden sheet 1'!E16</f>
        <v>#N/A</v>
      </c>
      <c r="F16" s="31" t="e">
        <f>'hidden sheet 1'!I16</f>
        <v>#N/A</v>
      </c>
      <c r="G16" s="32" t="e">
        <f>'hidden sheet 1'!J16</f>
        <v>#N/A</v>
      </c>
      <c r="H16" s="31" t="e">
        <f>'hidden sheet 1'!D44</f>
        <v>#N/A</v>
      </c>
      <c r="I16" s="32" t="e">
        <f>'hidden sheet 1'!E44</f>
        <v>#N/A</v>
      </c>
      <c r="J16" s="31" t="e">
        <f>'hidden sheet 1'!I44</f>
        <v>#N/A</v>
      </c>
      <c r="K16" s="32" t="e">
        <f>'hidden sheet 1'!J44</f>
        <v>#N/A</v>
      </c>
      <c r="L16" s="95"/>
      <c r="M16" s="3" t="s">
        <v>24</v>
      </c>
      <c r="N16" s="16" t="str">
        <f>IF(ISNUMBER('hidden sheet 1'!Q10), 'hidden sheet 1'!Q10, "-")</f>
        <v>-</v>
      </c>
      <c r="O16" s="16" t="str">
        <f>IF(ISNUMBER('hidden sheet 1'!R10), 'hidden sheet 1'!R10, "-")</f>
        <v>-</v>
      </c>
      <c r="P16" s="16" t="str">
        <f>IF(ISNUMBER('hidden sheet 1'!S10), 'hidden sheet 1'!S10, "-")</f>
        <v>-</v>
      </c>
      <c r="Q16" s="202" t="str">
        <f>IF(ISNUMBER('hidden sheet 1'!T10), 'hidden sheet 1'!T10, "-")</f>
        <v>-</v>
      </c>
      <c r="R16" s="95"/>
      <c r="S16" s="479"/>
      <c r="T16" s="31" t="s">
        <v>21</v>
      </c>
      <c r="U16" s="10">
        <f>MIN(D14:G14)</f>
        <v>0</v>
      </c>
      <c r="V16" s="10">
        <f>MAX(D14:G14)</f>
        <v>0</v>
      </c>
      <c r="W16" s="32">
        <f>'TM-21 inputs'!E20</f>
        <v>0</v>
      </c>
      <c r="X16" s="30"/>
      <c r="Y16" s="479"/>
      <c r="Z16" s="31" t="s">
        <v>21</v>
      </c>
      <c r="AA16" s="10">
        <f>N14</f>
        <v>0</v>
      </c>
      <c r="AB16" s="10">
        <f>O14</f>
        <v>0</v>
      </c>
      <c r="AC16" s="32">
        <f>'TM-21 inputs'!E20</f>
        <v>0</v>
      </c>
      <c r="AD16" s="30"/>
      <c r="AE16" s="479"/>
      <c r="AF16" s="31" t="s">
        <v>21</v>
      </c>
      <c r="AG16" s="10">
        <f>AJ2</f>
        <v>0</v>
      </c>
      <c r="AH16" s="10">
        <f>AJ3</f>
        <v>0</v>
      </c>
      <c r="AI16" s="10">
        <f>AJ4</f>
        <v>0</v>
      </c>
      <c r="AJ16" s="10">
        <f>AJ5</f>
        <v>0</v>
      </c>
      <c r="AK16" s="32">
        <f>AJ1</f>
        <v>0</v>
      </c>
      <c r="AL16" s="109"/>
      <c r="AM16" s="30"/>
      <c r="AN16" s="169"/>
      <c r="AO16" s="169"/>
      <c r="AP16" s="169"/>
      <c r="AQ16" s="169"/>
      <c r="AR16" s="169"/>
      <c r="AS16" s="169"/>
      <c r="AT16" s="169"/>
      <c r="AU16" s="169"/>
      <c r="AV16" s="169"/>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BT16" s="169"/>
    </row>
    <row r="17" spans="1:72" ht="18" customHeight="1" x14ac:dyDescent="0.25">
      <c r="A17" s="86"/>
      <c r="B17" s="106"/>
      <c r="C17" s="86"/>
      <c r="D17" s="33" t="str">
        <f>'hidden sheet 1'!D17</f>
        <v/>
      </c>
      <c r="E17" s="34" t="str">
        <f>'hidden sheet 1'!E17</f>
        <v/>
      </c>
      <c r="F17" s="33" t="str">
        <f>'hidden sheet 1'!I17</f>
        <v/>
      </c>
      <c r="G17" s="34" t="str">
        <f>'hidden sheet 1'!J17</f>
        <v/>
      </c>
      <c r="H17" s="33" t="str">
        <f>'hidden sheet 1'!D45</f>
        <v/>
      </c>
      <c r="I17" s="34" t="str">
        <f>'hidden sheet 1'!E45</f>
        <v/>
      </c>
      <c r="J17" s="33" t="str">
        <f>'hidden sheet 1'!I45</f>
        <v/>
      </c>
      <c r="K17" s="37" t="str">
        <f>'hidden sheet 1'!J45</f>
        <v/>
      </c>
      <c r="L17" s="95"/>
      <c r="M17" s="46" t="s">
        <v>25</v>
      </c>
      <c r="N17" s="16" t="str">
        <f>IF(ISNUMBER('hidden sheet 1'!Q11), 'hidden sheet 1'!Q11, "-")</f>
        <v>-</v>
      </c>
      <c r="O17" s="16" t="str">
        <f>IF(ISNUMBER('hidden sheet 1'!R11), 'hidden sheet 1'!R11, "-")</f>
        <v>-</v>
      </c>
      <c r="P17" s="16" t="str">
        <f>IF(ISNUMBER('hidden sheet 1'!S11), 'hidden sheet 1'!S11, "-")</f>
        <v>-</v>
      </c>
      <c r="Q17" s="202" t="str">
        <f>IF(ISNUMBER('hidden sheet 1'!T11), 'hidden sheet 1'!T11, "-")</f>
        <v>-</v>
      </c>
      <c r="R17" s="95"/>
      <c r="S17" s="479"/>
      <c r="T17" s="31" t="s">
        <v>12</v>
      </c>
      <c r="U17" s="17" t="str">
        <f>INDEX($N$18:$Q$18, MATCH(U$11, $N$11:$Q$11, 0))</f>
        <v>-</v>
      </c>
      <c r="V17" s="17" t="str">
        <f>INDEX($N$18:$Q$18, MATCH(V$11, $N$11:$Q$11, 0))</f>
        <v>-</v>
      </c>
      <c r="W17" s="54"/>
      <c r="X17" s="30"/>
      <c r="Y17" s="479"/>
      <c r="Z17" s="31" t="s">
        <v>12</v>
      </c>
      <c r="AA17" s="17" t="str">
        <f>INDEX($N$18:$Q$18, MATCH(AA$11, $N$11:$Q$11, 0))</f>
        <v>-</v>
      </c>
      <c r="AB17" s="17" t="str">
        <f>INDEX($N$18:$Q$18, MATCH(AB$11, $N$11:$Q$11, 0))</f>
        <v>-</v>
      </c>
      <c r="AC17" s="54"/>
      <c r="AD17" s="30"/>
      <c r="AE17" s="479"/>
      <c r="AF17" s="31" t="s">
        <v>12</v>
      </c>
      <c r="AG17" s="17" t="str">
        <f>INDEX($N$18:$Q$18, MATCH(AG$11, $N$11:$Q$11, 0))</f>
        <v>-</v>
      </c>
      <c r="AH17" s="17" t="str">
        <f>INDEX($N$18:$Q$18, MATCH(AH$11, $N$11:$Q$11, 0))</f>
        <v>-</v>
      </c>
      <c r="AI17" s="17" t="str">
        <f>INDEX($N$18:$Q$18, MATCH(AI$11, $N$11:$Q$11, 0))</f>
        <v>-</v>
      </c>
      <c r="AJ17" s="17" t="str">
        <f>INDEX($N$18:$Q$18, MATCH(AJ$11, $N$11:$Q$11, 0))</f>
        <v>-</v>
      </c>
      <c r="AK17" s="54" t="str">
        <f>AG31</f>
        <v>-</v>
      </c>
      <c r="AL17" s="109"/>
      <c r="AM17" s="30"/>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row>
    <row r="18" spans="1:72" ht="18" customHeight="1" thickBot="1" x14ac:dyDescent="0.3">
      <c r="A18" s="86"/>
      <c r="B18" s="106"/>
      <c r="C18" s="86"/>
      <c r="D18" s="31" t="str">
        <f>'hidden sheet 1'!D18</f>
        <v/>
      </c>
      <c r="E18" s="32" t="str">
        <f>'hidden sheet 1'!E18</f>
        <v/>
      </c>
      <c r="F18" s="31" t="str">
        <f>'hidden sheet 1'!I18</f>
        <v/>
      </c>
      <c r="G18" s="32" t="str">
        <f>'hidden sheet 1'!J18</f>
        <v/>
      </c>
      <c r="H18" s="31" t="str">
        <f>'hidden sheet 1'!D46</f>
        <v/>
      </c>
      <c r="I18" s="32" t="str">
        <f>'hidden sheet 1'!E46</f>
        <v/>
      </c>
      <c r="J18" s="31" t="str">
        <f>'hidden sheet 1'!I46</f>
        <v/>
      </c>
      <c r="K18" s="32" t="str">
        <f>'hidden sheet 1'!J46</f>
        <v/>
      </c>
      <c r="L18" s="95"/>
      <c r="M18" s="3" t="s">
        <v>26</v>
      </c>
      <c r="N18" s="16" t="str">
        <f>IF(ISNUMBER('hidden sheet 1'!Q12), 'hidden sheet 1'!Q12, "-")</f>
        <v>-</v>
      </c>
      <c r="O18" s="16" t="str">
        <f>IF(ISNUMBER('hidden sheet 1'!R12), 'hidden sheet 1'!R12, "-")</f>
        <v>-</v>
      </c>
      <c r="P18" s="16" t="str">
        <f>IF(ISNUMBER('hidden sheet 1'!S12), 'hidden sheet 1'!S12, "-")</f>
        <v>-</v>
      </c>
      <c r="Q18" s="202" t="str">
        <f>IF(ISNUMBER('hidden sheet 1'!T12), 'hidden sheet 1'!T12, "-")</f>
        <v>-</v>
      </c>
      <c r="R18" s="95"/>
      <c r="S18" s="480"/>
      <c r="T18" s="74" t="s">
        <v>13</v>
      </c>
      <c r="U18" s="75" t="str">
        <f>INDEX($N$19:$Q$19, MATCH(U$11, $N$11:$Q$11, 0))</f>
        <v>-</v>
      </c>
      <c r="V18" s="75" t="str">
        <f>INDEX($N$19:$Q$19, MATCH(V$11, $N$11:$Q$11, 0))</f>
        <v>-</v>
      </c>
      <c r="W18" s="76"/>
      <c r="X18" s="30"/>
      <c r="Y18" s="480"/>
      <c r="Z18" s="74" t="s">
        <v>13</v>
      </c>
      <c r="AA18" s="75" t="str">
        <f>INDEX($N$19:$Q$19, MATCH(AA$11, $N$11:$Q$11, 0))</f>
        <v>-</v>
      </c>
      <c r="AB18" s="75" t="str">
        <f>INDEX($N$19:$Q$19, MATCH(AB$11, $N$11:$Q$11, 0))</f>
        <v>-</v>
      </c>
      <c r="AC18" s="76"/>
      <c r="AD18" s="30"/>
      <c r="AE18" s="480"/>
      <c r="AF18" s="74" t="s">
        <v>13</v>
      </c>
      <c r="AG18" s="75" t="str">
        <f>INDEX($N$19:$Q$19, MATCH(AG$11, $N$11:$Q$11, 0))</f>
        <v>-</v>
      </c>
      <c r="AH18" s="75" t="str">
        <f>INDEX($N$19:$Q$19, MATCH(AH$11, $N$11:$Q$11, 0))</f>
        <v>-</v>
      </c>
      <c r="AI18" s="75" t="str">
        <f>INDEX($N$19:$Q$19, MATCH(AI$11, $N$11:$Q$11, 0))</f>
        <v>-</v>
      </c>
      <c r="AJ18" s="75" t="str">
        <f>INDEX($N$19:$Q$19, MATCH(AJ$11, $N$11:$Q$11, 0))</f>
        <v>-</v>
      </c>
      <c r="AK18" s="76" t="str">
        <f>AG32</f>
        <v>-</v>
      </c>
      <c r="AL18" s="109"/>
      <c r="AM18" s="30"/>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row>
    <row r="19" spans="1:72" ht="18" customHeight="1" x14ac:dyDescent="0.35">
      <c r="A19" s="86"/>
      <c r="B19" s="106"/>
      <c r="C19" s="86"/>
      <c r="D19" s="33" t="str">
        <f>'hidden sheet 1'!D19</f>
        <v/>
      </c>
      <c r="E19" s="34" t="str">
        <f>'hidden sheet 1'!E19</f>
        <v/>
      </c>
      <c r="F19" s="33" t="str">
        <f>'hidden sheet 1'!I19</f>
        <v/>
      </c>
      <c r="G19" s="34" t="str">
        <f>'hidden sheet 1'!J19</f>
        <v/>
      </c>
      <c r="H19" s="33" t="str">
        <f>'hidden sheet 1'!D47</f>
        <v/>
      </c>
      <c r="I19" s="34" t="str">
        <f>'hidden sheet 1'!E47</f>
        <v/>
      </c>
      <c r="J19" s="33" t="str">
        <f>'hidden sheet 1'!I47</f>
        <v/>
      </c>
      <c r="K19" s="37" t="str">
        <f>'hidden sheet 1'!J47</f>
        <v/>
      </c>
      <c r="L19" s="95"/>
      <c r="M19" s="46" t="s">
        <v>13</v>
      </c>
      <c r="N19" s="18" t="str">
        <f>IF(ISNUMBER('hidden sheet 1'!Q13), 'hidden sheet 1'!Q13, "-")</f>
        <v>-</v>
      </c>
      <c r="O19" s="18" t="str">
        <f>IF(ISNUMBER('hidden sheet 1'!R13), 'hidden sheet 1'!R13, "-")</f>
        <v>-</v>
      </c>
      <c r="P19" s="18" t="str">
        <f>IF(ISNUMBER('hidden sheet 1'!S13), 'hidden sheet 1'!S13, "-")</f>
        <v>-</v>
      </c>
      <c r="Q19" s="203" t="str">
        <f>IF(ISNUMBER('hidden sheet 1'!T13), 'hidden sheet 1'!T13, "-")</f>
        <v>-</v>
      </c>
      <c r="R19" s="95"/>
      <c r="S19" s="481" t="s">
        <v>38</v>
      </c>
      <c r="T19" s="188" t="s">
        <v>33</v>
      </c>
      <c r="U19" s="189"/>
      <c r="V19" s="190"/>
      <c r="W19" s="191" t="str">
        <f>IF(V16=U16, "-", (V17-U17)/(V16-U16))</f>
        <v>-</v>
      </c>
      <c r="X19" s="30"/>
      <c r="Y19" s="478" t="s">
        <v>18</v>
      </c>
      <c r="Z19" s="73" t="s">
        <v>10</v>
      </c>
      <c r="AA19" s="80"/>
      <c r="AB19" s="81"/>
      <c r="AC19" s="82" t="str">
        <f>IF(AB15=AA15, "-", AA17*EXP(AA15^-1*((LN(AA17)-LN(AB17))/((AB15^-1)-(AA15^-1)))))</f>
        <v>-</v>
      </c>
      <c r="AD19" s="30"/>
      <c r="AE19" s="482" t="s">
        <v>38</v>
      </c>
      <c r="AF19" s="69" t="s">
        <v>33</v>
      </c>
      <c r="AG19" s="70" t="str">
        <f>IF(AH16=AG16, "-", (AH17-AG17)/(AH16-AG16))</f>
        <v>-</v>
      </c>
      <c r="AH19" s="71" t="s">
        <v>64</v>
      </c>
      <c r="AI19" s="70" t="str">
        <f>IF(AH16=AG16, "-", (AJ17-AI17)/(AJ16-AI16))</f>
        <v>-</v>
      </c>
      <c r="AJ19" s="71" t="s">
        <v>64</v>
      </c>
      <c r="AK19" s="72" t="s">
        <v>64</v>
      </c>
      <c r="AL19" s="109"/>
      <c r="AM19" s="30"/>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row>
    <row r="20" spans="1:72" ht="18" customHeight="1" x14ac:dyDescent="0.35">
      <c r="A20" s="86"/>
      <c r="B20" s="106"/>
      <c r="C20" s="86"/>
      <c r="D20" s="31" t="str">
        <f>'hidden sheet 1'!D20</f>
        <v/>
      </c>
      <c r="E20" s="32" t="str">
        <f>'hidden sheet 1'!E20</f>
        <v/>
      </c>
      <c r="F20" s="31" t="str">
        <f>'hidden sheet 1'!I20</f>
        <v/>
      </c>
      <c r="G20" s="32" t="str">
        <f>'hidden sheet 1'!J20</f>
        <v/>
      </c>
      <c r="H20" s="31" t="str">
        <f>'hidden sheet 1'!D48</f>
        <v/>
      </c>
      <c r="I20" s="32" t="str">
        <f>'hidden sheet 1'!E48</f>
        <v/>
      </c>
      <c r="J20" s="31" t="str">
        <f>'hidden sheet 1'!I48</f>
        <v/>
      </c>
      <c r="K20" s="32" t="str">
        <f>'hidden sheet 1'!J48</f>
        <v/>
      </c>
      <c r="L20" s="95"/>
      <c r="M20" s="47" t="str">
        <f>CONCATENATE("Calculated L(", 'TM-21 inputs'!E22, ")")</f>
        <v>Calculated L()</v>
      </c>
      <c r="N20" s="21" t="str">
        <f>IF(ISNUMBER(N19), (LN(100*N19/'TM-21 inputs'!$E$22))/N18, "-")</f>
        <v>-</v>
      </c>
      <c r="O20" s="21" t="str">
        <f>IF(ISNUMBER(O19), (LN(100*O19/'TM-21 inputs'!$E$22))/O18, "-")</f>
        <v>-</v>
      </c>
      <c r="P20" s="21" t="str">
        <f>IF(ISNUMBER(P19), (LN(100*P19/'TM-21 inputs'!$E$22))/P18, "-")</f>
        <v>-</v>
      </c>
      <c r="Q20" s="48" t="str">
        <f>IF(ISNUMBER(Q19), (LN(100*Q19/'TM-21 inputs'!$E$22))/Q18, "-")</f>
        <v>-</v>
      </c>
      <c r="R20" s="95"/>
      <c r="S20" s="482"/>
      <c r="T20" s="57" t="s">
        <v>34</v>
      </c>
      <c r="U20" s="16"/>
      <c r="V20" s="23"/>
      <c r="W20" s="56" t="str">
        <f>IF(V16=U16, "-", U17-W19*U16)</f>
        <v>-</v>
      </c>
      <c r="X20" s="30"/>
      <c r="Y20" s="479"/>
      <c r="Z20" s="31" t="s">
        <v>35</v>
      </c>
      <c r="AA20" s="17"/>
      <c r="AB20" s="24"/>
      <c r="AC20" s="60" t="str">
        <f>IF(AB15=AA15, "-", (AB18-AA18)/(AB15-AA15))</f>
        <v>-</v>
      </c>
      <c r="AD20" s="30"/>
      <c r="AE20" s="482"/>
      <c r="AF20" s="57" t="s">
        <v>34</v>
      </c>
      <c r="AG20" s="16" t="str">
        <f>IF(AH16=AG16, "-", AH17-AG19*AH16)</f>
        <v>-</v>
      </c>
      <c r="AH20" s="23" t="s">
        <v>64</v>
      </c>
      <c r="AI20" s="16" t="str">
        <f>IF(AH16=AG16, "-", AJ17-AI19*AJ16)</f>
        <v>-</v>
      </c>
      <c r="AJ20" s="23" t="s">
        <v>64</v>
      </c>
      <c r="AK20" s="56" t="s">
        <v>64</v>
      </c>
      <c r="AL20" s="109"/>
      <c r="AM20" s="30"/>
      <c r="AN20" s="169"/>
      <c r="AO20" s="169"/>
      <c r="AP20" s="169"/>
      <c r="AQ20" s="169"/>
      <c r="AR20" s="169"/>
      <c r="AS20" s="169"/>
      <c r="AT20" s="169"/>
      <c r="AU20" s="169"/>
      <c r="AV20" s="169"/>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row>
    <row r="21" spans="1:72" ht="18" customHeight="1" thickBot="1" x14ac:dyDescent="0.4">
      <c r="A21" s="86"/>
      <c r="B21" s="106"/>
      <c r="C21" s="86"/>
      <c r="D21" s="33" t="str">
        <f>'hidden sheet 1'!D21</f>
        <v/>
      </c>
      <c r="E21" s="34" t="str">
        <f>'hidden sheet 1'!E21</f>
        <v/>
      </c>
      <c r="F21" s="33" t="str">
        <f>'hidden sheet 1'!I21</f>
        <v/>
      </c>
      <c r="G21" s="34" t="str">
        <f>'hidden sheet 1'!J21</f>
        <v/>
      </c>
      <c r="H21" s="33" t="str">
        <f>'hidden sheet 1'!D49</f>
        <v/>
      </c>
      <c r="I21" s="34" t="str">
        <f>'hidden sheet 1'!E49</f>
        <v/>
      </c>
      <c r="J21" s="33" t="str">
        <f>'hidden sheet 1'!I49</f>
        <v/>
      </c>
      <c r="K21" s="37" t="str">
        <f>'hidden sheet 1'!J49</f>
        <v/>
      </c>
      <c r="L21" s="95"/>
      <c r="M21" s="49" t="str">
        <f>CONCATENATE("Reported L(", 'TM-21 inputs'!E22, ")")</f>
        <v>Reported L()</v>
      </c>
      <c r="N21" s="50" t="str">
        <f>IF(N20="-", "-", IF(AND('TM-21 inputs'!$E$15&gt;=20, 'hidden sum calcs'!N20&gt;('hidden sheet 1'!E8*6)), CONCATENATE("&gt;", 'hidden sheet 1'!E8*6), IF(AND('TM-21 inputs'!$E$15&lt;20, 'hidden sum calcs'!N20&gt;('hidden sheet 1'!E8*5.5)), CONCATENATE("&gt;", 'hidden sheet 1'!E8*5.5), ROUND('hidden sum calcs'!N20, -2))))</f>
        <v>-</v>
      </c>
      <c r="O21" s="50" t="str">
        <f>IF(O20="-", "-", IF(AND('TM-21 inputs'!$E$15&gt;=20, 'hidden sum calcs'!O20&gt;('hidden sheet 1'!J8*6)), CONCATENATE("&gt;", 'hidden sheet 1'!J8*6), IF(AND('TM-21 inputs'!$E$15&lt;20, 'hidden sum calcs'!O20&gt;('hidden sheet 1'!J8*5.5)), CONCATENATE("&gt;", 'hidden sheet 1'!J8*5.5), ROUND('hidden sum calcs'!O20, -2))))</f>
        <v>-</v>
      </c>
      <c r="P21" s="50" t="str">
        <f>IF(P20="-", "-", IF(AND('TM-21 inputs'!$E$15&gt;=20, 'hidden sum calcs'!P20&gt;('hidden sheet 1'!E36*6)), CONCATENATE("&gt;", 'hidden sheet 1'!E36*6), IF(AND('TM-21 inputs'!$E$15&lt;20, 'hidden sum calcs'!P20&gt;('hidden sheet 1'!E36*5.5)), CONCATENATE("&gt;", 'hidden sheet 1'!E36*5.5), ROUND('hidden sum calcs'!P20, -2))))</f>
        <v>-</v>
      </c>
      <c r="Q21" s="204" t="str">
        <f>IF(Q20="-", "-", IF(AND('TM-21 inputs'!$E$15&gt;=20, 'hidden sum calcs'!Q20&gt;('hidden sheet 1'!J36*6)), CONCATENATE("&gt;", 'hidden sheet 1'!J36*6), IF(AND('TM-21 inputs'!$E$15&lt;20, 'hidden sum calcs'!Q20&gt;('hidden sheet 1'!J36*5.5)), CONCATENATE("&gt;", 'hidden sheet 1'!J36*5.5), ROUND('hidden sum calcs'!Q20, -2))))</f>
        <v>-</v>
      </c>
      <c r="R21" s="95"/>
      <c r="S21" s="482"/>
      <c r="T21" s="55" t="s">
        <v>35</v>
      </c>
      <c r="U21" s="16"/>
      <c r="V21" s="23"/>
      <c r="W21" s="56" t="str">
        <f>IF(V16=U16, "-", (V18-U18)/(V16-U16))</f>
        <v>-</v>
      </c>
      <c r="X21" s="30"/>
      <c r="Y21" s="479"/>
      <c r="Z21" s="31" t="s">
        <v>36</v>
      </c>
      <c r="AA21" s="17"/>
      <c r="AB21" s="24"/>
      <c r="AC21" s="60" t="str">
        <f>IF(AB15=AA15, "-", AA18-AC20*AA15)</f>
        <v>-</v>
      </c>
      <c r="AD21" s="30"/>
      <c r="AE21" s="482"/>
      <c r="AF21" s="55" t="s">
        <v>35</v>
      </c>
      <c r="AG21" s="16" t="str">
        <f>IF(AH16=AG16, "-", (AH18-AG18)/(AH16-AG16))</f>
        <v>-</v>
      </c>
      <c r="AH21" s="23" t="s">
        <v>64</v>
      </c>
      <c r="AI21" s="16" t="str">
        <f>IF(AH16=AG16, "-", (AJ18-AI18)/(AJ16-AI16))</f>
        <v>-</v>
      </c>
      <c r="AJ21" s="23" t="s">
        <v>64</v>
      </c>
      <c r="AK21" s="56" t="s">
        <v>64</v>
      </c>
      <c r="AL21" s="109"/>
      <c r="AM21" s="30"/>
      <c r="AN21" s="169"/>
      <c r="AO21" s="169"/>
      <c r="AP21" s="169"/>
      <c r="AQ21" s="169"/>
      <c r="AR21" s="169"/>
      <c r="AS21" s="169"/>
      <c r="AT21" s="169"/>
      <c r="AU21" s="169"/>
      <c r="AV21" s="169"/>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c r="BS21" s="169"/>
      <c r="BT21" s="169"/>
    </row>
    <row r="22" spans="1:72" ht="18" customHeight="1" thickBot="1" x14ac:dyDescent="0.4">
      <c r="A22" s="86"/>
      <c r="B22" s="106"/>
      <c r="C22" s="86"/>
      <c r="D22" s="31" t="str">
        <f>'hidden sheet 1'!D22</f>
        <v/>
      </c>
      <c r="E22" s="32" t="str">
        <f>'hidden sheet 1'!E22</f>
        <v/>
      </c>
      <c r="F22" s="31" t="str">
        <f>'hidden sheet 1'!I22</f>
        <v/>
      </c>
      <c r="G22" s="32" t="str">
        <f>'hidden sheet 1'!J22</f>
        <v/>
      </c>
      <c r="H22" s="31" t="str">
        <f>'hidden sheet 1'!D50</f>
        <v/>
      </c>
      <c r="I22" s="32" t="str">
        <f>'hidden sheet 1'!E50</f>
        <v/>
      </c>
      <c r="J22" s="31" t="str">
        <f>'hidden sheet 1'!I50</f>
        <v/>
      </c>
      <c r="K22" s="32" t="str">
        <f>'hidden sheet 1'!J50</f>
        <v/>
      </c>
      <c r="L22" s="88"/>
      <c r="M22" s="97"/>
      <c r="N22" s="205" t="s">
        <v>101</v>
      </c>
      <c r="O22" s="206" t="s">
        <v>102</v>
      </c>
      <c r="P22" s="206" t="s">
        <v>103</v>
      </c>
      <c r="Q22" s="207" t="s">
        <v>104</v>
      </c>
      <c r="R22" s="95"/>
      <c r="S22" s="482"/>
      <c r="T22" s="55" t="s">
        <v>36</v>
      </c>
      <c r="U22" s="18"/>
      <c r="V22" s="25"/>
      <c r="W22" s="58" t="str">
        <f>IF(V16=U16, "-", U18-W21*U16)</f>
        <v>-</v>
      </c>
      <c r="X22" s="30"/>
      <c r="Y22" s="479"/>
      <c r="Z22" s="31" t="s">
        <v>12</v>
      </c>
      <c r="AA22" s="17"/>
      <c r="AB22" s="24"/>
      <c r="AC22" s="60" t="str">
        <f>IF(AB15=AA15, "-", AC19*EXP(-AC15^-1*((LN(AA17)-LN(AB17))/((AB15^-1)-(AA15^-1)))))</f>
        <v>-</v>
      </c>
      <c r="AD22" s="30"/>
      <c r="AE22" s="482"/>
      <c r="AF22" s="55" t="s">
        <v>36</v>
      </c>
      <c r="AG22" s="18" t="str">
        <f>IF(AH16=AG16, "-", AH18-AG21*AH16)</f>
        <v>-</v>
      </c>
      <c r="AH22" s="25" t="s">
        <v>64</v>
      </c>
      <c r="AI22" s="18" t="str">
        <f>IF(AH16=AG16, "-", AJ18-AI21*AJ16)</f>
        <v>-</v>
      </c>
      <c r="AJ22" s="25" t="s">
        <v>64</v>
      </c>
      <c r="AK22" s="58" t="s">
        <v>64</v>
      </c>
      <c r="AL22" s="109"/>
      <c r="AM22" s="30"/>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row>
    <row r="23" spans="1:72" ht="18" customHeight="1" x14ac:dyDescent="0.35">
      <c r="A23" s="86"/>
      <c r="B23" s="106"/>
      <c r="C23" s="86"/>
      <c r="D23" s="33" t="str">
        <f>'hidden sheet 1'!D23</f>
        <v/>
      </c>
      <c r="E23" s="34" t="str">
        <f>'hidden sheet 1'!E23</f>
        <v/>
      </c>
      <c r="F23" s="33" t="str">
        <f>'hidden sheet 1'!I23</f>
        <v/>
      </c>
      <c r="G23" s="34" t="str">
        <f>'hidden sheet 1'!J23</f>
        <v/>
      </c>
      <c r="H23" s="33" t="str">
        <f>'hidden sheet 1'!D51</f>
        <v/>
      </c>
      <c r="I23" s="34" t="str">
        <f>'hidden sheet 1'!E51</f>
        <v/>
      </c>
      <c r="J23" s="33" t="str">
        <f>'hidden sheet 1'!I51</f>
        <v/>
      </c>
      <c r="K23" s="37" t="str">
        <f>'hidden sheet 1'!J51</f>
        <v/>
      </c>
      <c r="L23" s="88"/>
      <c r="M23" s="88"/>
      <c r="N23" s="93"/>
      <c r="O23" s="93"/>
      <c r="P23" s="93"/>
      <c r="Q23" s="93"/>
      <c r="R23" s="86"/>
      <c r="S23" s="482"/>
      <c r="T23" s="55" t="s">
        <v>11</v>
      </c>
      <c r="U23" s="16"/>
      <c r="V23" s="23"/>
      <c r="W23" s="56" t="str">
        <f>IF(V16=U16, "-", W19*W16+W20)</f>
        <v>-</v>
      </c>
      <c r="X23" s="30"/>
      <c r="Y23" s="479"/>
      <c r="Z23" s="31" t="s">
        <v>13</v>
      </c>
      <c r="AA23" s="15"/>
      <c r="AB23" s="22"/>
      <c r="AC23" s="192" t="str">
        <f>IF(AB15=AA15, "-", AC20*AC15+AC21)</f>
        <v>-</v>
      </c>
      <c r="AD23" s="30"/>
      <c r="AE23" s="482"/>
      <c r="AF23" s="55" t="s">
        <v>164</v>
      </c>
      <c r="AG23" s="16" t="str">
        <f>IF(AH16=AG16, AG17, AG19*$AK16+AG20)</f>
        <v>-</v>
      </c>
      <c r="AH23" s="23" t="s">
        <v>64</v>
      </c>
      <c r="AI23" s="16" t="str">
        <f>IF(AH16=AG16, AI17, AI19*$AK16+AI20)</f>
        <v>-</v>
      </c>
      <c r="AJ23" s="23" t="s">
        <v>64</v>
      </c>
      <c r="AK23" s="56" t="s">
        <v>64</v>
      </c>
      <c r="AL23" s="109"/>
      <c r="AM23" s="30"/>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row>
    <row r="24" spans="1:72" ht="18" customHeight="1" x14ac:dyDescent="0.35">
      <c r="A24" s="86"/>
      <c r="B24" s="106"/>
      <c r="C24" s="86" t="str">
        <f>IF(C22="", "", IF((C22+$E$6)&lt;=$E$3, (C22+$E$6), ""))</f>
        <v/>
      </c>
      <c r="D24" s="31" t="str">
        <f>'hidden sheet 1'!D24</f>
        <v/>
      </c>
      <c r="E24" s="32" t="str">
        <f>'hidden sheet 1'!E24</f>
        <v/>
      </c>
      <c r="F24" s="31" t="str">
        <f>'hidden sheet 1'!I24</f>
        <v/>
      </c>
      <c r="G24" s="32" t="str">
        <f>'hidden sheet 1'!J24</f>
        <v/>
      </c>
      <c r="H24" s="31" t="str">
        <f>'hidden sheet 1'!D52</f>
        <v/>
      </c>
      <c r="I24" s="32" t="str">
        <f>'hidden sheet 1'!E52</f>
        <v/>
      </c>
      <c r="J24" s="31" t="str">
        <f>'hidden sheet 1'!I52</f>
        <v/>
      </c>
      <c r="K24" s="32" t="str">
        <f>'hidden sheet 1'!J52</f>
        <v/>
      </c>
      <c r="L24" s="88"/>
      <c r="M24" s="88"/>
      <c r="N24" s="83"/>
      <c r="O24" s="83"/>
      <c r="P24" s="83"/>
      <c r="Q24" s="83"/>
      <c r="R24" s="86"/>
      <c r="S24" s="482"/>
      <c r="T24" s="55" t="s">
        <v>131</v>
      </c>
      <c r="U24" s="18"/>
      <c r="V24" s="19"/>
      <c r="W24" s="58" t="str">
        <f>IF(V16=U16, "-", W21*W16+W22)</f>
        <v>-</v>
      </c>
      <c r="X24" s="30"/>
      <c r="Y24" s="479"/>
      <c r="Z24" s="118" t="str">
        <f>CONCATENATE("Calculated L(", 'TM-21 inputs'!$E$22, ")")</f>
        <v>Calculated L()</v>
      </c>
      <c r="AA24" s="21"/>
      <c r="AB24" s="21"/>
      <c r="AC24" s="48" t="str">
        <f>IF(ISNUMBER(AC23), (LN(100*AC23/'TM-21 inputs'!$E$22))/AC22, "-")</f>
        <v>-</v>
      </c>
      <c r="AD24" s="30"/>
      <c r="AE24" s="482"/>
      <c r="AF24" s="55" t="s">
        <v>165</v>
      </c>
      <c r="AG24" s="18" t="str">
        <f>IF(AH16=AG16, AG18, AG21*$AK16+AG22)</f>
        <v>-</v>
      </c>
      <c r="AH24" s="19" t="s">
        <v>64</v>
      </c>
      <c r="AI24" s="14" t="str">
        <f>IF(AH16=AG16, AI18, AI21*$AK16+AI22)</f>
        <v>-</v>
      </c>
      <c r="AJ24" s="19" t="s">
        <v>64</v>
      </c>
      <c r="AK24" s="59" t="s">
        <v>64</v>
      </c>
      <c r="AL24" s="109"/>
      <c r="AM24" s="30"/>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row>
    <row r="25" spans="1:72" ht="18" customHeight="1" thickBot="1" x14ac:dyDescent="0.3">
      <c r="A25" s="86"/>
      <c r="B25" s="106"/>
      <c r="C25" s="86" t="str">
        <f>IF(C24="", "", IF((C24+$E$6)&lt;=$E$3, (C24+$E$6), ""))</f>
        <v/>
      </c>
      <c r="D25" s="33" t="str">
        <f>'hidden sheet 1'!D25</f>
        <v/>
      </c>
      <c r="E25" s="34" t="str">
        <f>'hidden sheet 1'!E25</f>
        <v/>
      </c>
      <c r="F25" s="33" t="str">
        <f>'hidden sheet 1'!I25</f>
        <v/>
      </c>
      <c r="G25" s="34" t="str">
        <f>'hidden sheet 1'!J25</f>
        <v/>
      </c>
      <c r="H25" s="33" t="str">
        <f>'hidden sheet 1'!D53</f>
        <v/>
      </c>
      <c r="I25" s="34" t="str">
        <f>'hidden sheet 1'!E53</f>
        <v/>
      </c>
      <c r="J25" s="33" t="str">
        <f>'hidden sheet 1'!I53</f>
        <v/>
      </c>
      <c r="K25" s="37" t="str">
        <f>'hidden sheet 1'!J53</f>
        <v/>
      </c>
      <c r="L25" s="88"/>
      <c r="M25" s="88"/>
      <c r="N25" s="83"/>
      <c r="O25" s="83"/>
      <c r="P25" s="83"/>
      <c r="Q25" s="83"/>
      <c r="R25" s="86"/>
      <c r="S25" s="482"/>
      <c r="T25" s="118" t="str">
        <f>CONCATENATE("Calculated L(", 'TM-21 inputs'!$E$22, ")")</f>
        <v>Calculated L()</v>
      </c>
      <c r="U25" s="21"/>
      <c r="V25" s="21"/>
      <c r="W25" s="48" t="str">
        <f>IF(ISNUMBER(W24), (LN(100*W24/'TM-21 inputs'!$E$22))/W23, "-")</f>
        <v>-</v>
      </c>
      <c r="X25" s="30"/>
      <c r="Y25" s="480"/>
      <c r="Z25" s="62" t="str">
        <f>CONCATENATE("Reported L(", 'TM-21 inputs'!$E$22, ")")</f>
        <v>Reported L()</v>
      </c>
      <c r="AA25" s="63"/>
      <c r="AB25" s="64"/>
      <c r="AC25" s="184" t="str">
        <f>IF(AC24="-", "-", IF(AND('TM-21 inputs'!$E$15&gt;=20, 'hidden sum calcs'!AC24&gt;('hidden sum calcs'!$E$1*6)), CONCATENATE("&gt;", 'hidden sum calcs'!$E$1*6), IF(AND('TM-21 inputs'!$E$15&lt;20, 'hidden sum calcs'!AC24&gt;('hidden sum calcs'!$E$1*5.5)), CONCATENATE("&gt;", 'hidden sum calcs'!$E$1*5.5), ROUND('hidden sum calcs'!AC24, -2))))</f>
        <v>-</v>
      </c>
      <c r="AD25" s="30"/>
      <c r="AE25" s="482"/>
      <c r="AF25" s="118" t="str">
        <f>CONCATENATE("Calculated L(", 'TM-21 inputs'!E22, ")")</f>
        <v>Calculated L()</v>
      </c>
      <c r="AG25" s="21" t="str">
        <f>IF(ISNUMBER(AG24), (LN(100*AG24/'TM-21 inputs'!$E$22))/AG23, "-")</f>
        <v>-</v>
      </c>
      <c r="AH25" s="21" t="str">
        <f>IF(ISNUMBER(AH24), (LN(100*AH24/'TM-21 inputs'!$E$22))/AH23, "-")</f>
        <v>-</v>
      </c>
      <c r="AI25" s="21" t="str">
        <f>IF(ISNUMBER(AI24), (LN(100*AI24/'TM-21 inputs'!$E$22))/AI23, "-")</f>
        <v>-</v>
      </c>
      <c r="AJ25" s="21" t="str">
        <f>IF(ISNUMBER(AJ24), (LN(100*AJ24/'TM-21 inputs'!$E$22))/AJ23, "-")</f>
        <v>-</v>
      </c>
      <c r="AK25" s="48" t="str">
        <f>IF(ISNUMBER(AK18), (LN(100*AK18/'TM-21 inputs'!$E$22))/AK17, "-")</f>
        <v>-</v>
      </c>
      <c r="AL25" s="109"/>
      <c r="AM25" s="30"/>
      <c r="AN25" s="169"/>
      <c r="AO25" s="169"/>
      <c r="AP25" s="169"/>
      <c r="AQ25" s="169"/>
      <c r="AR25" s="169"/>
      <c r="AS25" s="169"/>
      <c r="AT25" s="169"/>
      <c r="AU25" s="169"/>
      <c r="AV25" s="169"/>
      <c r="AW25" s="169"/>
      <c r="AX25" s="169"/>
      <c r="AY25" s="169"/>
      <c r="AZ25" s="169"/>
      <c r="BA25" s="169"/>
      <c r="BB25" s="169"/>
      <c r="BC25" s="169"/>
      <c r="BD25" s="169"/>
      <c r="BE25" s="169"/>
      <c r="BF25" s="169"/>
      <c r="BG25" s="169"/>
      <c r="BH25" s="169"/>
      <c r="BI25" s="169"/>
      <c r="BJ25" s="169"/>
      <c r="BK25" s="169"/>
      <c r="BL25" s="169"/>
      <c r="BM25" s="169"/>
      <c r="BN25" s="169"/>
      <c r="BO25" s="169"/>
      <c r="BP25" s="169"/>
      <c r="BQ25" s="169"/>
      <c r="BR25" s="169"/>
      <c r="BS25" s="169"/>
      <c r="BT25" s="169"/>
    </row>
    <row r="26" spans="1:72" ht="18" customHeight="1" thickBot="1" x14ac:dyDescent="0.3">
      <c r="A26" s="86"/>
      <c r="B26" s="106"/>
      <c r="C26" s="86" t="str">
        <f>IF(C25="", "", IF((C25+$E$6)&lt;=$E$3, (C25+$E$6), ""))</f>
        <v/>
      </c>
      <c r="D26" s="31" t="str">
        <f>'hidden sheet 1'!D26</f>
        <v/>
      </c>
      <c r="E26" s="32" t="str">
        <f>'hidden sheet 1'!E26</f>
        <v/>
      </c>
      <c r="F26" s="31" t="str">
        <f>'hidden sheet 1'!I26</f>
        <v/>
      </c>
      <c r="G26" s="32" t="str">
        <f>'hidden sheet 1'!J26</f>
        <v/>
      </c>
      <c r="H26" s="31" t="str">
        <f>'hidden sheet 1'!D54</f>
        <v/>
      </c>
      <c r="I26" s="32" t="str">
        <f>'hidden sheet 1'!E54</f>
        <v/>
      </c>
      <c r="J26" s="31" t="str">
        <f>'hidden sheet 1'!I54</f>
        <v/>
      </c>
      <c r="K26" s="32" t="str">
        <f>'hidden sheet 1'!J54</f>
        <v/>
      </c>
      <c r="L26" s="88"/>
      <c r="M26" s="88"/>
      <c r="N26" s="83"/>
      <c r="O26" s="83"/>
      <c r="P26" s="83"/>
      <c r="Q26" s="83"/>
      <c r="R26" s="86"/>
      <c r="S26" s="483"/>
      <c r="T26" s="62" t="str">
        <f>CONCATENATE("Reported L(", 'TM-21 inputs'!$E$22, ")")</f>
        <v>Reported L()</v>
      </c>
      <c r="U26" s="63"/>
      <c r="V26" s="63"/>
      <c r="W26" s="184" t="str">
        <f>IF(W25="-", "-", IF(AND('TM-21 inputs'!$E$15&gt;=20, 'hidden sum calcs'!W25&gt;('hidden sum calcs'!$E$1*6)), CONCATENATE("&gt;", 'hidden sum calcs'!$E$1*6), IF(AND('TM-21 inputs'!$E$15&lt;20, 'hidden sum calcs'!W25&gt;('hidden sum calcs'!$E$1*5.5)), CONCATENATE("&gt;", 'hidden sum calcs'!$E$1*5.5), ROUND('hidden sum calcs'!W25, -2))))</f>
        <v>-</v>
      </c>
      <c r="X26" s="30"/>
      <c r="Y26" s="185"/>
      <c r="Z26" s="142"/>
      <c r="AA26" s="142"/>
      <c r="AB26" s="142"/>
      <c r="AC26" s="142"/>
      <c r="AD26" s="30"/>
      <c r="AE26" s="482"/>
      <c r="AF26" s="77" t="str">
        <f>CONCATENATE("Reported L(", 'TM-21 inputs'!E22, ")")</f>
        <v>Reported L()</v>
      </c>
      <c r="AG26" s="78" t="str">
        <f>IF(AG25="-", "-", IF(AND('TM-21 inputs'!$E$15&gt;=20, 'hidden sum calcs'!AG25&gt;('hidden sum calcs'!$E$1*6)), CONCATENATE("&gt;", 'hidden sum calcs'!$E$1*6), IF(AND('TM-21 inputs'!$E$15&lt;20, 'hidden sum calcs'!AG25&gt;('hidden sum calcs'!$E$1*5.5)), CONCATENATE("&gt;", 'hidden sum calcs'!$E$1*5.5), ROUND('hidden sum calcs'!AG25, -2))))</f>
        <v>-</v>
      </c>
      <c r="AH26" s="78" t="str">
        <f>IF(AH25="-", "-", IF(AND('TM-21 inputs'!$E$15&gt;=20, 'hidden sum calcs'!AH25&gt;('hidden sum calcs'!$E$1*6)), CONCATENATE("&gt;", 'hidden sum calcs'!$E$1*6), IF(AND('TM-21 inputs'!$E$15&lt;20, 'hidden sum calcs'!AH25&gt;('hidden sum calcs'!$E$1*5.5)), CONCATENATE("&gt;", 'hidden sum calcs'!$E$1*5.5), ROUND('hidden sum calcs'!AH25, -2))))</f>
        <v>-</v>
      </c>
      <c r="AI26" s="78" t="str">
        <f>IF(AI25="-", "-", IF(AND('TM-21 inputs'!$E$15&gt;=20, 'hidden sum calcs'!AI25&gt;('hidden sum calcs'!$E$1*6)), CONCATENATE("&gt;", 'hidden sum calcs'!$E$1*6), IF(AND('TM-21 inputs'!$E$15&lt;20, 'hidden sum calcs'!AI25&gt;('hidden sum calcs'!$E$1*5.5)), CONCATENATE("&gt;", 'hidden sum calcs'!$E$1*5.5), ROUND('hidden sum calcs'!AI25, -2))))</f>
        <v>-</v>
      </c>
      <c r="AJ26" s="78" t="str">
        <f>IF(AJ25="-", "-", IF(AND('TM-21 inputs'!$E$15&gt;=20, 'hidden sum calcs'!AJ25&gt;('hidden sum calcs'!$E$1*6)), CONCATENATE("&gt;", 'hidden sum calcs'!$E$1*6), IF(AND('TM-21 inputs'!$E$15&lt;20, 'hidden sum calcs'!AJ25&gt;('hidden sum calcs'!$E$1*5.5)), CONCATENATE("&gt;", 'hidden sum calcs'!$E$1*5.5), ROUND('hidden sum calcs'!AJ25, -2))))</f>
        <v>-</v>
      </c>
      <c r="AK26" s="79" t="str">
        <f>IF(AK25="-", "-", IF(AND('TM-21 inputs'!$E$15&gt;=20, 'hidden sum calcs'!AK25&gt;('hidden sum calcs'!$E$1*6)), CONCATENATE("&gt;", 'hidden sum calcs'!$E$1*6), IF(AND('TM-21 inputs'!$E$15&lt;20, 'hidden sum calcs'!AK25&gt;('hidden sum calcs'!$E$1*5.5)), CONCATENATE("&gt;", 'hidden sum calcs'!$E$1*5.5), ROUND('hidden sum calcs'!AK25, -2))))</f>
        <v>-</v>
      </c>
      <c r="AL26" s="110"/>
      <c r="AM26" s="30"/>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69"/>
      <c r="BT26" s="169"/>
    </row>
    <row r="27" spans="1:72" ht="18" customHeight="1" x14ac:dyDescent="0.35">
      <c r="A27" s="86"/>
      <c r="B27" s="106"/>
      <c r="C27" s="86"/>
      <c r="D27" s="31"/>
      <c r="E27" s="32"/>
      <c r="F27" s="31"/>
      <c r="G27" s="32"/>
      <c r="H27" s="31"/>
      <c r="I27" s="32"/>
      <c r="J27" s="31"/>
      <c r="K27" s="32"/>
      <c r="L27" s="88"/>
      <c r="M27" s="90"/>
      <c r="N27" s="89"/>
      <c r="O27" s="89"/>
      <c r="P27" s="89"/>
      <c r="Q27" s="83"/>
      <c r="R27" s="86"/>
      <c r="S27" s="228"/>
      <c r="T27" s="229"/>
      <c r="U27" s="229"/>
      <c r="V27" s="229"/>
      <c r="W27" s="229"/>
      <c r="X27" s="30"/>
      <c r="Y27" s="185"/>
      <c r="Z27" s="142"/>
      <c r="AA27" s="142"/>
      <c r="AB27" s="142"/>
      <c r="AC27" s="142"/>
      <c r="AD27" s="30"/>
      <c r="AE27" s="485" t="s">
        <v>18</v>
      </c>
      <c r="AF27" s="238" t="s">
        <v>163</v>
      </c>
      <c r="AG27" s="240" t="str">
        <f>IF(AI15=AG15, "-", (LN(AG23)-LN(AI23))/((AI15^-1)-(AG15^-1)))</f>
        <v>-</v>
      </c>
      <c r="AH27" s="235"/>
      <c r="AI27" s="235"/>
      <c r="AJ27" s="235"/>
      <c r="AK27" s="235"/>
      <c r="AL27" s="236"/>
      <c r="AM27" s="30"/>
      <c r="AN27" s="169"/>
      <c r="AO27" s="169"/>
      <c r="AP27" s="169"/>
      <c r="AQ27" s="169"/>
      <c r="AR27" s="169"/>
      <c r="AS27" s="169"/>
      <c r="AT27" s="169"/>
      <c r="AU27" s="169"/>
      <c r="AV27" s="169"/>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row>
    <row r="28" spans="1:72" ht="18" customHeight="1" x14ac:dyDescent="0.25">
      <c r="A28" s="86"/>
      <c r="B28" s="106"/>
      <c r="C28" s="86" t="str">
        <f>IF(C26="", "", IF((C26+$E$6)&lt;=$E$3, (C26+$E$6), ""))</f>
        <v/>
      </c>
      <c r="D28" s="33" t="str">
        <f>'hidden sheet 1'!D27</f>
        <v/>
      </c>
      <c r="E28" s="34" t="str">
        <f>'hidden sheet 1'!E27</f>
        <v/>
      </c>
      <c r="F28" s="33" t="str">
        <f>'hidden sheet 1'!I27</f>
        <v/>
      </c>
      <c r="G28" s="34" t="str">
        <f>'hidden sheet 1'!J27</f>
        <v/>
      </c>
      <c r="H28" s="33" t="str">
        <f>'hidden sheet 1'!D55</f>
        <v/>
      </c>
      <c r="I28" s="34" t="str">
        <f>'hidden sheet 1'!E55</f>
        <v/>
      </c>
      <c r="J28" s="33" t="str">
        <f>'hidden sheet 1'!I55</f>
        <v/>
      </c>
      <c r="K28" s="37" t="str">
        <f>'hidden sheet 1'!J55</f>
        <v/>
      </c>
      <c r="L28" s="88"/>
      <c r="M28" s="90"/>
      <c r="N28" s="89"/>
      <c r="O28" s="89"/>
      <c r="P28" s="89"/>
      <c r="Q28" s="83"/>
      <c r="R28" s="86"/>
      <c r="S28" s="484"/>
      <c r="T28" s="143"/>
      <c r="U28" s="177"/>
      <c r="V28" s="178"/>
      <c r="W28" s="178"/>
      <c r="X28" s="30"/>
      <c r="Y28" s="30"/>
      <c r="Z28" s="30"/>
      <c r="AA28" s="30"/>
      <c r="AB28" s="30"/>
      <c r="AC28" s="30"/>
      <c r="AD28" s="239"/>
      <c r="AE28" s="485"/>
      <c r="AF28" s="230" t="s">
        <v>10</v>
      </c>
      <c r="AG28" s="231" t="str">
        <f>IF(AI15=AG15, "-", AG23*EXP(AG27/AG15))</f>
        <v>-</v>
      </c>
      <c r="AH28" s="232" t="s">
        <v>64</v>
      </c>
      <c r="AI28" s="232" t="s">
        <v>64</v>
      </c>
      <c r="AJ28" s="232" t="s">
        <v>64</v>
      </c>
      <c r="AK28" s="233" t="s">
        <v>64</v>
      </c>
      <c r="AL28" s="109"/>
      <c r="AM28" s="30"/>
      <c r="AN28" s="169"/>
      <c r="AO28" s="169"/>
      <c r="AP28" s="169"/>
      <c r="AQ28" s="169"/>
      <c r="AR28" s="169"/>
      <c r="AS28" s="169"/>
      <c r="AT28" s="169"/>
      <c r="AU28" s="169"/>
      <c r="AV28" s="169"/>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row>
    <row r="29" spans="1:72" ht="18" customHeight="1" x14ac:dyDescent="0.35">
      <c r="A29" s="86"/>
      <c r="B29" s="106"/>
      <c r="C29" s="4" t="str">
        <f>IF(C28="", "", IF((C28+$E$6)&lt;=$E$3, (C28+$E$6), ""))</f>
        <v/>
      </c>
      <c r="D29" s="31" t="str">
        <f>'hidden sheet 1'!D28</f>
        <v/>
      </c>
      <c r="E29" s="32" t="str">
        <f>'hidden sheet 1'!E28</f>
        <v/>
      </c>
      <c r="F29" s="31" t="str">
        <f>'hidden sheet 1'!I28</f>
        <v/>
      </c>
      <c r="G29" s="32" t="str">
        <f>'hidden sheet 1'!J28</f>
        <v/>
      </c>
      <c r="H29" s="31" t="str">
        <f>'hidden sheet 1'!D56</f>
        <v/>
      </c>
      <c r="I29" s="32" t="str">
        <f>'hidden sheet 1'!E56</f>
        <v/>
      </c>
      <c r="J29" s="31" t="str">
        <f>'hidden sheet 1'!I56</f>
        <v/>
      </c>
      <c r="K29" s="32" t="str">
        <f>'hidden sheet 1'!J56</f>
        <v/>
      </c>
      <c r="L29" s="84"/>
      <c r="M29" s="88"/>
      <c r="N29" s="83"/>
      <c r="O29" s="83"/>
      <c r="P29" s="83"/>
      <c r="Q29" s="83"/>
      <c r="R29" s="86"/>
      <c r="S29" s="484"/>
      <c r="T29" s="143"/>
      <c r="U29" s="177"/>
      <c r="V29" s="178"/>
      <c r="W29" s="178"/>
      <c r="X29" s="30"/>
      <c r="Y29" s="30"/>
      <c r="Z29" s="30"/>
      <c r="AA29" s="30"/>
      <c r="AB29" s="30"/>
      <c r="AC29" s="30"/>
      <c r="AD29" s="239"/>
      <c r="AE29" s="485"/>
      <c r="AF29" s="31" t="s">
        <v>35</v>
      </c>
      <c r="AG29" s="17" t="str">
        <f>IF(AI15=AG15, "-", (AI24-AG24)/(AI15-AG15))</f>
        <v>-</v>
      </c>
      <c r="AH29" s="24" t="s">
        <v>64</v>
      </c>
      <c r="AI29" s="24" t="s">
        <v>64</v>
      </c>
      <c r="AJ29" s="24" t="s">
        <v>64</v>
      </c>
      <c r="AK29" s="60" t="s">
        <v>64</v>
      </c>
      <c r="AL29" s="109"/>
      <c r="AM29" s="30"/>
      <c r="AN29" s="169"/>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row>
    <row r="30" spans="1:72" ht="18" customHeight="1" thickBot="1" x14ac:dyDescent="0.4">
      <c r="A30" s="86"/>
      <c r="B30" s="106"/>
      <c r="C30" s="88" t="str">
        <f>IF(C29="", "", IF((C29+$E$6)&lt;=$E$3, (C29+$E$6), ""))</f>
        <v/>
      </c>
      <c r="D30" s="35" t="str">
        <f>'hidden sheet 1'!D29</f>
        <v/>
      </c>
      <c r="E30" s="36" t="str">
        <f>'hidden sheet 1'!E29</f>
        <v/>
      </c>
      <c r="F30" s="35" t="str">
        <f>'hidden sheet 1'!I29</f>
        <v/>
      </c>
      <c r="G30" s="36" t="str">
        <f>'hidden sheet 1'!J29</f>
        <v/>
      </c>
      <c r="H30" s="35" t="str">
        <f>'hidden sheet 1'!D57</f>
        <v/>
      </c>
      <c r="I30" s="36" t="str">
        <f>'hidden sheet 1'!E57</f>
        <v/>
      </c>
      <c r="J30" s="35" t="str">
        <f>'hidden sheet 1'!I57</f>
        <v/>
      </c>
      <c r="K30" s="167" t="str">
        <f>'hidden sheet 1'!J57</f>
        <v/>
      </c>
      <c r="L30" s="86"/>
      <c r="M30" s="83"/>
      <c r="N30" s="83"/>
      <c r="O30" s="83"/>
      <c r="P30" s="83"/>
      <c r="Q30" s="83"/>
      <c r="R30" s="86"/>
      <c r="S30" s="484"/>
      <c r="T30" s="143"/>
      <c r="U30" s="177"/>
      <c r="V30" s="178"/>
      <c r="W30" s="178"/>
      <c r="X30" s="30"/>
      <c r="Y30" s="30"/>
      <c r="Z30" s="30"/>
      <c r="AA30" s="30"/>
      <c r="AB30" s="30"/>
      <c r="AC30" s="30"/>
      <c r="AD30" s="30"/>
      <c r="AE30" s="485"/>
      <c r="AF30" s="31" t="s">
        <v>36</v>
      </c>
      <c r="AG30" s="17" t="str">
        <f>IF(AI15=AG15, "-", AG24-AG29*AG15)</f>
        <v>-</v>
      </c>
      <c r="AH30" s="24" t="s">
        <v>64</v>
      </c>
      <c r="AI30" s="24" t="s">
        <v>64</v>
      </c>
      <c r="AJ30" s="24" t="s">
        <v>64</v>
      </c>
      <c r="AK30" s="60" t="s">
        <v>64</v>
      </c>
      <c r="AL30" s="109"/>
      <c r="AM30" s="30"/>
      <c r="AN30" s="169"/>
      <c r="AO30" s="169"/>
      <c r="AP30" s="169"/>
      <c r="AQ30" s="169"/>
      <c r="AR30" s="169"/>
      <c r="AS30" s="169"/>
      <c r="AT30" s="169"/>
      <c r="AU30" s="169"/>
      <c r="AV30" s="169"/>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row>
    <row r="31" spans="1:72" ht="18" customHeight="1" x14ac:dyDescent="0.25">
      <c r="A31" s="86"/>
      <c r="B31" s="106"/>
      <c r="C31" s="83"/>
      <c r="D31" s="93"/>
      <c r="E31" s="93"/>
      <c r="F31" s="93"/>
      <c r="G31" s="93"/>
      <c r="H31" s="93"/>
      <c r="I31" s="93"/>
      <c r="J31" s="93"/>
      <c r="K31" s="93"/>
      <c r="L31" s="83"/>
      <c r="M31" s="83"/>
      <c r="N31" s="83"/>
      <c r="O31" s="83"/>
      <c r="P31" s="83"/>
      <c r="Q31" s="83"/>
      <c r="R31" s="86"/>
      <c r="S31" s="484"/>
      <c r="T31" s="143"/>
      <c r="U31" s="177"/>
      <c r="V31" s="178"/>
      <c r="W31" s="178"/>
      <c r="X31" s="30"/>
      <c r="Y31" s="30"/>
      <c r="Z31" s="30"/>
      <c r="AA31" s="30"/>
      <c r="AB31" s="30"/>
      <c r="AC31" s="30"/>
      <c r="AD31" s="30"/>
      <c r="AE31" s="485"/>
      <c r="AF31" s="31" t="s">
        <v>12</v>
      </c>
      <c r="AG31" s="17" t="str">
        <f>IF(AI15=AG15, AG23, AG28*EXP(-AG27/AK15))</f>
        <v>-</v>
      </c>
      <c r="AH31" s="24" t="s">
        <v>64</v>
      </c>
      <c r="AI31" s="24" t="s">
        <v>64</v>
      </c>
      <c r="AJ31" s="24" t="s">
        <v>64</v>
      </c>
      <c r="AK31" s="60" t="s">
        <v>64</v>
      </c>
      <c r="AL31" s="109"/>
      <c r="AM31" s="30"/>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row>
    <row r="32" spans="1:72" ht="18" customHeight="1" x14ac:dyDescent="0.25">
      <c r="A32" s="86"/>
      <c r="B32" s="106"/>
      <c r="C32" s="83" t="str">
        <f>IF(C30="", "", IF((C30+$E$6)&lt;=$E$3, (C30+$E$6), ""))</f>
        <v/>
      </c>
      <c r="D32" s="83"/>
      <c r="E32" s="83"/>
      <c r="F32" s="83"/>
      <c r="G32" s="83"/>
      <c r="H32" s="83"/>
      <c r="I32" s="83"/>
      <c r="J32" s="83"/>
      <c r="K32" s="83"/>
      <c r="L32" s="83"/>
      <c r="M32" s="83"/>
      <c r="N32" s="83"/>
      <c r="O32" s="83"/>
      <c r="P32" s="83"/>
      <c r="Q32" s="83"/>
      <c r="R32" s="86"/>
      <c r="S32" s="484"/>
      <c r="T32" s="143"/>
      <c r="U32" s="179"/>
      <c r="V32" s="180"/>
      <c r="W32" s="180"/>
      <c r="X32" s="30"/>
      <c r="Y32" s="30"/>
      <c r="Z32" s="30"/>
      <c r="AA32" s="30"/>
      <c r="AB32" s="30"/>
      <c r="AC32" s="30"/>
      <c r="AD32" s="30"/>
      <c r="AE32" s="485"/>
      <c r="AF32" s="31" t="s">
        <v>13</v>
      </c>
      <c r="AG32" s="15" t="str">
        <f>IF(AI15=AG15, AG24, AG29*AK15+AG30)</f>
        <v>-</v>
      </c>
      <c r="AH32" s="22" t="s">
        <v>64</v>
      </c>
      <c r="AI32" s="22" t="s">
        <v>64</v>
      </c>
      <c r="AJ32" s="22" t="s">
        <v>64</v>
      </c>
      <c r="AK32" s="61" t="s">
        <v>64</v>
      </c>
      <c r="AL32" s="109"/>
      <c r="AM32" s="30"/>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row>
    <row r="33" spans="1:72" x14ac:dyDescent="0.25">
      <c r="A33" s="86"/>
      <c r="B33" s="106"/>
      <c r="C33" s="83" t="str">
        <f t="shared" ref="C33:C41" si="7">IF(C32="", "", IF((C32+$E$6)&lt;=$E$3, (C32+$E$6), ""))</f>
        <v/>
      </c>
      <c r="D33" s="83"/>
      <c r="E33" s="83"/>
      <c r="F33" s="83"/>
      <c r="G33" s="83"/>
      <c r="H33" s="83"/>
      <c r="I33" s="83"/>
      <c r="J33" s="83"/>
      <c r="K33" s="83"/>
      <c r="L33" s="83"/>
      <c r="M33" s="83"/>
      <c r="N33" s="83"/>
      <c r="O33" s="83"/>
      <c r="P33" s="83"/>
      <c r="Q33" s="83"/>
      <c r="R33" s="86"/>
      <c r="S33" s="484"/>
      <c r="T33" s="181"/>
      <c r="U33" s="182"/>
      <c r="V33" s="182"/>
      <c r="W33" s="182"/>
      <c r="X33" s="30"/>
      <c r="Y33" s="30"/>
      <c r="Z33" s="30"/>
      <c r="AA33" s="30"/>
      <c r="AB33" s="30"/>
      <c r="AC33" s="30"/>
      <c r="AD33" s="30"/>
      <c r="AE33" s="485"/>
      <c r="AF33" s="118" t="str">
        <f>CONCATENATE("Calculated L(", 'TM-21 inputs'!E22, ")")</f>
        <v>Calculated L()</v>
      </c>
      <c r="AG33" s="21" t="str">
        <f>IF(ISNUMBER(AG32), (LN(100*AG32/'TM-21 inputs'!$E$22))/AG31, "-")</f>
        <v>-</v>
      </c>
      <c r="AH33" s="21" t="str">
        <f>IF(ISNUMBER(AH32), (LN(100*AH32/'TM-21 inputs'!$E$22))/AH31, "-")</f>
        <v>-</v>
      </c>
      <c r="AI33" s="21" t="str">
        <f>IF(ISNUMBER(AI32), (LN(100*AI32/'TM-21 inputs'!$E$22))/AI31, "-")</f>
        <v>-</v>
      </c>
      <c r="AJ33" s="21" t="str">
        <f>IF(ISNUMBER(AJ32), (LN(100*AJ32/'TM-21 inputs'!$E$22))/AJ31, "-")</f>
        <v>-</v>
      </c>
      <c r="AK33" s="48" t="str">
        <f>IF(ISNUMBER(AK32), (LN(100*AK32/'TM-21 inputs'!$E$22))/AK31, "-")</f>
        <v>-</v>
      </c>
      <c r="AL33" s="109"/>
      <c r="AM33" s="30"/>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row>
    <row r="34" spans="1:72" ht="15.75" thickBot="1" x14ac:dyDescent="0.3">
      <c r="A34" s="86"/>
      <c r="B34" s="106"/>
      <c r="C34" s="83" t="str">
        <f t="shared" si="7"/>
        <v/>
      </c>
      <c r="D34" s="83"/>
      <c r="E34" s="83"/>
      <c r="F34" s="83"/>
      <c r="G34" s="83"/>
      <c r="H34" s="83"/>
      <c r="I34" s="83"/>
      <c r="J34" s="83"/>
      <c r="K34" s="83"/>
      <c r="L34" s="83"/>
      <c r="M34" s="83"/>
      <c r="N34" s="83"/>
      <c r="O34" s="83"/>
      <c r="P34" s="83"/>
      <c r="Q34" s="83"/>
      <c r="R34" s="86"/>
      <c r="S34" s="484"/>
      <c r="T34" s="142"/>
      <c r="U34" s="142"/>
      <c r="V34" s="183"/>
      <c r="W34" s="183"/>
      <c r="X34" s="30"/>
      <c r="Y34" s="30"/>
      <c r="Z34" s="30"/>
      <c r="AA34" s="30"/>
      <c r="AB34" s="30"/>
      <c r="AC34" s="30"/>
      <c r="AD34" s="30"/>
      <c r="AE34" s="486"/>
      <c r="AF34" s="62" t="str">
        <f>CONCATENATE("Reported L(", 'TM-21 inputs'!E22, ")")</f>
        <v>Reported L()</v>
      </c>
      <c r="AG34" s="63" t="str">
        <f>IF(AG33="-", "-", IF(AND('TM-21 inputs'!$E$15&gt;=20, 'hidden sum calcs'!AG33&gt;('hidden sum calcs'!$E$1*6)), CONCATENATE("&gt;", 'hidden sum calcs'!$E$1*6), IF(AND('TM-21 inputs'!$E$15&lt;20, 'hidden sum calcs'!AG33&gt;('hidden sum calcs'!$E$1*5.5)), CONCATENATE("&gt;", 'hidden sum calcs'!$E$1*5.5), ROUND('hidden sum calcs'!AG33, -2))))</f>
        <v>-</v>
      </c>
      <c r="AH34" s="64" t="s">
        <v>64</v>
      </c>
      <c r="AI34" s="64" t="s">
        <v>64</v>
      </c>
      <c r="AJ34" s="64" t="s">
        <v>64</v>
      </c>
      <c r="AK34" s="65" t="s">
        <v>64</v>
      </c>
      <c r="AL34" s="237"/>
      <c r="AM34" s="30"/>
      <c r="AN34" s="169"/>
      <c r="AO34" s="169"/>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c r="BS34" s="169"/>
      <c r="BT34" s="169"/>
    </row>
    <row r="35" spans="1:72" x14ac:dyDescent="0.25">
      <c r="A35" s="86"/>
      <c r="B35" s="106"/>
      <c r="C35" s="83" t="str">
        <f t="shared" si="7"/>
        <v/>
      </c>
      <c r="D35" s="83"/>
      <c r="E35" s="83"/>
      <c r="F35" s="83"/>
      <c r="G35" s="83"/>
      <c r="H35" s="83"/>
      <c r="I35" s="83"/>
      <c r="J35" s="83"/>
      <c r="K35" s="83"/>
      <c r="L35" s="83"/>
      <c r="M35" s="83"/>
      <c r="N35" s="83"/>
      <c r="O35" s="83"/>
      <c r="P35" s="83"/>
      <c r="Q35" s="83"/>
      <c r="R35" s="83"/>
      <c r="S35" s="93"/>
      <c r="T35" s="93"/>
      <c r="U35" s="93"/>
      <c r="V35" s="93"/>
      <c r="W35" s="93"/>
      <c r="X35" s="186"/>
      <c r="Y35" s="186"/>
      <c r="Z35" s="186"/>
      <c r="AA35" s="186"/>
      <c r="AB35" s="186"/>
      <c r="AC35" s="186"/>
      <c r="AD35" s="186"/>
      <c r="AE35" s="93"/>
      <c r="AF35" s="93"/>
      <c r="AG35" s="93"/>
      <c r="AH35" s="93"/>
      <c r="AI35" s="93"/>
      <c r="AJ35" s="93"/>
      <c r="AK35" s="93"/>
      <c r="AL35" s="234"/>
      <c r="AM35" s="30"/>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BS35" s="169"/>
      <c r="BT35" s="169"/>
    </row>
    <row r="36" spans="1:72" x14ac:dyDescent="0.25">
      <c r="A36" s="86"/>
      <c r="B36" s="106"/>
      <c r="C36" s="83" t="str">
        <f t="shared" si="7"/>
        <v/>
      </c>
      <c r="D36" s="83"/>
      <c r="E36" s="83"/>
      <c r="F36" s="83"/>
      <c r="G36" s="83"/>
      <c r="H36" s="83"/>
      <c r="I36" s="83"/>
      <c r="J36" s="83"/>
      <c r="K36" s="83"/>
      <c r="L36" s="83"/>
      <c r="M36" s="83"/>
      <c r="N36" s="83"/>
      <c r="O36" s="83"/>
      <c r="P36" s="83" t="s">
        <v>65</v>
      </c>
      <c r="Q36" s="83"/>
      <c r="R36" s="84"/>
      <c r="S36" s="91"/>
      <c r="T36" s="91"/>
      <c r="U36" s="91"/>
      <c r="V36" s="91"/>
      <c r="W36" s="91"/>
      <c r="X36" s="173"/>
      <c r="Y36" s="173"/>
      <c r="Z36" s="173"/>
      <c r="AA36" s="173"/>
      <c r="AB36" s="173"/>
      <c r="AC36" s="173"/>
      <c r="AD36" s="173"/>
      <c r="AE36" s="91"/>
      <c r="AF36" s="84"/>
      <c r="AG36" s="84"/>
      <c r="AH36" s="84"/>
      <c r="AI36" s="84"/>
      <c r="AJ36" s="84"/>
      <c r="AK36" s="85"/>
      <c r="AL36" s="111"/>
      <c r="AM36" s="30"/>
      <c r="AN36" s="169"/>
      <c r="AO36" s="169"/>
      <c r="AP36" s="169"/>
      <c r="AQ36" s="169"/>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row>
    <row r="37" spans="1:72" x14ac:dyDescent="0.25">
      <c r="A37" s="86"/>
      <c r="B37" s="106"/>
      <c r="C37" s="83" t="str">
        <f t="shared" si="7"/>
        <v/>
      </c>
      <c r="D37" s="83"/>
      <c r="E37" s="83"/>
      <c r="F37" s="83"/>
      <c r="G37" s="83"/>
      <c r="H37" s="83"/>
      <c r="I37" s="83"/>
      <c r="J37" s="83"/>
      <c r="K37" s="83"/>
      <c r="L37" s="83"/>
      <c r="M37" s="83"/>
      <c r="N37" s="83"/>
      <c r="O37" s="83"/>
      <c r="P37" s="83"/>
      <c r="Q37" s="83"/>
      <c r="R37" s="84"/>
      <c r="S37" s="91"/>
      <c r="T37" s="91"/>
      <c r="U37" s="91"/>
      <c r="V37" s="91"/>
      <c r="W37" s="91"/>
      <c r="X37" s="91"/>
      <c r="Y37" s="91"/>
      <c r="Z37" s="91"/>
      <c r="AA37" s="91"/>
      <c r="AB37" s="91"/>
      <c r="AC37" s="91"/>
      <c r="AD37" s="91"/>
      <c r="AE37" s="91"/>
      <c r="AF37" s="225" t="s">
        <v>159</v>
      </c>
      <c r="AG37" s="84"/>
      <c r="AH37" s="84"/>
      <c r="AI37" s="84"/>
      <c r="AJ37" s="84"/>
      <c r="AK37" s="84"/>
      <c r="AL37" s="111"/>
      <c r="AM37" s="30"/>
      <c r="AN37" s="169"/>
      <c r="AO37" s="169"/>
      <c r="AP37" s="169"/>
      <c r="AQ37" s="169"/>
      <c r="AR37" s="169"/>
      <c r="AS37" s="169"/>
      <c r="AT37" s="169"/>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row>
    <row r="38" spans="1:72" x14ac:dyDescent="0.25">
      <c r="A38" s="86"/>
      <c r="B38" s="106"/>
      <c r="C38" s="83" t="str">
        <f t="shared" si="7"/>
        <v/>
      </c>
      <c r="D38" s="83"/>
      <c r="E38" s="83"/>
      <c r="F38" s="83"/>
      <c r="G38" s="83"/>
      <c r="H38" s="83"/>
      <c r="I38" s="83"/>
      <c r="J38" s="83"/>
      <c r="K38" s="83"/>
      <c r="L38" s="83"/>
      <c r="M38" s="83"/>
      <c r="N38" s="83"/>
      <c r="O38" s="83"/>
      <c r="P38" s="83"/>
      <c r="Q38" s="83"/>
      <c r="R38" s="84"/>
      <c r="S38" s="84"/>
      <c r="T38" s="84"/>
      <c r="U38" s="84"/>
      <c r="V38" s="84"/>
      <c r="W38" s="84"/>
      <c r="X38" s="84"/>
      <c r="Y38" s="84"/>
      <c r="Z38" s="84"/>
      <c r="AA38" s="84"/>
      <c r="AB38" s="84"/>
      <c r="AC38" s="84"/>
      <c r="AD38" s="84"/>
      <c r="AE38" s="84"/>
      <c r="AF38" s="84"/>
      <c r="AG38" s="84"/>
      <c r="AH38" s="84"/>
      <c r="AI38" s="84"/>
      <c r="AJ38" s="84"/>
      <c r="AK38" s="84"/>
      <c r="AL38" s="111"/>
      <c r="AM38" s="30"/>
      <c r="AN38" s="169"/>
      <c r="AO38" s="169"/>
      <c r="AP38" s="169"/>
      <c r="AQ38" s="169"/>
      <c r="AR38" s="169"/>
      <c r="AS38" s="169"/>
      <c r="AT38" s="169"/>
      <c r="AU38" s="169"/>
      <c r="AV38" s="169"/>
      <c r="AW38" s="169"/>
      <c r="AX38" s="169"/>
      <c r="AY38" s="169"/>
      <c r="AZ38" s="169"/>
      <c r="BA38" s="169"/>
      <c r="BB38" s="169"/>
      <c r="BC38" s="169"/>
      <c r="BD38" s="169"/>
      <c r="BE38" s="169"/>
      <c r="BF38" s="169"/>
      <c r="BG38" s="169"/>
      <c r="BH38" s="169"/>
      <c r="BI38" s="169"/>
      <c r="BJ38" s="169"/>
      <c r="BK38" s="169"/>
      <c r="BL38" s="169"/>
      <c r="BM38" s="169"/>
      <c r="BN38" s="169"/>
      <c r="BO38" s="169"/>
      <c r="BP38" s="169"/>
      <c r="BQ38" s="169"/>
      <c r="BR38" s="169"/>
      <c r="BS38" s="169"/>
      <c r="BT38" s="169"/>
    </row>
    <row r="39" spans="1:72" ht="15.75" thickBot="1" x14ac:dyDescent="0.3">
      <c r="A39" s="86"/>
      <c r="B39" s="112"/>
      <c r="C39" s="113" t="str">
        <f t="shared" si="7"/>
        <v/>
      </c>
      <c r="D39" s="113"/>
      <c r="E39" s="113"/>
      <c r="F39" s="113"/>
      <c r="G39" s="113"/>
      <c r="H39" s="113"/>
      <c r="I39" s="113"/>
      <c r="J39" s="113"/>
      <c r="K39" s="113"/>
      <c r="L39" s="113"/>
      <c r="M39" s="113"/>
      <c r="N39" s="113"/>
      <c r="O39" s="113"/>
      <c r="P39" s="113"/>
      <c r="Q39" s="113"/>
      <c r="R39" s="114"/>
      <c r="S39" s="114"/>
      <c r="T39" s="114"/>
      <c r="U39" s="114"/>
      <c r="V39" s="114"/>
      <c r="W39" s="114"/>
      <c r="X39" s="114"/>
      <c r="Y39" s="114"/>
      <c r="Z39" s="114"/>
      <c r="AA39" s="114"/>
      <c r="AB39" s="114"/>
      <c r="AC39" s="114"/>
      <c r="AD39" s="114"/>
      <c r="AE39" s="114"/>
      <c r="AF39" s="114"/>
      <c r="AG39" s="114"/>
      <c r="AH39" s="114"/>
      <c r="AI39" s="114"/>
      <c r="AJ39" s="114"/>
      <c r="AK39" s="114"/>
      <c r="AL39" s="115"/>
      <c r="AM39" s="30"/>
      <c r="AN39" s="169"/>
      <c r="AO39" s="169"/>
      <c r="AP39" s="169"/>
      <c r="AQ39" s="169"/>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BS39" s="169"/>
      <c r="BT39" s="169"/>
    </row>
    <row r="40" spans="1:72" x14ac:dyDescent="0.25">
      <c r="A40" s="89"/>
      <c r="B40" s="116"/>
      <c r="C40" s="116" t="str">
        <f t="shared" si="7"/>
        <v/>
      </c>
      <c r="D40" s="116"/>
      <c r="E40" s="116"/>
      <c r="F40" s="116"/>
      <c r="G40" s="116"/>
      <c r="H40" s="116"/>
      <c r="I40" s="116"/>
      <c r="J40" s="116"/>
      <c r="K40" s="116"/>
      <c r="L40" s="116"/>
      <c r="M40" s="116"/>
      <c r="N40" s="116"/>
      <c r="O40" s="116"/>
      <c r="P40" s="116"/>
      <c r="Q40" s="116"/>
      <c r="R40" s="126"/>
      <c r="S40" s="126"/>
      <c r="T40" s="126"/>
      <c r="U40" s="126"/>
      <c r="V40" s="126"/>
      <c r="W40" s="126"/>
      <c r="X40" s="126"/>
      <c r="Y40" s="126"/>
      <c r="Z40" s="126"/>
      <c r="AA40" s="126"/>
      <c r="AB40" s="126"/>
      <c r="AC40" s="126"/>
      <c r="AD40" s="126"/>
      <c r="AE40" s="126"/>
      <c r="AF40" s="126"/>
      <c r="AG40" s="126"/>
      <c r="AH40" s="126"/>
      <c r="AI40" s="126"/>
      <c r="AJ40" s="126"/>
      <c r="AK40" s="126"/>
      <c r="AL40" s="127"/>
      <c r="AM40" s="171"/>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0"/>
      <c r="BQ40" s="170"/>
      <c r="BR40" s="170"/>
      <c r="BS40" s="170"/>
      <c r="BT40" s="170"/>
    </row>
    <row r="41" spans="1:72" x14ac:dyDescent="0.25">
      <c r="A41" s="7"/>
      <c r="B41" s="7"/>
      <c r="C41" s="7" t="str">
        <f t="shared" si="7"/>
        <v/>
      </c>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O41" s="7"/>
    </row>
    <row r="42" spans="1:72" x14ac:dyDescent="0.2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O42" s="7"/>
    </row>
    <row r="43" spans="1:72" x14ac:dyDescent="0.2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O43" s="7"/>
    </row>
    <row r="44" spans="1:72" x14ac:dyDescent="0.2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O44" s="7"/>
    </row>
    <row r="45" spans="1:72" x14ac:dyDescent="0.2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O45" s="7"/>
    </row>
    <row r="46" spans="1:72" x14ac:dyDescent="0.2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O46" s="7"/>
    </row>
    <row r="47" spans="1:72" x14ac:dyDescent="0.2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O47" s="7"/>
    </row>
    <row r="48" spans="1:72" x14ac:dyDescent="0.2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O48" s="7"/>
    </row>
    <row r="49" spans="1:4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O49" s="7"/>
    </row>
    <row r="50" spans="1:4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O50" s="7"/>
    </row>
    <row r="51" spans="1:4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O51" s="7"/>
    </row>
  </sheetData>
  <sheetProtection algorithmName="SHA-512" hashValue="EqY3UYXoly9oOjWhIlum7bSjLdcgGW/GZPsUjoFfMGVkfSJr9RhVUB8f93QPNr7zl0/vrNFmDK9AtfA9crv/Gw==" saltValue="EC2ihQAvkAKcWr73XUa50w==" spinCount="100000" sheet="1" objects="1" scenarios="1"/>
  <mergeCells count="23">
    <mergeCell ref="AE27:AE34"/>
    <mergeCell ref="AG12:AK12"/>
    <mergeCell ref="AE14:AE18"/>
    <mergeCell ref="AE19:AE26"/>
    <mergeCell ref="D12:E12"/>
    <mergeCell ref="D13:E13"/>
    <mergeCell ref="D14:E14"/>
    <mergeCell ref="H12:I12"/>
    <mergeCell ref="H13:I13"/>
    <mergeCell ref="H14:I14"/>
    <mergeCell ref="J12:K12"/>
    <mergeCell ref="J13:K13"/>
    <mergeCell ref="J14:K14"/>
    <mergeCell ref="F12:G12"/>
    <mergeCell ref="F13:G13"/>
    <mergeCell ref="F14:G14"/>
    <mergeCell ref="U12:W12"/>
    <mergeCell ref="S14:S18"/>
    <mergeCell ref="S19:S26"/>
    <mergeCell ref="S28:S34"/>
    <mergeCell ref="AA12:AC12"/>
    <mergeCell ref="Y14:Y18"/>
    <mergeCell ref="Y19:Y25"/>
  </mergeCells>
  <phoneticPr fontId="6" type="noConversion"/>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5AB15-FC0A-4065-947B-D958AFAB20C5}">
  <sheetPr codeName="Sheet8"/>
  <dimension ref="B2:AL58"/>
  <sheetViews>
    <sheetView topLeftCell="R1" workbookViewId="0">
      <selection activeCell="R32" sqref="R32"/>
    </sheetView>
  </sheetViews>
  <sheetFormatPr defaultRowHeight="15" x14ac:dyDescent="0.25"/>
  <cols>
    <col min="1" max="2" width="4.28515625" customWidth="1"/>
    <col min="3" max="3" width="12.28515625" customWidth="1"/>
    <col min="4" max="5" width="9.140625" customWidth="1"/>
    <col min="13" max="13" width="4.28515625" customWidth="1"/>
    <col min="15" max="15" width="4.28515625" customWidth="1"/>
    <col min="16" max="16" width="21.140625" bestFit="1" customWidth="1"/>
    <col min="17" max="17" width="18.7109375" customWidth="1"/>
    <col min="18" max="18" width="12.85546875" customWidth="1"/>
    <col min="19" max="20" width="13.42578125" customWidth="1"/>
    <col min="21" max="21" width="13.28515625" customWidth="1"/>
    <col min="23" max="23" width="4.28515625" customWidth="1"/>
    <col min="24" max="24" width="52.7109375" customWidth="1"/>
    <col min="25" max="25" width="5.7109375" customWidth="1"/>
    <col min="26" max="26" width="29.85546875" customWidth="1"/>
    <col min="27" max="27" width="4.28515625" customWidth="1"/>
    <col min="28" max="28" width="9.140625" customWidth="1"/>
    <col min="29" max="29" width="4.140625" customWidth="1"/>
    <col min="30" max="31" width="23.28515625" customWidth="1"/>
    <col min="32" max="32" width="14.7109375" customWidth="1"/>
    <col min="33" max="33" width="19" customWidth="1"/>
    <col min="34" max="34" width="14.7109375" customWidth="1"/>
    <col min="35" max="35" width="19.28515625" customWidth="1"/>
    <col min="36" max="36" width="15" customWidth="1"/>
    <col min="37" max="37" width="18.85546875" customWidth="1"/>
    <col min="38" max="38" width="4.28515625" customWidth="1"/>
  </cols>
  <sheetData>
    <row r="2" spans="2:38" ht="88.5" customHeight="1" x14ac:dyDescent="0.25">
      <c r="B2" s="498" t="s">
        <v>124</v>
      </c>
      <c r="C2" s="498"/>
      <c r="D2" s="498"/>
      <c r="E2" s="498"/>
      <c r="F2" s="498"/>
      <c r="G2" s="498"/>
      <c r="H2" s="498"/>
      <c r="I2" s="498"/>
      <c r="J2" s="498"/>
      <c r="K2" s="498"/>
      <c r="L2" s="498"/>
      <c r="M2" s="498"/>
      <c r="O2" s="493" t="s">
        <v>123</v>
      </c>
      <c r="P2" s="496"/>
      <c r="Q2" s="496"/>
      <c r="R2" s="496"/>
      <c r="S2" s="496"/>
      <c r="T2" s="496"/>
      <c r="U2" s="497"/>
      <c r="W2" s="493" t="s">
        <v>125</v>
      </c>
      <c r="X2" s="496"/>
      <c r="Y2" s="496"/>
      <c r="Z2" s="496"/>
      <c r="AA2" s="497"/>
      <c r="AC2" s="493" t="s">
        <v>127</v>
      </c>
      <c r="AD2" s="494"/>
      <c r="AE2" s="494"/>
      <c r="AF2" s="494"/>
      <c r="AG2" s="494"/>
      <c r="AH2" s="494"/>
      <c r="AI2" s="494"/>
      <c r="AJ2" s="494"/>
      <c r="AK2" s="494"/>
      <c r="AL2" s="495"/>
    </row>
    <row r="3" spans="2:38" ht="15.75" thickBot="1" x14ac:dyDescent="0.3"/>
    <row r="4" spans="2:38" x14ac:dyDescent="0.25">
      <c r="B4" s="144"/>
      <c r="C4" s="145"/>
      <c r="D4" s="145"/>
      <c r="E4" s="145"/>
      <c r="F4" s="145"/>
      <c r="G4" s="145"/>
      <c r="H4" s="145"/>
      <c r="I4" s="145"/>
      <c r="J4" s="145"/>
      <c r="K4" s="145"/>
      <c r="L4" s="145"/>
      <c r="M4" s="133"/>
      <c r="O4" s="144"/>
      <c r="P4" s="145"/>
      <c r="Q4" s="145"/>
      <c r="R4" s="145"/>
      <c r="S4" s="145"/>
      <c r="T4" s="145"/>
      <c r="U4" s="133"/>
      <c r="W4" s="144"/>
      <c r="X4" s="145"/>
      <c r="Y4" s="145"/>
      <c r="Z4" s="145"/>
      <c r="AA4" s="133"/>
      <c r="AC4" s="144"/>
      <c r="AD4" s="145"/>
      <c r="AE4" s="145"/>
      <c r="AF4" s="145"/>
      <c r="AG4" s="145"/>
      <c r="AH4" s="145"/>
      <c r="AI4" s="145"/>
      <c r="AJ4" s="145"/>
      <c r="AK4" s="145"/>
      <c r="AL4" s="133"/>
    </row>
    <row r="5" spans="2:38" x14ac:dyDescent="0.25">
      <c r="B5" s="146"/>
      <c r="C5" s="30"/>
      <c r="D5" s="30"/>
      <c r="E5" s="157" t="s">
        <v>52</v>
      </c>
      <c r="F5" s="30"/>
      <c r="G5" s="30"/>
      <c r="H5" s="30"/>
      <c r="I5" s="30"/>
      <c r="J5" s="157" t="s">
        <v>53</v>
      </c>
      <c r="K5" s="30"/>
      <c r="L5" s="30"/>
      <c r="M5" s="134"/>
      <c r="O5" s="146"/>
      <c r="P5" s="30"/>
      <c r="Q5" s="30"/>
      <c r="R5" s="30"/>
      <c r="S5" s="30"/>
      <c r="T5" s="30"/>
      <c r="U5" s="134"/>
      <c r="W5" s="146"/>
      <c r="X5" s="162" t="s">
        <v>112</v>
      </c>
      <c r="Y5" s="30"/>
      <c r="Z5" s="164" t="s">
        <v>116</v>
      </c>
      <c r="AA5" s="134"/>
      <c r="AC5" s="146"/>
      <c r="AD5" s="30" t="s">
        <v>70</v>
      </c>
      <c r="AE5" s="30"/>
      <c r="AF5" s="30"/>
      <c r="AG5" s="30"/>
      <c r="AH5" s="30"/>
      <c r="AI5" s="30"/>
      <c r="AJ5" s="30"/>
      <c r="AK5" s="30"/>
      <c r="AL5" s="134"/>
    </row>
    <row r="6" spans="2:38" x14ac:dyDescent="0.25">
      <c r="B6" s="146"/>
      <c r="C6" s="30"/>
      <c r="D6" s="147" t="s">
        <v>28</v>
      </c>
      <c r="E6" s="158">
        <f>MAX('TM-21 inputs'!L12:L36)</f>
        <v>0</v>
      </c>
      <c r="F6" s="30"/>
      <c r="G6" s="30"/>
      <c r="H6" s="30"/>
      <c r="I6" s="147" t="s">
        <v>28</v>
      </c>
      <c r="J6" s="158">
        <f>MAX('TM-21 inputs'!O12:O36)</f>
        <v>0</v>
      </c>
      <c r="K6" s="30"/>
      <c r="L6" s="30"/>
      <c r="M6" s="134"/>
      <c r="O6" s="146"/>
      <c r="P6" s="5" t="s">
        <v>61</v>
      </c>
      <c r="Q6" s="10">
        <f>'hidden sum calcs'!D12</f>
        <v>0</v>
      </c>
      <c r="R6" s="10">
        <f>'hidden sum calcs'!F12</f>
        <v>0</v>
      </c>
      <c r="S6" s="10">
        <f>'hidden sum calcs'!H12</f>
        <v>0</v>
      </c>
      <c r="T6" s="10">
        <f>'hidden sum calcs'!J12</f>
        <v>0</v>
      </c>
      <c r="U6" s="134"/>
      <c r="W6" s="146"/>
      <c r="X6" s="163"/>
      <c r="Y6" s="30"/>
      <c r="Z6" s="160">
        <f>IF('TM-21 inputs'!$D$3='hidden sheet 1'!X6, 1, 0)</f>
        <v>1</v>
      </c>
      <c r="AA6" s="134"/>
      <c r="AC6" s="146"/>
      <c r="AD6" s="11" t="s">
        <v>21</v>
      </c>
      <c r="AE6" s="11" t="s">
        <v>61</v>
      </c>
      <c r="AF6" s="30" t="s">
        <v>126</v>
      </c>
      <c r="AG6" s="30"/>
      <c r="AH6" s="30"/>
      <c r="AI6" s="30"/>
      <c r="AJ6" s="161" t="s">
        <v>78</v>
      </c>
      <c r="AK6" s="161" t="s">
        <v>85</v>
      </c>
      <c r="AL6" s="134"/>
    </row>
    <row r="7" spans="2:38" x14ac:dyDescent="0.25">
      <c r="B7" s="146"/>
      <c r="C7" s="30"/>
      <c r="D7" s="147" t="s">
        <v>29</v>
      </c>
      <c r="E7" s="159">
        <f>IF(E6=0, 0, IF(AND(E6&gt;=6000, E6&lt;=10000), E6-5000, IF(E6&gt;10000, E6/2, "test duration error")))</f>
        <v>0</v>
      </c>
      <c r="F7" s="30"/>
      <c r="G7" s="30"/>
      <c r="H7" s="30"/>
      <c r="I7" s="147" t="s">
        <v>29</v>
      </c>
      <c r="J7" s="159">
        <f>IF(J6=0, 0, IF(AND(J6&gt;=6000, J6&lt;=10000), J6-5000, IF(J6&gt;10000, J6/2, "test duration error")))</f>
        <v>0</v>
      </c>
      <c r="K7" s="30"/>
      <c r="L7" s="30"/>
      <c r="M7" s="134"/>
      <c r="O7" s="146"/>
      <c r="P7" s="5" t="s">
        <v>22</v>
      </c>
      <c r="Q7" s="132">
        <f>'hidden sum calcs'!D13</f>
        <v>273.14999999999998</v>
      </c>
      <c r="R7" s="132">
        <f>'hidden sum calcs'!F13</f>
        <v>273.14999999999998</v>
      </c>
      <c r="S7" s="132">
        <f>'hidden sum calcs'!H13</f>
        <v>273.14999999999998</v>
      </c>
      <c r="T7" s="132">
        <f>'hidden sum calcs'!J13</f>
        <v>273.14999999999998</v>
      </c>
      <c r="U7" s="134"/>
      <c r="W7" s="146"/>
      <c r="X7" s="163" t="s">
        <v>113</v>
      </c>
      <c r="Y7" s="30"/>
      <c r="Z7" s="160">
        <f>IF('TM-21 inputs'!$D$3='hidden sheet 1'!X7, 1, 0)</f>
        <v>0</v>
      </c>
      <c r="AA7" s="134"/>
      <c r="AC7" s="146"/>
      <c r="AD7" s="10" t="str">
        <f t="shared" ref="AD7:AE10" si="0">IF(AF7=0, "", AF7)</f>
        <v/>
      </c>
      <c r="AE7" s="10" t="str">
        <f t="shared" si="0"/>
        <v/>
      </c>
      <c r="AF7" s="9">
        <f>'TM-21 inputs'!$E$26</f>
        <v>0</v>
      </c>
      <c r="AG7" s="9">
        <f>'TM-21 inputs'!$E$30</f>
        <v>0</v>
      </c>
      <c r="AH7" s="30"/>
      <c r="AI7" s="147" t="s">
        <v>83</v>
      </c>
      <c r="AJ7" s="159" t="e">
        <f>'hidden sum calcs'!E7</f>
        <v>#VALUE!</v>
      </c>
      <c r="AK7" s="159">
        <v>0</v>
      </c>
      <c r="AL7" s="134"/>
    </row>
    <row r="8" spans="2:38" x14ac:dyDescent="0.25">
      <c r="B8" s="146"/>
      <c r="C8" s="30"/>
      <c r="D8" s="147" t="s">
        <v>30</v>
      </c>
      <c r="E8" s="159">
        <f>MAX('TM-21 inputs'!L12:L36)</f>
        <v>0</v>
      </c>
      <c r="F8" s="30"/>
      <c r="G8" s="30"/>
      <c r="H8" s="30"/>
      <c r="I8" s="147" t="s">
        <v>30</v>
      </c>
      <c r="J8" s="159">
        <f>MAX('TM-21 inputs'!O12:O36)</f>
        <v>0</v>
      </c>
      <c r="K8" s="30"/>
      <c r="L8" s="30"/>
      <c r="M8" s="134"/>
      <c r="O8" s="146"/>
      <c r="P8" s="5" t="s">
        <v>21</v>
      </c>
      <c r="Q8" s="10">
        <f>'hidden sum calcs'!D14</f>
        <v>0</v>
      </c>
      <c r="R8" s="10">
        <f>'hidden sum calcs'!F14</f>
        <v>0</v>
      </c>
      <c r="S8" s="10">
        <f>'hidden sum calcs'!H14</f>
        <v>0</v>
      </c>
      <c r="T8" s="10">
        <f>'hidden sum calcs'!J14</f>
        <v>0</v>
      </c>
      <c r="U8" s="134"/>
      <c r="W8" s="146"/>
      <c r="X8" s="163" t="s">
        <v>114</v>
      </c>
      <c r="Y8" s="30"/>
      <c r="Z8" s="160">
        <f>IF('TM-21 inputs'!$D$3='hidden sheet 1'!X8, 1, 0)</f>
        <v>0</v>
      </c>
      <c r="AA8" s="134"/>
      <c r="AC8" s="146"/>
      <c r="AD8" s="10" t="str">
        <f t="shared" si="0"/>
        <v/>
      </c>
      <c r="AE8" s="10" t="str">
        <f t="shared" si="0"/>
        <v/>
      </c>
      <c r="AF8" s="9">
        <f>'TM-21 inputs'!$E$27</f>
        <v>0</v>
      </c>
      <c r="AG8" s="9">
        <f>'TM-21 inputs'!$E$31</f>
        <v>0</v>
      </c>
      <c r="AH8" s="30"/>
      <c r="AI8" s="30"/>
      <c r="AJ8" s="159" t="e">
        <f>'hidden sum calcs'!E7</f>
        <v>#VALUE!</v>
      </c>
      <c r="AK8" s="159">
        <v>1</v>
      </c>
      <c r="AL8" s="134"/>
    </row>
    <row r="9" spans="2:38" x14ac:dyDescent="0.25">
      <c r="B9" s="146"/>
      <c r="C9" s="30"/>
      <c r="D9" s="147" t="s">
        <v>57</v>
      </c>
      <c r="E9" s="159">
        <f>COUNTIF('TM-21 inputs'!L12:L36, "&gt;="&amp;E7)</f>
        <v>0</v>
      </c>
      <c r="F9" s="30"/>
      <c r="G9" s="30"/>
      <c r="H9" s="30"/>
      <c r="I9" s="147" t="s">
        <v>58</v>
      </c>
      <c r="J9" s="159">
        <f>COUNTIF('TM-21 inputs'!O12:O36, "&gt;="&amp;J7)</f>
        <v>0</v>
      </c>
      <c r="K9" s="30"/>
      <c r="L9" s="30"/>
      <c r="M9" s="134"/>
      <c r="O9" s="146"/>
      <c r="P9" s="499" t="s">
        <v>23</v>
      </c>
      <c r="Q9" s="500"/>
      <c r="R9" s="500"/>
      <c r="S9" s="500"/>
      <c r="T9" s="501"/>
      <c r="U9" s="134"/>
      <c r="W9" s="146"/>
      <c r="X9" s="163" t="s">
        <v>115</v>
      </c>
      <c r="Y9" s="30"/>
      <c r="Z9" s="160">
        <f>IF('TM-21 inputs'!$D$3='hidden sheet 1'!X9, 1, 0)</f>
        <v>0</v>
      </c>
      <c r="AA9" s="134"/>
      <c r="AC9" s="146"/>
      <c r="AD9" s="10" t="str">
        <f t="shared" si="0"/>
        <v/>
      </c>
      <c r="AE9" s="10" t="str">
        <f>IF(AG9=0, "", AG9)</f>
        <v/>
      </c>
      <c r="AF9" s="9">
        <f>'TM-21 inputs'!$E$28</f>
        <v>0</v>
      </c>
      <c r="AG9" s="9">
        <f>'TM-21 inputs'!$E$32</f>
        <v>0</v>
      </c>
      <c r="AH9" s="30"/>
      <c r="AI9" s="30"/>
      <c r="AJ9" s="214"/>
      <c r="AK9" s="214"/>
      <c r="AL9" s="134"/>
    </row>
    <row r="10" spans="2:38" ht="15.75" thickBot="1" x14ac:dyDescent="0.3">
      <c r="B10" s="146"/>
      <c r="C10" s="30"/>
      <c r="D10" s="147" t="s">
        <v>32</v>
      </c>
      <c r="E10" s="159">
        <f>(E8-E7)/(E9-1)</f>
        <v>0</v>
      </c>
      <c r="F10" s="30"/>
      <c r="G10" s="30"/>
      <c r="H10" s="30"/>
      <c r="I10" s="147" t="s">
        <v>32</v>
      </c>
      <c r="J10" s="159">
        <f>(J8-J7)/(J9-1)</f>
        <v>0</v>
      </c>
      <c r="K10" s="30"/>
      <c r="L10" s="30"/>
      <c r="M10" s="134"/>
      <c r="O10" s="146"/>
      <c r="P10" s="1" t="s">
        <v>24</v>
      </c>
      <c r="Q10" s="16" t="e">
        <f>SLOPE(G16:G29, D16:D29)</f>
        <v>#N/A</v>
      </c>
      <c r="R10" s="16" t="e">
        <f>SLOPE(L16:L29, I16:I29)</f>
        <v>#N/A</v>
      </c>
      <c r="S10" s="16" t="e">
        <f>SLOPE(G44:G55, D44:D55)</f>
        <v>#N/A</v>
      </c>
      <c r="T10" s="16" t="e">
        <f>SLOPE(L44:L55, I44:I55)</f>
        <v>#N/A</v>
      </c>
      <c r="U10" s="134"/>
      <c r="W10" s="137"/>
      <c r="X10" s="138"/>
      <c r="Y10" s="138"/>
      <c r="Z10" s="138"/>
      <c r="AA10" s="135"/>
      <c r="AC10" s="146"/>
      <c r="AD10" s="10" t="str">
        <f t="shared" si="0"/>
        <v/>
      </c>
      <c r="AE10" s="10" t="str">
        <f>IF(AG10=0, "", AG10)</f>
        <v/>
      </c>
      <c r="AF10" s="9">
        <f>'TM-21 inputs'!$E$29</f>
        <v>0</v>
      </c>
      <c r="AG10" s="9">
        <f>'TM-21 inputs'!$E$33</f>
        <v>0</v>
      </c>
      <c r="AH10" s="30"/>
      <c r="AI10" s="30"/>
      <c r="AJ10" s="214"/>
      <c r="AK10" s="214"/>
      <c r="AL10" s="134"/>
    </row>
    <row r="11" spans="2:38" x14ac:dyDescent="0.25">
      <c r="B11" s="146"/>
      <c r="C11" s="30"/>
      <c r="D11" s="30"/>
      <c r="E11" s="148"/>
      <c r="F11" s="30"/>
      <c r="G11" s="30"/>
      <c r="H11" s="30"/>
      <c r="I11" s="30"/>
      <c r="J11" s="148"/>
      <c r="K11" s="30"/>
      <c r="L11" s="30"/>
      <c r="M11" s="134"/>
      <c r="O11" s="146"/>
      <c r="P11" s="6" t="s">
        <v>25</v>
      </c>
      <c r="Q11" s="17" t="e">
        <f>INTERCEPT(G16:G29, D16:D29)</f>
        <v>#N/A</v>
      </c>
      <c r="R11" s="17" t="e">
        <f>INTERCEPT(L16:L29, I16:I29)</f>
        <v>#N/A</v>
      </c>
      <c r="S11" s="17" t="e">
        <f>INTERCEPT(G44:G55, D44:D55)</f>
        <v>#N/A</v>
      </c>
      <c r="T11" s="17" t="e">
        <f>INTERCEPT(L44:L55, I44:I55)</f>
        <v>#N/A</v>
      </c>
      <c r="U11" s="134"/>
      <c r="AC11" s="146"/>
      <c r="AD11" s="30"/>
      <c r="AE11" s="30"/>
      <c r="AF11" s="30"/>
      <c r="AG11" s="30"/>
      <c r="AH11" s="30"/>
      <c r="AI11" s="30"/>
      <c r="AJ11" s="214"/>
      <c r="AK11" s="214"/>
      <c r="AL11" s="134"/>
    </row>
    <row r="12" spans="2:38" ht="15.75" thickBot="1" x14ac:dyDescent="0.3">
      <c r="B12" s="146"/>
      <c r="C12" s="30"/>
      <c r="D12" s="503" t="s">
        <v>55</v>
      </c>
      <c r="E12" s="504"/>
      <c r="F12" s="12">
        <f>'TM-21 inputs'!M6</f>
        <v>0</v>
      </c>
      <c r="G12" s="142"/>
      <c r="H12" s="30"/>
      <c r="I12" s="503" t="s">
        <v>55</v>
      </c>
      <c r="J12" s="504"/>
      <c r="K12" s="12">
        <f>'TM-21 inputs'!P6</f>
        <v>0</v>
      </c>
      <c r="L12" s="142"/>
      <c r="M12" s="151"/>
      <c r="O12" s="146"/>
      <c r="P12" s="1" t="s">
        <v>26</v>
      </c>
      <c r="Q12" s="16" t="e">
        <f t="shared" ref="Q12:T12" si="1">IF(-Q10&gt;0.000002, -Q10, 0.000002)</f>
        <v>#N/A</v>
      </c>
      <c r="R12" s="16" t="e">
        <f>IF(-R10&gt;0.000002, -R10, 0.000002)</f>
        <v>#N/A</v>
      </c>
      <c r="S12" s="16" t="e">
        <f>IF(-S10&gt;0.000002, -S10, 0.000002)</f>
        <v>#N/A</v>
      </c>
      <c r="T12" s="16" t="e">
        <f t="shared" si="1"/>
        <v>#N/A</v>
      </c>
      <c r="U12" s="134"/>
      <c r="AC12" s="146"/>
      <c r="AD12" s="30" t="s">
        <v>71</v>
      </c>
      <c r="AE12" s="30"/>
      <c r="AF12" s="30"/>
      <c r="AG12" s="30"/>
      <c r="AH12" s="30"/>
      <c r="AI12" s="147" t="s">
        <v>84</v>
      </c>
      <c r="AJ12" s="161" t="s">
        <v>78</v>
      </c>
      <c r="AK12" s="161" t="s">
        <v>85</v>
      </c>
      <c r="AL12" s="134"/>
    </row>
    <row r="13" spans="2:38" x14ac:dyDescent="0.25">
      <c r="B13" s="146"/>
      <c r="C13" s="149"/>
      <c r="D13" s="503" t="s">
        <v>56</v>
      </c>
      <c r="E13" s="504"/>
      <c r="F13" s="12">
        <f>'TM-21 inputs'!M7</f>
        <v>0</v>
      </c>
      <c r="G13" s="142"/>
      <c r="H13" s="30"/>
      <c r="I13" s="503" t="s">
        <v>56</v>
      </c>
      <c r="J13" s="504"/>
      <c r="K13" s="12">
        <f>'TM-21 inputs'!P7</f>
        <v>0</v>
      </c>
      <c r="L13" s="142"/>
      <c r="M13" s="151"/>
      <c r="O13" s="146"/>
      <c r="P13" s="6" t="s">
        <v>13</v>
      </c>
      <c r="Q13" s="15" t="e">
        <f t="shared" ref="Q13:T13" si="2">EXP(Q11)</f>
        <v>#N/A</v>
      </c>
      <c r="R13" s="15" t="e">
        <f>EXP(R11)</f>
        <v>#N/A</v>
      </c>
      <c r="S13" s="15" t="e">
        <f>EXP(S11)</f>
        <v>#N/A</v>
      </c>
      <c r="T13" s="15" t="e">
        <f t="shared" si="2"/>
        <v>#N/A</v>
      </c>
      <c r="U13" s="134"/>
      <c r="W13" s="144"/>
      <c r="X13" s="145"/>
      <c r="Y13" s="145"/>
      <c r="Z13" s="133"/>
      <c r="AC13" s="146"/>
      <c r="AD13" s="11" t="s">
        <v>21</v>
      </c>
      <c r="AE13" s="11" t="s">
        <v>61</v>
      </c>
      <c r="AF13" s="30"/>
      <c r="AG13" s="30"/>
      <c r="AH13" s="30"/>
      <c r="AI13" s="30"/>
      <c r="AJ13" s="159">
        <v>0</v>
      </c>
      <c r="AK13" s="159">
        <f>'TM-21 inputs'!E22/100</f>
        <v>0</v>
      </c>
      <c r="AL13" s="134"/>
    </row>
    <row r="14" spans="2:38" ht="15" customHeight="1" x14ac:dyDescent="0.25">
      <c r="B14" s="146"/>
      <c r="C14" s="509" t="s">
        <v>59</v>
      </c>
      <c r="D14" s="507" t="s">
        <v>17</v>
      </c>
      <c r="E14" s="506" t="s">
        <v>27</v>
      </c>
      <c r="F14" s="506"/>
      <c r="G14" s="506" t="s">
        <v>62</v>
      </c>
      <c r="H14" s="509" t="s">
        <v>59</v>
      </c>
      <c r="I14" s="507" t="s">
        <v>17</v>
      </c>
      <c r="J14" s="506" t="s">
        <v>27</v>
      </c>
      <c r="K14" s="506"/>
      <c r="L14" s="506" t="s">
        <v>62</v>
      </c>
      <c r="M14" s="152"/>
      <c r="O14" s="146"/>
      <c r="P14" s="30"/>
      <c r="Q14" s="30"/>
      <c r="R14" s="30"/>
      <c r="S14" s="30"/>
      <c r="T14" s="30"/>
      <c r="U14" s="134"/>
      <c r="W14" s="146"/>
      <c r="X14" s="30" t="s">
        <v>156</v>
      </c>
      <c r="Y14" s="30"/>
      <c r="Z14" s="134"/>
      <c r="AC14" s="146"/>
      <c r="AD14" s="10">
        <f>'TM-21 inputs'!$E$20</f>
        <v>0</v>
      </c>
      <c r="AE14" s="10">
        <f>'TM-21 inputs'!$E$21</f>
        <v>0</v>
      </c>
      <c r="AF14" s="30"/>
      <c r="AG14" s="30"/>
      <c r="AH14" s="30"/>
      <c r="AI14" s="30"/>
      <c r="AJ14" s="159" t="e">
        <f>Visualisations!J51</f>
        <v>#VALUE!</v>
      </c>
      <c r="AK14" s="159">
        <f>'TM-21 inputs'!E22/100</f>
        <v>0</v>
      </c>
      <c r="AL14" s="134"/>
    </row>
    <row r="15" spans="2:38" ht="15.75" thickBot="1" x14ac:dyDescent="0.3">
      <c r="B15" s="146"/>
      <c r="C15" s="509"/>
      <c r="D15" s="508"/>
      <c r="E15" s="506"/>
      <c r="F15" s="506"/>
      <c r="G15" s="506"/>
      <c r="H15" s="509"/>
      <c r="I15" s="508"/>
      <c r="J15" s="506"/>
      <c r="K15" s="506"/>
      <c r="L15" s="506"/>
      <c r="M15" s="152"/>
      <c r="O15" s="137"/>
      <c r="P15" s="138"/>
      <c r="Q15" s="138"/>
      <c r="R15" s="138"/>
      <c r="S15" s="138"/>
      <c r="T15" s="138"/>
      <c r="U15" s="135"/>
      <c r="W15" s="146"/>
      <c r="X15" s="30"/>
      <c r="Y15" s="30"/>
      <c r="Z15" s="134"/>
      <c r="AC15" s="146"/>
      <c r="AD15" s="30"/>
      <c r="AE15" s="30"/>
      <c r="AF15" s="30"/>
      <c r="AG15" s="30"/>
      <c r="AH15" s="30"/>
      <c r="AI15" s="30"/>
      <c r="AJ15" s="30"/>
      <c r="AK15" s="30"/>
      <c r="AL15" s="134"/>
    </row>
    <row r="16" spans="2:38" x14ac:dyDescent="0.25">
      <c r="B16" s="146"/>
      <c r="C16" s="150">
        <f>E7</f>
        <v>0</v>
      </c>
      <c r="D16" s="13" t="e">
        <f>IF($C16="", "", INDEX('TM-21 inputs'!L$12:L$36, MATCH(($C16+48), 'TM-21 inputs'!$L$12:$L$36, 1)))</f>
        <v>#N/A</v>
      </c>
      <c r="E16" s="13" t="e">
        <f>IF($C16="", "", INDEX('TM-21 inputs'!M$12:M$36, MATCH(($C16+48), 'TM-21 inputs'!$L$12:$L$36, 1)))</f>
        <v>#N/A</v>
      </c>
      <c r="F16" s="227"/>
      <c r="G16" s="130" t="e">
        <f>IF(E16="", "", LN(E16))</f>
        <v>#N/A</v>
      </c>
      <c r="H16" s="150">
        <f>J7</f>
        <v>0</v>
      </c>
      <c r="I16" s="13" t="e">
        <f>IF($H16="", "", INDEX('TM-21 inputs'!O$12:O$36, MATCH(($H16+48), 'TM-21 inputs'!$O$12:$O$36,1)))</f>
        <v>#N/A</v>
      </c>
      <c r="J16" s="13" t="e">
        <f>IF($H16="", "", INDEX('TM-21 inputs'!P$12:P$36, MATCH(($H16+48), 'TM-21 inputs'!$O$12:$O$36,1)))</f>
        <v>#N/A</v>
      </c>
      <c r="K16" s="227"/>
      <c r="L16" s="130" t="e">
        <f>IF(J16="", "", LN(J16))</f>
        <v>#N/A</v>
      </c>
      <c r="M16" s="153"/>
      <c r="W16" s="146"/>
      <c r="X16" s="219" t="s">
        <v>149</v>
      </c>
      <c r="Y16" s="219">
        <f>IF(Z7+Z6=1, 0, 1)</f>
        <v>0</v>
      </c>
      <c r="Z16" s="134"/>
      <c r="AC16" s="146"/>
      <c r="AD16" s="30" t="s">
        <v>72</v>
      </c>
      <c r="AE16" s="30"/>
      <c r="AF16" s="510" t="s">
        <v>119</v>
      </c>
      <c r="AG16" s="510"/>
      <c r="AH16" s="510" t="s">
        <v>118</v>
      </c>
      <c r="AI16" s="510"/>
      <c r="AJ16" s="510" t="s">
        <v>120</v>
      </c>
      <c r="AK16" s="510"/>
      <c r="AL16" s="134"/>
    </row>
    <row r="17" spans="2:38" x14ac:dyDescent="0.25">
      <c r="B17" s="146"/>
      <c r="C17" s="150" t="str">
        <f>IF(C16=0, "", IF((C16+$E$10)&lt;=$E$8, (C16+$E$10), ""))</f>
        <v/>
      </c>
      <c r="D17" s="226" t="str">
        <f>IF($C17="", "", INDEX('TM-21 inputs'!L$12:L$36, MATCH(($C17+48), 'TM-21 inputs'!$L$12:$L$36, 1)))</f>
        <v/>
      </c>
      <c r="E17" s="226" t="str">
        <f>IF($C17="", "", INDEX('TM-21 inputs'!M$12:M$36, MATCH(($C17+48), 'TM-21 inputs'!$L$12:$L$36, 1)))</f>
        <v/>
      </c>
      <c r="F17" s="227"/>
      <c r="G17" s="129" t="str">
        <f t="shared" ref="G17:G29" si="3">IF(E17="", "", LN(E17))</f>
        <v/>
      </c>
      <c r="H17" s="150" t="str">
        <f>IF(H16=0, "", IF((H16+$J$10)&lt;=$J$8, (H16+$J$10), ""))</f>
        <v/>
      </c>
      <c r="I17" s="226" t="str">
        <f>IF($H17="", "", INDEX('TM-21 inputs'!O$12:O$36, MATCH(($H17+48), 'TM-21 inputs'!$O$12:$O$36,1)))</f>
        <v/>
      </c>
      <c r="J17" s="226" t="str">
        <f>IF($H17="", "", INDEX('TM-21 inputs'!P$12:P$36, MATCH(($H17+48), 'TM-21 inputs'!$O$12:$O$36,1)))</f>
        <v/>
      </c>
      <c r="K17" s="227"/>
      <c r="L17" s="129" t="str">
        <f t="shared" ref="L17:L29" si="4">IF(J17="", "", LN(J17))</f>
        <v/>
      </c>
      <c r="M17" s="153"/>
      <c r="W17" s="146"/>
      <c r="X17" s="219" t="s">
        <v>150</v>
      </c>
      <c r="Y17" s="219">
        <f>IF('TM-21 inputs'!E19&lt;=0.6, 1, 0)</f>
        <v>1</v>
      </c>
      <c r="Z17" s="134"/>
      <c r="AC17" s="146"/>
      <c r="AD17" s="11" t="s">
        <v>21</v>
      </c>
      <c r="AE17" s="11" t="s">
        <v>61</v>
      </c>
      <c r="AF17" s="131" t="s">
        <v>121</v>
      </c>
      <c r="AG17" s="131" t="s">
        <v>122</v>
      </c>
      <c r="AH17" s="131" t="s">
        <v>121</v>
      </c>
      <c r="AI17" s="131" t="s">
        <v>122</v>
      </c>
      <c r="AJ17" s="131" t="s">
        <v>121</v>
      </c>
      <c r="AK17" s="131" t="s">
        <v>122</v>
      </c>
      <c r="AL17" s="134"/>
    </row>
    <row r="18" spans="2:38" x14ac:dyDescent="0.25">
      <c r="B18" s="146"/>
      <c r="C18" s="150" t="str">
        <f t="shared" ref="C18:C29" si="5">IF(C17="", "", IF((C17+$E$10)&lt;=$E$8, (C17+$E$10), ""))</f>
        <v/>
      </c>
      <c r="D18" s="13" t="str">
        <f>IF($C18="", "", INDEX('TM-21 inputs'!L$12:L$36, MATCH(($C18+48), 'TM-21 inputs'!$L$12:$L$36, 1)))</f>
        <v/>
      </c>
      <c r="E18" s="13" t="str">
        <f>IF($C18="", "", INDEX('TM-21 inputs'!M$12:M$36, MATCH(($C18+48), 'TM-21 inputs'!$L$12:$L$36, 1)))</f>
        <v/>
      </c>
      <c r="F18" s="227"/>
      <c r="G18" s="130" t="str">
        <f t="shared" si="3"/>
        <v/>
      </c>
      <c r="H18" s="150" t="str">
        <f t="shared" ref="H18:H29" si="6">IF(H17="", "", IF((H17+$J$10)&lt;=$J$8, (H17+$J$10), ""))</f>
        <v/>
      </c>
      <c r="I18" s="13" t="str">
        <f>IF($H18="", "", INDEX('TM-21 inputs'!O$12:O$36, MATCH(($H18+48), 'TM-21 inputs'!$O$12:$O$36,1)))</f>
        <v/>
      </c>
      <c r="J18" s="13" t="str">
        <f>IF($H18="", "", INDEX('TM-21 inputs'!P$12:P$36, MATCH(($H18+48), 'TM-21 inputs'!$O$12:$O$36,1)))</f>
        <v/>
      </c>
      <c r="K18" s="227"/>
      <c r="L18" s="130" t="str">
        <f t="shared" si="4"/>
        <v/>
      </c>
      <c r="M18" s="153"/>
      <c r="W18" s="146"/>
      <c r="X18" s="220" t="s">
        <v>151</v>
      </c>
      <c r="Y18" s="219">
        <f>IF(Z8=1, 'hidden sum calcs'!U16, 'hidden sum calcs'!AJ2)</f>
        <v>0</v>
      </c>
      <c r="Z18" s="134"/>
      <c r="AC18" s="146"/>
      <c r="AD18" s="10">
        <f>IF($Z$7=1, AF18, IF($Z$8=1, AH18, IF($Z$9=1, AJ18, 0)))</f>
        <v>0</v>
      </c>
      <c r="AE18" s="10">
        <f t="shared" ref="AD18:AE22" si="7">IF($Z$7=1, AG18, IF($Z$8=1, AI18, IF($Z$9=1, AK18, 0)))</f>
        <v>0</v>
      </c>
      <c r="AF18" s="213">
        <v>0</v>
      </c>
      <c r="AG18" s="213">
        <f>MIN(AE7:AE10)</f>
        <v>0</v>
      </c>
      <c r="AH18" s="213">
        <f>MIN(AD7:AD10)</f>
        <v>0</v>
      </c>
      <c r="AI18" s="213">
        <v>0</v>
      </c>
      <c r="AJ18" s="213">
        <f>MIN($AD$7:$AD$10)</f>
        <v>0</v>
      </c>
      <c r="AK18" s="213">
        <f>MIN($AE$7:$AE$10)</f>
        <v>0</v>
      </c>
      <c r="AL18" s="134"/>
    </row>
    <row r="19" spans="2:38" x14ac:dyDescent="0.25">
      <c r="B19" s="146"/>
      <c r="C19" s="150" t="str">
        <f t="shared" si="5"/>
        <v/>
      </c>
      <c r="D19" s="226" t="str">
        <f>IF($C19="", "", INDEX('TM-21 inputs'!L$12:L$36, MATCH(($C19+48), 'TM-21 inputs'!$L$12:$L$36, 1)))</f>
        <v/>
      </c>
      <c r="E19" s="226" t="str">
        <f>IF($C19="", "", INDEX('TM-21 inputs'!M$12:M$36, MATCH(($C19+48), 'TM-21 inputs'!$L$12:$L$36, 1)))</f>
        <v/>
      </c>
      <c r="F19" s="227"/>
      <c r="G19" s="129" t="str">
        <f t="shared" si="3"/>
        <v/>
      </c>
      <c r="H19" s="150" t="str">
        <f t="shared" si="6"/>
        <v/>
      </c>
      <c r="I19" s="226" t="str">
        <f>IF($H19="", "", INDEX('TM-21 inputs'!O$12:O$36, MATCH(($H19+48), 'TM-21 inputs'!$O$12:$O$36,1)))</f>
        <v/>
      </c>
      <c r="J19" s="226" t="str">
        <f>IF($H19="", "", INDEX('TM-21 inputs'!P$12:P$36, MATCH(($H19+48), 'TM-21 inputs'!$O$12:$O$36,1)))</f>
        <v/>
      </c>
      <c r="K19" s="227"/>
      <c r="L19" s="129" t="str">
        <f t="shared" si="4"/>
        <v/>
      </c>
      <c r="M19" s="153"/>
      <c r="W19" s="146"/>
      <c r="X19" s="220" t="s">
        <v>152</v>
      </c>
      <c r="Y19" s="219">
        <f>IF(Z8=1, 'hidden sum calcs'!V16, 'hidden sum calcs'!AJ3)</f>
        <v>0</v>
      </c>
      <c r="Z19" s="134"/>
      <c r="AC19" s="146"/>
      <c r="AD19" s="10">
        <f t="shared" si="7"/>
        <v>0</v>
      </c>
      <c r="AE19" s="10">
        <f t="shared" si="7"/>
        <v>0</v>
      </c>
      <c r="AF19" s="213">
        <v>0</v>
      </c>
      <c r="AG19" s="213">
        <f>MAX(AE7:AE10)</f>
        <v>0</v>
      </c>
      <c r="AH19" s="213">
        <f>MIN(AD7:AD10)</f>
        <v>0</v>
      </c>
      <c r="AI19" s="213">
        <f>MAX(AE7:AE10)</f>
        <v>0</v>
      </c>
      <c r="AJ19" s="213">
        <f>MAX($AD$7:$AD$10)</f>
        <v>0</v>
      </c>
      <c r="AK19" s="213">
        <f>MIN($AE$7:$AE$10)</f>
        <v>0</v>
      </c>
      <c r="AL19" s="134"/>
    </row>
    <row r="20" spans="2:38" x14ac:dyDescent="0.25">
      <c r="B20" s="146"/>
      <c r="C20" s="150" t="str">
        <f t="shared" si="5"/>
        <v/>
      </c>
      <c r="D20" s="13" t="str">
        <f>IF($C20="", "", INDEX('TM-21 inputs'!L$12:L$36, MATCH(($C20+48), 'TM-21 inputs'!$L$12:$L$36, 1)))</f>
        <v/>
      </c>
      <c r="E20" s="13" t="str">
        <f>IF($C20="", "", INDEX('TM-21 inputs'!M$12:M$36, MATCH(($C20+48), 'TM-21 inputs'!$L$12:$L$36, 1)))</f>
        <v/>
      </c>
      <c r="F20" s="227"/>
      <c r="G20" s="130" t="str">
        <f t="shared" si="3"/>
        <v/>
      </c>
      <c r="H20" s="150" t="str">
        <f t="shared" si="6"/>
        <v/>
      </c>
      <c r="I20" s="13" t="str">
        <f>IF($H20="", "", INDEX('TM-21 inputs'!O$12:O$36, MATCH(($H20+48), 'TM-21 inputs'!$O$12:$O$36,1)))</f>
        <v/>
      </c>
      <c r="J20" s="13" t="str">
        <f>IF($H20="", "", INDEX('TM-21 inputs'!P$12:P$36, MATCH(($H20+48), 'TM-21 inputs'!$O$12:$O$36,1)))</f>
        <v/>
      </c>
      <c r="K20" s="227"/>
      <c r="L20" s="130" t="str">
        <f t="shared" si="4"/>
        <v/>
      </c>
      <c r="M20" s="153"/>
      <c r="W20" s="146"/>
      <c r="X20" s="220" t="s">
        <v>155</v>
      </c>
      <c r="Y20" s="219">
        <f>IF(Y18=0, 0, Y19/Y18)</f>
        <v>0</v>
      </c>
      <c r="Z20" s="134"/>
      <c r="AC20" s="146"/>
      <c r="AD20" s="10">
        <f t="shared" si="7"/>
        <v>0</v>
      </c>
      <c r="AE20" s="10">
        <f t="shared" si="7"/>
        <v>0</v>
      </c>
      <c r="AF20" s="213">
        <f>MAX(AD7:AD10)</f>
        <v>0</v>
      </c>
      <c r="AG20" s="213">
        <f>MAX(AE7:AE10)</f>
        <v>0</v>
      </c>
      <c r="AH20" s="213">
        <f>MAX(AD7:AD11)</f>
        <v>0</v>
      </c>
      <c r="AI20" s="213">
        <f>MAX(AE7:AE10)</f>
        <v>0</v>
      </c>
      <c r="AJ20" s="213">
        <f>MAX($AD$7:$AD$10)</f>
        <v>0</v>
      </c>
      <c r="AK20" s="213">
        <f>MAX($AE$7:$AE$10)</f>
        <v>0</v>
      </c>
      <c r="AL20" s="134"/>
    </row>
    <row r="21" spans="2:38" x14ac:dyDescent="0.25">
      <c r="B21" s="146"/>
      <c r="C21" s="150" t="str">
        <f t="shared" si="5"/>
        <v/>
      </c>
      <c r="D21" s="226" t="str">
        <f>IF($C21="", "", INDEX('TM-21 inputs'!L$12:L$36, MATCH(($C21+48), 'TM-21 inputs'!$L$12:$L$36, 1)))</f>
        <v/>
      </c>
      <c r="E21" s="226" t="str">
        <f>IF($C21="", "", INDEX('TM-21 inputs'!M$12:M$36, MATCH(($C21+48), 'TM-21 inputs'!$L$12:$L$36, 1)))</f>
        <v/>
      </c>
      <c r="F21" s="227"/>
      <c r="G21" s="129" t="str">
        <f t="shared" si="3"/>
        <v/>
      </c>
      <c r="H21" s="150" t="str">
        <f t="shared" si="6"/>
        <v/>
      </c>
      <c r="I21" s="226" t="str">
        <f>IF($H21="", "", INDEX('TM-21 inputs'!O$12:O$36, MATCH(($H21+48), 'TM-21 inputs'!$O$12:$O$36,1)))</f>
        <v/>
      </c>
      <c r="J21" s="226" t="str">
        <f>IF($H21="", "", INDEX('TM-21 inputs'!P$12:P$36, MATCH(($H21+48), 'TM-21 inputs'!$O$12:$O$36,1)))</f>
        <v/>
      </c>
      <c r="K21" s="227"/>
      <c r="L21" s="129" t="str">
        <f t="shared" si="4"/>
        <v/>
      </c>
      <c r="M21" s="153"/>
      <c r="W21" s="146"/>
      <c r="X21" s="219" t="s">
        <v>154</v>
      </c>
      <c r="Y21" s="219">
        <f>IF(Y20&gt;1.5, 1, 0)</f>
        <v>0</v>
      </c>
      <c r="Z21" s="134"/>
      <c r="AC21" s="146"/>
      <c r="AD21" s="10">
        <f t="shared" si="7"/>
        <v>0</v>
      </c>
      <c r="AE21" s="10">
        <f t="shared" si="7"/>
        <v>0</v>
      </c>
      <c r="AF21" s="213">
        <f>MAX(AD7:AD10)</f>
        <v>0</v>
      </c>
      <c r="AG21" s="213">
        <f>MIN(AE7:AE10)</f>
        <v>0</v>
      </c>
      <c r="AH21" s="213">
        <f>MAX(AD7:AD10)</f>
        <v>0</v>
      </c>
      <c r="AI21" s="213">
        <v>0</v>
      </c>
      <c r="AJ21" s="213">
        <f>MIN($AD$7:$AD$10)</f>
        <v>0</v>
      </c>
      <c r="AK21" s="213">
        <f>MAX($AE$7:$AE$10)</f>
        <v>0</v>
      </c>
      <c r="AL21" s="134"/>
    </row>
    <row r="22" spans="2:38" x14ac:dyDescent="0.25">
      <c r="B22" s="146"/>
      <c r="C22" s="150" t="str">
        <f t="shared" si="5"/>
        <v/>
      </c>
      <c r="D22" s="13" t="str">
        <f>IF($C22="", "", INDEX('TM-21 inputs'!L$12:L$36, MATCH(($C22+48), 'TM-21 inputs'!$L$12:$L$36, 1)))</f>
        <v/>
      </c>
      <c r="E22" s="13" t="str">
        <f>IF($C22="", "", INDEX('TM-21 inputs'!M$12:M$36, MATCH(($C22+48), 'TM-21 inputs'!$L$12:$L$36, 1)))</f>
        <v/>
      </c>
      <c r="F22" s="227"/>
      <c r="G22" s="130" t="str">
        <f t="shared" si="3"/>
        <v/>
      </c>
      <c r="H22" s="150" t="str">
        <f t="shared" si="6"/>
        <v/>
      </c>
      <c r="I22" s="13" t="str">
        <f>IF($H22="", "", INDEX('TM-21 inputs'!O$12:O$36, MATCH(($H22+48), 'TM-21 inputs'!$O$12:$O$36,1)))</f>
        <v/>
      </c>
      <c r="J22" s="13" t="str">
        <f>IF($H22="", "", INDEX('TM-21 inputs'!P$12:P$36, MATCH(($H22+48), 'TM-21 inputs'!$O$12:$O$36,1)))</f>
        <v/>
      </c>
      <c r="K22" s="227"/>
      <c r="L22" s="130" t="str">
        <f t="shared" si="4"/>
        <v/>
      </c>
      <c r="M22" s="153"/>
      <c r="W22" s="146"/>
      <c r="X22" s="219" t="s">
        <v>153</v>
      </c>
      <c r="Y22" s="219">
        <f>IF(Y20&gt;2, 1, 0)</f>
        <v>0</v>
      </c>
      <c r="Z22" s="134"/>
      <c r="AC22" s="146"/>
      <c r="AD22" s="10">
        <f t="shared" si="7"/>
        <v>0</v>
      </c>
      <c r="AE22" s="10">
        <f t="shared" si="7"/>
        <v>0</v>
      </c>
      <c r="AF22" s="213">
        <v>0</v>
      </c>
      <c r="AG22" s="213">
        <f>MIN(AE7:AE10)</f>
        <v>0</v>
      </c>
      <c r="AH22" s="213">
        <f>MIN(AD7:AD10)</f>
        <v>0</v>
      </c>
      <c r="AI22" s="213">
        <v>0</v>
      </c>
      <c r="AJ22" s="213">
        <f>MIN($AD$7:$AD$10)</f>
        <v>0</v>
      </c>
      <c r="AK22" s="213">
        <f>MIN($AE$7:$AE$10)</f>
        <v>0</v>
      </c>
      <c r="AL22" s="134"/>
    </row>
    <row r="23" spans="2:38" x14ac:dyDescent="0.25">
      <c r="B23" s="146"/>
      <c r="C23" s="150" t="str">
        <f t="shared" si="5"/>
        <v/>
      </c>
      <c r="D23" s="226" t="str">
        <f>IF($C23="", "", INDEX('TM-21 inputs'!L$12:L$36, MATCH(($C23+48), 'TM-21 inputs'!$L$12:$L$36, 1)))</f>
        <v/>
      </c>
      <c r="E23" s="226" t="str">
        <f>IF($C23="", "", INDEX('TM-21 inputs'!M$12:M$36, MATCH(($C23+48), 'TM-21 inputs'!$L$12:$L$36, 1)))</f>
        <v/>
      </c>
      <c r="F23" s="227"/>
      <c r="G23" s="129" t="str">
        <f t="shared" si="3"/>
        <v/>
      </c>
      <c r="H23" s="150" t="str">
        <f t="shared" si="6"/>
        <v/>
      </c>
      <c r="I23" s="226" t="str">
        <f>IF($H23="", "", INDEX('TM-21 inputs'!O$12:O$36, MATCH(($H23+48), 'TM-21 inputs'!$O$12:$O$36,1)))</f>
        <v/>
      </c>
      <c r="J23" s="226" t="str">
        <f>IF($H23="", "", INDEX('TM-21 inputs'!P$12:P$36, MATCH(($H23+48), 'TM-21 inputs'!$O$12:$O$36,1)))</f>
        <v/>
      </c>
      <c r="K23" s="227"/>
      <c r="L23" s="129" t="str">
        <f t="shared" si="4"/>
        <v/>
      </c>
      <c r="M23" s="153"/>
      <c r="W23" s="146"/>
      <c r="X23" s="30"/>
      <c r="Y23" s="30"/>
      <c r="Z23" s="134"/>
      <c r="AC23" s="146"/>
      <c r="AD23" s="215"/>
      <c r="AE23" s="215"/>
      <c r="AF23" s="30"/>
      <c r="AG23" s="30"/>
      <c r="AH23" s="215"/>
      <c r="AI23" s="30"/>
      <c r="AJ23" s="215"/>
      <c r="AK23" s="30"/>
      <c r="AL23" s="134"/>
    </row>
    <row r="24" spans="2:38" x14ac:dyDescent="0.25">
      <c r="B24" s="146"/>
      <c r="C24" s="150" t="str">
        <f t="shared" si="5"/>
        <v/>
      </c>
      <c r="D24" s="13" t="str">
        <f>IF($C24="", "", INDEX('TM-21 inputs'!L$12:L$36, MATCH(($C24+48), 'TM-21 inputs'!$L$12:$L$36, 1)))</f>
        <v/>
      </c>
      <c r="E24" s="13" t="str">
        <f>IF($C24="", "", INDEX('TM-21 inputs'!M$12:M$36, MATCH(($C24+48), 'TM-21 inputs'!$L$12:$L$36, 1)))</f>
        <v/>
      </c>
      <c r="F24" s="227"/>
      <c r="G24" s="130" t="str">
        <f t="shared" si="3"/>
        <v/>
      </c>
      <c r="H24" s="150" t="str">
        <f t="shared" si="6"/>
        <v/>
      </c>
      <c r="I24" s="13" t="str">
        <f>IF($H24="", "", INDEX('TM-21 inputs'!O$12:O$36, MATCH(($H24+48), 'TM-21 inputs'!$O$12:$O$36,1)))</f>
        <v/>
      </c>
      <c r="J24" s="13" t="str">
        <f>IF($H24="", "", INDEX('TM-21 inputs'!P$12:P$36, MATCH(($H24+48), 'TM-21 inputs'!$O$12:$O$36,1)))</f>
        <v/>
      </c>
      <c r="K24" s="227"/>
      <c r="L24" s="130" t="str">
        <f t="shared" si="4"/>
        <v/>
      </c>
      <c r="M24" s="153"/>
      <c r="W24" s="146"/>
      <c r="X24" s="219" t="s">
        <v>157</v>
      </c>
      <c r="Y24" s="219">
        <f>IF(OR(Y16+Y17+Y21=3, Y16+Y22=2), 1, 0)</f>
        <v>0</v>
      </c>
      <c r="Z24" s="134"/>
      <c r="AC24" s="146"/>
      <c r="AD24" s="30"/>
      <c r="AE24" s="30"/>
      <c r="AF24" s="30"/>
      <c r="AG24" s="30"/>
      <c r="AH24" s="30"/>
      <c r="AI24" s="30"/>
      <c r="AJ24" s="30"/>
      <c r="AK24" s="30"/>
      <c r="AL24" s="134"/>
    </row>
    <row r="25" spans="2:38" ht="15.75" thickBot="1" x14ac:dyDescent="0.3">
      <c r="B25" s="146"/>
      <c r="C25" s="150" t="str">
        <f t="shared" si="5"/>
        <v/>
      </c>
      <c r="D25" s="226" t="str">
        <f>IF($C25="", "", INDEX('TM-21 inputs'!L$12:L$36, MATCH(($C25+48), 'TM-21 inputs'!$L$12:$L$36, 1)))</f>
        <v/>
      </c>
      <c r="E25" s="226" t="str">
        <f>IF($C25="", "", INDEX('TM-21 inputs'!M$12:M$36, MATCH(($C25+48), 'TM-21 inputs'!$L$12:$L$36, 1)))</f>
        <v/>
      </c>
      <c r="F25" s="227"/>
      <c r="G25" s="129" t="str">
        <f t="shared" si="3"/>
        <v/>
      </c>
      <c r="H25" s="150" t="str">
        <f t="shared" si="6"/>
        <v/>
      </c>
      <c r="I25" s="226" t="str">
        <f>IF($H25="", "", INDEX('TM-21 inputs'!O$12:O$36, MATCH(($H25+48), 'TM-21 inputs'!$O$12:$O$36,1)))</f>
        <v/>
      </c>
      <c r="J25" s="226" t="str">
        <f>IF($H25="", "", INDEX('TM-21 inputs'!P$12:P$36, MATCH(($H25+48), 'TM-21 inputs'!$O$12:$O$36,1)))</f>
        <v/>
      </c>
      <c r="K25" s="227"/>
      <c r="L25" s="129" t="str">
        <f t="shared" si="4"/>
        <v/>
      </c>
      <c r="M25" s="153"/>
      <c r="N25" s="8"/>
      <c r="O25" s="8"/>
      <c r="W25" s="137"/>
      <c r="X25" s="138"/>
      <c r="Y25" s="138"/>
      <c r="Z25" s="135"/>
      <c r="AC25" s="146"/>
      <c r="AD25" s="30" t="s">
        <v>145</v>
      </c>
      <c r="AE25" s="30"/>
      <c r="AF25" s="30"/>
      <c r="AG25" s="30"/>
      <c r="AH25" s="30"/>
      <c r="AI25" s="30"/>
      <c r="AJ25" s="30"/>
      <c r="AK25" s="30"/>
      <c r="AL25" s="134"/>
    </row>
    <row r="26" spans="2:38" x14ac:dyDescent="0.25">
      <c r="B26" s="146"/>
      <c r="C26" s="150" t="str">
        <f t="shared" si="5"/>
        <v/>
      </c>
      <c r="D26" s="13" t="str">
        <f>IF($C26="", "", INDEX('TM-21 inputs'!L$12:L$36, MATCH(($C26+48), 'TM-21 inputs'!$L$12:$L$36, 1)))</f>
        <v/>
      </c>
      <c r="E26" s="13" t="str">
        <f>IF($C26="", "", INDEX('TM-21 inputs'!M$12:M$36, MATCH(($C26+48), 'TM-21 inputs'!$L$12:$L$36, 1)))</f>
        <v/>
      </c>
      <c r="F26" s="227"/>
      <c r="G26" s="130" t="str">
        <f t="shared" si="3"/>
        <v/>
      </c>
      <c r="H26" s="150" t="str">
        <f t="shared" si="6"/>
        <v/>
      </c>
      <c r="I26" s="13" t="str">
        <f>IF($H26="", "", INDEX('TM-21 inputs'!O$12:O$36, MATCH(($H26+48), 'TM-21 inputs'!$O$12:$O$36,1)))</f>
        <v/>
      </c>
      <c r="J26" s="13" t="str">
        <f>IF($H26="", "", INDEX('TM-21 inputs'!P$12:P$36, MATCH(($H26+48), 'TM-21 inputs'!$O$12:$O$36,1)))</f>
        <v/>
      </c>
      <c r="K26" s="227"/>
      <c r="L26" s="130" t="str">
        <f t="shared" si="4"/>
        <v/>
      </c>
      <c r="M26" s="153"/>
      <c r="AC26" s="146"/>
      <c r="AD26" s="11" t="s">
        <v>21</v>
      </c>
      <c r="AE26" s="11" t="s">
        <v>61</v>
      </c>
      <c r="AF26" s="30" t="s">
        <v>126</v>
      </c>
      <c r="AG26" s="30"/>
      <c r="AH26" s="30"/>
      <c r="AI26" s="30"/>
      <c r="AJ26" s="30"/>
      <c r="AK26" s="30"/>
      <c r="AL26" s="134"/>
    </row>
    <row r="27" spans="2:38" x14ac:dyDescent="0.25">
      <c r="B27" s="146"/>
      <c r="C27" s="150" t="str">
        <f t="shared" si="5"/>
        <v/>
      </c>
      <c r="D27" s="226" t="str">
        <f>IF($C27="", "", INDEX('TM-21 inputs'!L$12:L$36, MATCH(($C27+48), 'TM-21 inputs'!$L$12:$L$36, 1)))</f>
        <v/>
      </c>
      <c r="E27" s="226" t="str">
        <f>IF($C27="", "", INDEX('TM-21 inputs'!M$12:M$36, MATCH(($C27+48), 'TM-21 inputs'!$L$12:$L$36, 1)))</f>
        <v/>
      </c>
      <c r="F27" s="227"/>
      <c r="G27" s="129" t="str">
        <f t="shared" si="3"/>
        <v/>
      </c>
      <c r="H27" s="150" t="str">
        <f t="shared" si="6"/>
        <v/>
      </c>
      <c r="I27" s="226" t="str">
        <f>IF($H27="", "", INDEX('TM-21 inputs'!O$12:O$36, MATCH(($H27+48), 'TM-21 inputs'!$O$12:$O$36,1)))</f>
        <v/>
      </c>
      <c r="J27" s="226" t="str">
        <f>IF($H27="", "", INDEX('TM-21 inputs'!P$12:P$36, MATCH(($H27+48), 'TM-21 inputs'!$O$12:$O$36,1)))</f>
        <v/>
      </c>
      <c r="K27" s="227"/>
      <c r="L27" s="129" t="str">
        <f t="shared" si="4"/>
        <v/>
      </c>
      <c r="M27" s="153"/>
      <c r="AC27" s="146"/>
      <c r="AD27" s="10" t="str">
        <f>AD7</f>
        <v/>
      </c>
      <c r="AE27" s="10" t="str">
        <f>AE7</f>
        <v/>
      </c>
      <c r="AF27" s="9">
        <f>'TM-21 inputs'!$E$26</f>
        <v>0</v>
      </c>
      <c r="AG27" s="9">
        <f>'TM-21 inputs'!$E$30</f>
        <v>0</v>
      </c>
      <c r="AH27" s="30"/>
      <c r="AI27" s="30"/>
      <c r="AJ27" s="30"/>
      <c r="AK27" s="30"/>
      <c r="AL27" s="134"/>
    </row>
    <row r="28" spans="2:38" x14ac:dyDescent="0.25">
      <c r="B28" s="146"/>
      <c r="C28" s="150" t="str">
        <f t="shared" si="5"/>
        <v/>
      </c>
      <c r="D28" s="13" t="str">
        <f>IF($C28="", "", INDEX('TM-21 inputs'!L$12:L$36, MATCH(($C28+48), 'TM-21 inputs'!$L$12:$L$36, 1)))</f>
        <v/>
      </c>
      <c r="E28" s="13" t="str">
        <f>IF($C28="", "", INDEX('TM-21 inputs'!M$12:M$36, MATCH(($C28+48), 'TM-21 inputs'!$L$12:$L$36, 1)))</f>
        <v/>
      </c>
      <c r="F28" s="227"/>
      <c r="G28" s="130" t="str">
        <f t="shared" si="3"/>
        <v/>
      </c>
      <c r="H28" s="150" t="str">
        <f t="shared" si="6"/>
        <v/>
      </c>
      <c r="I28" s="13" t="str">
        <f>IF($H28="", "", INDEX('TM-21 inputs'!O$12:O$36, MATCH(($H28+48), 'TM-21 inputs'!$O$12:$O$36,1)))</f>
        <v/>
      </c>
      <c r="J28" s="13" t="str">
        <f>IF($H28="", "", INDEX('TM-21 inputs'!P$12:P$36, MATCH(($H28+48), 'TM-21 inputs'!$O$12:$O$36,1)))</f>
        <v/>
      </c>
      <c r="K28" s="227"/>
      <c r="L28" s="130" t="str">
        <f t="shared" si="4"/>
        <v/>
      </c>
      <c r="M28" s="153"/>
      <c r="AC28" s="146"/>
      <c r="AD28" s="10" t="str">
        <f t="shared" ref="AD28:AE28" si="8">AD8</f>
        <v/>
      </c>
      <c r="AE28" s="10" t="str">
        <f t="shared" si="8"/>
        <v/>
      </c>
      <c r="AF28" s="9">
        <f>'TM-21 inputs'!$E$27</f>
        <v>0</v>
      </c>
      <c r="AG28" s="9">
        <f>'TM-21 inputs'!$E$31</f>
        <v>0</v>
      </c>
      <c r="AH28" s="30"/>
      <c r="AI28" s="30"/>
      <c r="AJ28" s="30"/>
      <c r="AK28" s="30"/>
      <c r="AL28" s="134"/>
    </row>
    <row r="29" spans="2:38" x14ac:dyDescent="0.25">
      <c r="B29" s="146"/>
      <c r="C29" s="150" t="str">
        <f t="shared" si="5"/>
        <v/>
      </c>
      <c r="D29" s="226" t="str">
        <f>IF($C29="", "", INDEX('TM-21 inputs'!L$12:L$36, MATCH(($C29+48), 'TM-21 inputs'!$L$12:$L$36, 1)))</f>
        <v/>
      </c>
      <c r="E29" s="226" t="str">
        <f>IF($C29="", "", INDEX('TM-21 inputs'!M$12:M$36, MATCH(($C29+48), 'TM-21 inputs'!$L$12:$L$36, 1)))</f>
        <v/>
      </c>
      <c r="F29" s="227"/>
      <c r="G29" s="129" t="str">
        <f t="shared" si="3"/>
        <v/>
      </c>
      <c r="H29" s="150" t="str">
        <f t="shared" si="6"/>
        <v/>
      </c>
      <c r="I29" s="226" t="str">
        <f>IF($H29="", "", INDEX('TM-21 inputs'!O$12:O$36, MATCH(($H29+48), 'TM-21 inputs'!$O$12:$O$36,1)))</f>
        <v/>
      </c>
      <c r="J29" s="226" t="str">
        <f>IF($H29="", "", INDEX('TM-21 inputs'!P$12:P$36, MATCH(($H29+48), 'TM-21 inputs'!$O$12:$O$36,1)))</f>
        <v/>
      </c>
      <c r="K29" s="227"/>
      <c r="L29" s="129" t="str">
        <f t="shared" si="4"/>
        <v/>
      </c>
      <c r="M29" s="153"/>
      <c r="AC29" s="146"/>
      <c r="AD29" s="10">
        <f>IF(AF29=0, -10, AF29)</f>
        <v>-10</v>
      </c>
      <c r="AE29" s="10">
        <f>IF(AG29=0, -10, AG29)</f>
        <v>-10</v>
      </c>
      <c r="AF29" s="9">
        <f>'TM-21 inputs'!$E$28</f>
        <v>0</v>
      </c>
      <c r="AG29" s="9">
        <f>'TM-21 inputs'!$E$32</f>
        <v>0</v>
      </c>
      <c r="AH29" s="30"/>
      <c r="AI29" s="30"/>
      <c r="AJ29" s="30"/>
      <c r="AK29" s="30"/>
      <c r="AL29" s="134"/>
    </row>
    <row r="30" spans="2:38" x14ac:dyDescent="0.25">
      <c r="B30" s="146"/>
      <c r="C30" s="150"/>
      <c r="D30" s="155"/>
      <c r="E30" s="505"/>
      <c r="F30" s="505"/>
      <c r="G30" s="156"/>
      <c r="H30" s="150"/>
      <c r="I30" s="30"/>
      <c r="J30" s="502"/>
      <c r="K30" s="502"/>
      <c r="L30" s="143"/>
      <c r="M30" s="154"/>
      <c r="N30" s="4"/>
      <c r="O30" s="4"/>
      <c r="AC30" s="146"/>
      <c r="AD30" s="10">
        <f>IF(AF30=0, -10, AF30)</f>
        <v>-10</v>
      </c>
      <c r="AE30" s="10">
        <f>IF(AG30=0, -10, AG30)</f>
        <v>-10</v>
      </c>
      <c r="AF30" s="9">
        <f>'TM-21 inputs'!$E$29</f>
        <v>0</v>
      </c>
      <c r="AG30" s="9">
        <f>'TM-21 inputs'!$E$33</f>
        <v>0</v>
      </c>
      <c r="AH30" s="30"/>
      <c r="AI30" s="30"/>
      <c r="AJ30" s="30"/>
      <c r="AK30" s="30"/>
      <c r="AL30" s="134"/>
    </row>
    <row r="31" spans="2:38" x14ac:dyDescent="0.25">
      <c r="B31" s="146"/>
      <c r="C31" s="150"/>
      <c r="D31" s="155"/>
      <c r="E31" s="28"/>
      <c r="F31" s="28"/>
      <c r="G31" s="156"/>
      <c r="H31" s="150"/>
      <c r="I31" s="30"/>
      <c r="J31" s="502"/>
      <c r="K31" s="502"/>
      <c r="L31" s="143"/>
      <c r="M31" s="154"/>
      <c r="N31" s="4"/>
      <c r="O31" s="4"/>
      <c r="AC31" s="146"/>
      <c r="AD31" s="30"/>
      <c r="AE31" s="30"/>
      <c r="AF31" s="30"/>
      <c r="AG31" s="30"/>
      <c r="AH31" s="30"/>
      <c r="AI31" s="30"/>
      <c r="AJ31" s="30"/>
      <c r="AK31" s="30"/>
      <c r="AL31" s="134"/>
    </row>
    <row r="32" spans="2:38" ht="15.75" thickBot="1" x14ac:dyDescent="0.3">
      <c r="B32" s="146"/>
      <c r="C32" s="150"/>
      <c r="D32" s="155"/>
      <c r="E32" s="505"/>
      <c r="F32" s="505"/>
      <c r="G32" s="156"/>
      <c r="H32" s="150"/>
      <c r="I32" s="30"/>
      <c r="J32" s="502"/>
      <c r="K32" s="502"/>
      <c r="L32" s="143"/>
      <c r="M32" s="154"/>
      <c r="N32" s="4"/>
      <c r="O32" s="4"/>
      <c r="AC32" s="137"/>
      <c r="AD32" s="138"/>
      <c r="AE32" s="138"/>
      <c r="AF32" s="138"/>
      <c r="AG32" s="138"/>
      <c r="AH32" s="138"/>
      <c r="AI32" s="138"/>
      <c r="AJ32" s="138"/>
      <c r="AK32" s="138"/>
      <c r="AL32" s="135"/>
    </row>
    <row r="33" spans="2:15" x14ac:dyDescent="0.25">
      <c r="B33" s="146"/>
      <c r="C33" s="150"/>
      <c r="D33" s="30"/>
      <c r="E33" s="157" t="s">
        <v>54</v>
      </c>
      <c r="F33" s="30"/>
      <c r="G33" s="30"/>
      <c r="H33" s="150"/>
      <c r="I33" s="30"/>
      <c r="J33" s="157" t="s">
        <v>60</v>
      </c>
      <c r="K33" s="30"/>
      <c r="L33" s="30"/>
      <c r="M33" s="134"/>
      <c r="N33" s="4"/>
      <c r="O33" s="4"/>
    </row>
    <row r="34" spans="2:15" x14ac:dyDescent="0.25">
      <c r="B34" s="146"/>
      <c r="C34" s="150"/>
      <c r="D34" s="147" t="s">
        <v>28</v>
      </c>
      <c r="E34" s="158">
        <f>MAX('TM-21 inputs'!U12:U36)</f>
        <v>0</v>
      </c>
      <c r="F34" s="30"/>
      <c r="G34" s="30"/>
      <c r="H34" s="150"/>
      <c r="I34" s="147" t="s">
        <v>28</v>
      </c>
      <c r="J34" s="158">
        <f>MAX('TM-21 inputs'!X12:X36)</f>
        <v>0</v>
      </c>
      <c r="K34" s="30"/>
      <c r="L34" s="30"/>
      <c r="M34" s="134"/>
      <c r="N34" s="4"/>
      <c r="O34" s="4"/>
    </row>
    <row r="35" spans="2:15" x14ac:dyDescent="0.25">
      <c r="B35" s="146"/>
      <c r="C35" s="150"/>
      <c r="D35" s="147" t="s">
        <v>29</v>
      </c>
      <c r="E35" s="159">
        <f>IF(E34=0, 0, IF(AND(E34&gt;=6000, E34&lt;=10000), E34-5000, IF(E34&gt;10000, E34/2, "test duration error")))</f>
        <v>0</v>
      </c>
      <c r="F35" s="30"/>
      <c r="G35" s="30"/>
      <c r="H35" s="150"/>
      <c r="I35" s="147" t="s">
        <v>29</v>
      </c>
      <c r="J35" s="159">
        <f>IF(J34=0, 0, IF(AND(J34&gt;=6000, J34&lt;=10000), J34-5000, IF(J34&gt;10000, J34/2, "test duration error")))</f>
        <v>0</v>
      </c>
      <c r="K35" s="30"/>
      <c r="L35" s="30"/>
      <c r="M35" s="134"/>
      <c r="N35" s="4"/>
      <c r="O35" s="4"/>
    </row>
    <row r="36" spans="2:15" x14ac:dyDescent="0.25">
      <c r="B36" s="146"/>
      <c r="C36" s="150"/>
      <c r="D36" s="147" t="s">
        <v>30</v>
      </c>
      <c r="E36" s="159">
        <f>MAX('TM-21 inputs'!U12:U36)</f>
        <v>0</v>
      </c>
      <c r="F36" s="30"/>
      <c r="G36" s="30"/>
      <c r="H36" s="150"/>
      <c r="I36" s="147" t="s">
        <v>30</v>
      </c>
      <c r="J36" s="159">
        <f>MAX('TM-21 inputs'!X12:X36)</f>
        <v>0</v>
      </c>
      <c r="K36" s="30"/>
      <c r="L36" s="30"/>
      <c r="M36" s="134"/>
      <c r="N36" s="4"/>
      <c r="O36" s="4"/>
    </row>
    <row r="37" spans="2:15" x14ac:dyDescent="0.25">
      <c r="B37" s="146"/>
      <c r="C37" s="150"/>
      <c r="D37" s="147" t="s">
        <v>58</v>
      </c>
      <c r="E37" s="159">
        <f>COUNTIF('TM-21 inputs'!U12:U36, "&gt;="&amp;E35)</f>
        <v>0</v>
      </c>
      <c r="F37" s="30"/>
      <c r="G37" s="30"/>
      <c r="H37" s="150"/>
      <c r="I37" s="147" t="s">
        <v>58</v>
      </c>
      <c r="J37" s="159">
        <f>COUNTIF('TM-21 inputs'!X12:X36, "&gt;="&amp;J35)</f>
        <v>0</v>
      </c>
      <c r="K37" s="30"/>
      <c r="L37" s="30"/>
      <c r="M37" s="134"/>
      <c r="N37" s="4"/>
      <c r="O37" s="4"/>
    </row>
    <row r="38" spans="2:15" x14ac:dyDescent="0.25">
      <c r="B38" s="146"/>
      <c r="C38" s="150"/>
      <c r="D38" s="147" t="s">
        <v>32</v>
      </c>
      <c r="E38" s="159">
        <f>(E36-E35)/(E37-1)</f>
        <v>0</v>
      </c>
      <c r="F38" s="30"/>
      <c r="G38" s="30"/>
      <c r="H38" s="150"/>
      <c r="I38" s="147" t="s">
        <v>32</v>
      </c>
      <c r="J38" s="159">
        <f>(J36-J35)/(J37-1)</f>
        <v>0</v>
      </c>
      <c r="K38" s="30"/>
      <c r="L38" s="30"/>
      <c r="M38" s="134"/>
      <c r="N38" s="4"/>
      <c r="O38" s="4"/>
    </row>
    <row r="39" spans="2:15" x14ac:dyDescent="0.25">
      <c r="B39" s="146"/>
      <c r="C39" s="150"/>
      <c r="D39" s="30"/>
      <c r="E39" s="30"/>
      <c r="F39" s="30"/>
      <c r="G39" s="30"/>
      <c r="H39" s="150"/>
      <c r="I39" s="30"/>
      <c r="J39" s="30"/>
      <c r="K39" s="30"/>
      <c r="L39" s="30"/>
      <c r="M39" s="134"/>
      <c r="N39" s="4"/>
      <c r="O39" s="4"/>
    </row>
    <row r="40" spans="2:15" x14ac:dyDescent="0.25">
      <c r="B40" s="146"/>
      <c r="C40" s="150"/>
      <c r="D40" s="503" t="s">
        <v>55</v>
      </c>
      <c r="E40" s="504"/>
      <c r="F40" s="12">
        <f>'TM-21 inputs'!V6</f>
        <v>0</v>
      </c>
      <c r="G40" s="142"/>
      <c r="H40" s="150"/>
      <c r="I40" s="503" t="s">
        <v>55</v>
      </c>
      <c r="J40" s="504"/>
      <c r="K40" s="12">
        <f>'TM-21 inputs'!Y6</f>
        <v>0</v>
      </c>
      <c r="L40" s="142"/>
      <c r="M40" s="151"/>
    </row>
    <row r="41" spans="2:15" x14ac:dyDescent="0.25">
      <c r="B41" s="146"/>
      <c r="C41" s="150"/>
      <c r="D41" s="503" t="s">
        <v>56</v>
      </c>
      <c r="E41" s="504"/>
      <c r="F41" s="12">
        <f>'TM-21 inputs'!V7</f>
        <v>0</v>
      </c>
      <c r="G41" s="142"/>
      <c r="H41" s="150"/>
      <c r="I41" s="503" t="s">
        <v>56</v>
      </c>
      <c r="J41" s="504"/>
      <c r="K41" s="12">
        <f>'TM-21 inputs'!Y7</f>
        <v>0</v>
      </c>
      <c r="L41" s="142"/>
      <c r="M41" s="151"/>
    </row>
    <row r="42" spans="2:15" x14ac:dyDescent="0.25">
      <c r="B42" s="146"/>
      <c r="C42" s="509" t="s">
        <v>59</v>
      </c>
      <c r="D42" s="507" t="s">
        <v>17</v>
      </c>
      <c r="E42" s="506" t="s">
        <v>27</v>
      </c>
      <c r="F42" s="506"/>
      <c r="G42" s="506" t="s">
        <v>62</v>
      </c>
      <c r="H42" s="509" t="s">
        <v>59</v>
      </c>
      <c r="I42" s="507" t="s">
        <v>17</v>
      </c>
      <c r="J42" s="506" t="s">
        <v>27</v>
      </c>
      <c r="K42" s="506"/>
      <c r="L42" s="506" t="s">
        <v>62</v>
      </c>
      <c r="M42" s="152"/>
    </row>
    <row r="43" spans="2:15" x14ac:dyDescent="0.25">
      <c r="B43" s="146"/>
      <c r="C43" s="509"/>
      <c r="D43" s="508"/>
      <c r="E43" s="506"/>
      <c r="F43" s="506"/>
      <c r="G43" s="506"/>
      <c r="H43" s="509"/>
      <c r="I43" s="508"/>
      <c r="J43" s="506"/>
      <c r="K43" s="506"/>
      <c r="L43" s="506"/>
      <c r="M43" s="152"/>
    </row>
    <row r="44" spans="2:15" x14ac:dyDescent="0.25">
      <c r="B44" s="146"/>
      <c r="C44" s="150">
        <f>E35</f>
        <v>0</v>
      </c>
      <c r="D44" s="13" t="e">
        <f>IF($C44="", "", INDEX('TM-21 inputs'!U$12:U$36, MATCH(($C44+48), 'TM-21 inputs'!$U$12:$U$36, 1)))</f>
        <v>#N/A</v>
      </c>
      <c r="E44" s="13" t="e">
        <f>IF($C44="", "", INDEX('TM-21 inputs'!V$12:V$36, MATCH(($C44+48), 'TM-21 inputs'!$U$12:$U$36, 1)))</f>
        <v>#N/A</v>
      </c>
      <c r="F44" s="227"/>
      <c r="G44" s="130" t="e">
        <f>IF(E44="", "", LN(E44))</f>
        <v>#N/A</v>
      </c>
      <c r="H44" s="150">
        <f>J35</f>
        <v>0</v>
      </c>
      <c r="I44" s="13" t="e">
        <f>IF($H44="", "", INDEX('TM-21 inputs'!X$12:X$36, MATCH(($H44+48), 'TM-21 inputs'!$X$12:$X$36,1)))</f>
        <v>#N/A</v>
      </c>
      <c r="J44" s="13" t="e">
        <f>IF($H44="", "", INDEX('TM-21 inputs'!Y$12:Y$36, MATCH(($H44+48), 'TM-21 inputs'!$X$12:$X$36,1)))</f>
        <v>#N/A</v>
      </c>
      <c r="K44" s="227"/>
      <c r="L44" s="130" t="e">
        <f>IF(J44="", "", LN(J44))</f>
        <v>#N/A</v>
      </c>
      <c r="M44" s="153"/>
    </row>
    <row r="45" spans="2:15" x14ac:dyDescent="0.25">
      <c r="B45" s="146"/>
      <c r="C45" s="150" t="str">
        <f>IF(C44=0, "", IF((C44+$E$38)&lt;=$E$36, (C44+$E$38), ""))</f>
        <v/>
      </c>
      <c r="D45" s="226" t="str">
        <f>IF($C45="", "", INDEX('TM-21 inputs'!U$12:U$36, MATCH(($C45+48), 'TM-21 inputs'!$U$12:$U$36, 1)))</f>
        <v/>
      </c>
      <c r="E45" s="226" t="str">
        <f>IF($C45="", "", INDEX('TM-21 inputs'!V$12:V$36, MATCH(($C45+48), 'TM-21 inputs'!$U$12:$U$36, 1)))</f>
        <v/>
      </c>
      <c r="F45" s="227"/>
      <c r="G45" s="129" t="str">
        <f t="shared" ref="G45:G55" si="9">IF(E45="", "", LN(E45))</f>
        <v/>
      </c>
      <c r="H45" s="150" t="str">
        <f>IF(H44=0, "", IF((H44+$J$38)&lt;=$J$36, (H44+$J$38), ""))</f>
        <v/>
      </c>
      <c r="I45" s="226" t="str">
        <f>IF($H45="", "", INDEX('TM-21 inputs'!X$12:X$36, MATCH(($H45+48), 'TM-21 inputs'!$X$12:$X$36,1)))</f>
        <v/>
      </c>
      <c r="J45" s="226" t="str">
        <f>IF($H45="", "", INDEX('TM-21 inputs'!Y$12:Y$36, MATCH(($H45+48), 'TM-21 inputs'!$X$12:$X$36,1)))</f>
        <v/>
      </c>
      <c r="K45" s="227"/>
      <c r="L45" s="129" t="str">
        <f t="shared" ref="L45:L55" si="10">IF(J45="", "", LN(J45))</f>
        <v/>
      </c>
      <c r="M45" s="153"/>
    </row>
    <row r="46" spans="2:15" x14ac:dyDescent="0.25">
      <c r="B46" s="146"/>
      <c r="C46" s="150" t="str">
        <f>IF(C45="", "", IF((C45+$E$38)&lt;=$E$36, (C45+$E$38), ""))</f>
        <v/>
      </c>
      <c r="D46" s="13" t="str">
        <f>IF($C46="", "", INDEX('TM-21 inputs'!U$12:U$36, MATCH(($C46+48), 'TM-21 inputs'!$U$12:$U$36, 1)))</f>
        <v/>
      </c>
      <c r="E46" s="13" t="str">
        <f>IF($C46="", "", INDEX('TM-21 inputs'!V$12:V$36, MATCH(($C46+48), 'TM-21 inputs'!$U$12:$U$36, 1)))</f>
        <v/>
      </c>
      <c r="F46" s="227"/>
      <c r="G46" s="130" t="str">
        <f t="shared" si="9"/>
        <v/>
      </c>
      <c r="H46" s="150" t="str">
        <f>IF(H45="", "", IF((H45+$J$38)&lt;=$J$36, (H45+$J$38), ""))</f>
        <v/>
      </c>
      <c r="I46" s="13" t="str">
        <f>IF($H46="", "", INDEX('TM-21 inputs'!X$12:X$36, MATCH(($H46+48), 'TM-21 inputs'!$X$12:$X$36,1)))</f>
        <v/>
      </c>
      <c r="J46" s="13" t="str">
        <f>IF($H46="", "", INDEX('TM-21 inputs'!Y$12:Y$36, MATCH(($H46+48), 'TM-21 inputs'!$X$12:$X$36,1)))</f>
        <v/>
      </c>
      <c r="K46" s="227"/>
      <c r="L46" s="130" t="str">
        <f t="shared" si="10"/>
        <v/>
      </c>
      <c r="M46" s="153"/>
    </row>
    <row r="47" spans="2:15" x14ac:dyDescent="0.25">
      <c r="B47" s="146"/>
      <c r="C47" s="150" t="str">
        <f t="shared" ref="C47:C57" si="11">IF(C46="", "", IF((C46+$E$38)&lt;=$E$36, (C46+$E$38), ""))</f>
        <v/>
      </c>
      <c r="D47" s="226" t="str">
        <f>IF($C47="", "", INDEX('TM-21 inputs'!U$12:U$36, MATCH(($C47+48), 'TM-21 inputs'!$U$12:$U$36, 1)))</f>
        <v/>
      </c>
      <c r="E47" s="226" t="str">
        <f>IF($C47="", "", INDEX('TM-21 inputs'!V$12:V$36, MATCH(($C47+48), 'TM-21 inputs'!$U$12:$U$36, 1)))</f>
        <v/>
      </c>
      <c r="F47" s="227"/>
      <c r="G47" s="129" t="str">
        <f t="shared" si="9"/>
        <v/>
      </c>
      <c r="H47" s="150" t="str">
        <f t="shared" ref="H47:H57" si="12">IF(H46="", "", IF((H46+$J$38)&lt;=$J$36, (H46+$J$38), ""))</f>
        <v/>
      </c>
      <c r="I47" s="226" t="str">
        <f>IF($H47="", "", INDEX('TM-21 inputs'!X$12:X$36, MATCH(($H47+48), 'TM-21 inputs'!$X$12:$X$36,1)))</f>
        <v/>
      </c>
      <c r="J47" s="226" t="str">
        <f>IF($H47="", "", INDEX('TM-21 inputs'!Y$12:Y$36, MATCH(($H47+48), 'TM-21 inputs'!$X$12:$X$36,1)))</f>
        <v/>
      </c>
      <c r="K47" s="227"/>
      <c r="L47" s="129" t="str">
        <f t="shared" si="10"/>
        <v/>
      </c>
      <c r="M47" s="153"/>
    </row>
    <row r="48" spans="2:15" x14ac:dyDescent="0.25">
      <c r="B48" s="146"/>
      <c r="C48" s="150" t="str">
        <f t="shared" si="11"/>
        <v/>
      </c>
      <c r="D48" s="13" t="str">
        <f>IF($C48="", "", INDEX('TM-21 inputs'!U$12:U$36, MATCH(($C48+48), 'TM-21 inputs'!$U$12:$U$36, 1)))</f>
        <v/>
      </c>
      <c r="E48" s="13" t="str">
        <f>IF($C48="", "", INDEX('TM-21 inputs'!V$12:V$36, MATCH(($C48+48), 'TM-21 inputs'!$U$12:$U$36, 1)))</f>
        <v/>
      </c>
      <c r="F48" s="227"/>
      <c r="G48" s="130" t="str">
        <f t="shared" si="9"/>
        <v/>
      </c>
      <c r="H48" s="150" t="str">
        <f t="shared" si="12"/>
        <v/>
      </c>
      <c r="I48" s="13" t="str">
        <f>IF($H48="", "", INDEX('TM-21 inputs'!X$12:X$36, MATCH(($H48+48), 'TM-21 inputs'!$X$12:$X$36,1)))</f>
        <v/>
      </c>
      <c r="J48" s="13" t="str">
        <f>IF($H48="", "", INDEX('TM-21 inputs'!Y$12:Y$36, MATCH(($H48+48), 'TM-21 inputs'!$X$12:$X$36,1)))</f>
        <v/>
      </c>
      <c r="K48" s="227"/>
      <c r="L48" s="130" t="str">
        <f t="shared" si="10"/>
        <v/>
      </c>
      <c r="M48" s="153"/>
    </row>
    <row r="49" spans="2:13" x14ac:dyDescent="0.25">
      <c r="B49" s="146"/>
      <c r="C49" s="150" t="str">
        <f t="shared" si="11"/>
        <v/>
      </c>
      <c r="D49" s="226" t="str">
        <f>IF($C49="", "", INDEX('TM-21 inputs'!U$12:U$36, MATCH(($C49+48), 'TM-21 inputs'!$U$12:$U$36, 1)))</f>
        <v/>
      </c>
      <c r="E49" s="226" t="str">
        <f>IF($C49="", "", INDEX('TM-21 inputs'!V$12:V$36, MATCH(($C49+48), 'TM-21 inputs'!$U$12:$U$36, 1)))</f>
        <v/>
      </c>
      <c r="F49" s="227"/>
      <c r="G49" s="129" t="str">
        <f t="shared" si="9"/>
        <v/>
      </c>
      <c r="H49" s="150" t="str">
        <f t="shared" si="12"/>
        <v/>
      </c>
      <c r="I49" s="226" t="str">
        <f>IF($H49="", "", INDEX('TM-21 inputs'!X$12:X$36, MATCH(($H49+48), 'TM-21 inputs'!$X$12:$X$36,1)))</f>
        <v/>
      </c>
      <c r="J49" s="226" t="str">
        <f>IF($H49="", "", INDEX('TM-21 inputs'!Y$12:Y$36, MATCH(($H49+48), 'TM-21 inputs'!$X$12:$X$36,1)))</f>
        <v/>
      </c>
      <c r="K49" s="227"/>
      <c r="L49" s="129" t="str">
        <f t="shared" si="10"/>
        <v/>
      </c>
      <c r="M49" s="153"/>
    </row>
    <row r="50" spans="2:13" x14ac:dyDescent="0.25">
      <c r="B50" s="146"/>
      <c r="C50" s="149" t="str">
        <f t="shared" si="11"/>
        <v/>
      </c>
      <c r="D50" s="13" t="str">
        <f>IF($C50="", "", INDEX('TM-21 inputs'!U$12:U$36, MATCH(($C50+48), 'TM-21 inputs'!$U$12:$U$36, 1)))</f>
        <v/>
      </c>
      <c r="E50" s="13" t="str">
        <f>IF($C50="", "", INDEX('TM-21 inputs'!V$12:V$36, MATCH(($C50+48), 'TM-21 inputs'!$U$12:$U$36, 1)))</f>
        <v/>
      </c>
      <c r="F50" s="227"/>
      <c r="G50" s="130" t="str">
        <f t="shared" si="9"/>
        <v/>
      </c>
      <c r="H50" s="150" t="str">
        <f t="shared" si="12"/>
        <v/>
      </c>
      <c r="I50" s="13" t="str">
        <f>IF($H50="", "", INDEX('TM-21 inputs'!X$12:X$36, MATCH(($H50+48), 'TM-21 inputs'!$X$12:$X$36,1)))</f>
        <v/>
      </c>
      <c r="J50" s="13" t="str">
        <f>IF($H50="", "", INDEX('TM-21 inputs'!Y$12:Y$36, MATCH(($H50+48), 'TM-21 inputs'!$X$12:$X$36,1)))</f>
        <v/>
      </c>
      <c r="K50" s="227"/>
      <c r="L50" s="130" t="str">
        <f t="shared" si="10"/>
        <v/>
      </c>
      <c r="M50" s="153"/>
    </row>
    <row r="51" spans="2:13" x14ac:dyDescent="0.25">
      <c r="B51" s="146"/>
      <c r="C51" s="149" t="str">
        <f t="shared" si="11"/>
        <v/>
      </c>
      <c r="D51" s="226" t="str">
        <f>IF($C51="", "", INDEX('TM-21 inputs'!U$12:U$36, MATCH(($C51+48), 'TM-21 inputs'!$U$12:$U$36, 1)))</f>
        <v/>
      </c>
      <c r="E51" s="226" t="str">
        <f>IF($C51="", "", INDEX('TM-21 inputs'!V$12:V$36, MATCH(($C51+48), 'TM-21 inputs'!$U$12:$U$36, 1)))</f>
        <v/>
      </c>
      <c r="F51" s="227"/>
      <c r="G51" s="129" t="str">
        <f t="shared" si="9"/>
        <v/>
      </c>
      <c r="H51" s="150" t="str">
        <f t="shared" si="12"/>
        <v/>
      </c>
      <c r="I51" s="226" t="str">
        <f>IF($H51="", "", INDEX('TM-21 inputs'!X$12:X$36, MATCH(($H51+48), 'TM-21 inputs'!$X$12:$X$36,1)))</f>
        <v/>
      </c>
      <c r="J51" s="226" t="str">
        <f>IF($H51="", "", INDEX('TM-21 inputs'!Y$12:Y$36, MATCH(($H51+48), 'TM-21 inputs'!$X$12:$X$36,1)))</f>
        <v/>
      </c>
      <c r="K51" s="227"/>
      <c r="L51" s="129" t="str">
        <f t="shared" si="10"/>
        <v/>
      </c>
      <c r="M51" s="153"/>
    </row>
    <row r="52" spans="2:13" x14ac:dyDescent="0.25">
      <c r="B52" s="146"/>
      <c r="C52" s="149" t="str">
        <f t="shared" si="11"/>
        <v/>
      </c>
      <c r="D52" s="13" t="str">
        <f>IF($C52="", "", INDEX('TM-21 inputs'!U$12:U$36, MATCH(($C52+48), 'TM-21 inputs'!$U$12:$U$36, 1)))</f>
        <v/>
      </c>
      <c r="E52" s="13" t="str">
        <f>IF($C52="", "", INDEX('TM-21 inputs'!V$12:V$36, MATCH(($C52+48), 'TM-21 inputs'!$U$12:$U$36, 1)))</f>
        <v/>
      </c>
      <c r="F52" s="227"/>
      <c r="G52" s="130" t="str">
        <f t="shared" si="9"/>
        <v/>
      </c>
      <c r="H52" s="150" t="str">
        <f t="shared" si="12"/>
        <v/>
      </c>
      <c r="I52" s="13" t="str">
        <f>IF($H52="", "", INDEX('TM-21 inputs'!X$12:X$36, MATCH(($H52+48), 'TM-21 inputs'!$X$12:$X$36,1)))</f>
        <v/>
      </c>
      <c r="J52" s="13" t="str">
        <f>IF($H52="", "", INDEX('TM-21 inputs'!Y$12:Y$36, MATCH(($H52+48), 'TM-21 inputs'!$X$12:$X$36,1)))</f>
        <v/>
      </c>
      <c r="K52" s="227"/>
      <c r="L52" s="130" t="str">
        <f t="shared" si="10"/>
        <v/>
      </c>
      <c r="M52" s="153"/>
    </row>
    <row r="53" spans="2:13" x14ac:dyDescent="0.25">
      <c r="B53" s="146"/>
      <c r="C53" s="149" t="str">
        <f t="shared" si="11"/>
        <v/>
      </c>
      <c r="D53" s="226" t="str">
        <f>IF($C53="", "", INDEX('TM-21 inputs'!U$12:U$36, MATCH(($C53+48), 'TM-21 inputs'!$U$12:$U$36, 1)))</f>
        <v/>
      </c>
      <c r="E53" s="226" t="str">
        <f>IF($C53="", "", INDEX('TM-21 inputs'!V$12:V$36, MATCH(($C53+48), 'TM-21 inputs'!$U$12:$U$36, 1)))</f>
        <v/>
      </c>
      <c r="F53" s="227"/>
      <c r="G53" s="129" t="str">
        <f t="shared" si="9"/>
        <v/>
      </c>
      <c r="H53" s="150" t="str">
        <f t="shared" si="12"/>
        <v/>
      </c>
      <c r="I53" s="226" t="str">
        <f>IF($H53="", "", INDEX('TM-21 inputs'!X$12:X$36, MATCH(($H53+48), 'TM-21 inputs'!$X$12:$X$36,1)))</f>
        <v/>
      </c>
      <c r="J53" s="226" t="str">
        <f>IF($H53="", "", INDEX('TM-21 inputs'!Y$12:Y$36, MATCH(($H53+48), 'TM-21 inputs'!$X$12:$X$36,1)))</f>
        <v/>
      </c>
      <c r="K53" s="227"/>
      <c r="L53" s="129" t="str">
        <f t="shared" si="10"/>
        <v/>
      </c>
      <c r="M53" s="153"/>
    </row>
    <row r="54" spans="2:13" x14ac:dyDescent="0.25">
      <c r="B54" s="146"/>
      <c r="C54" s="149" t="str">
        <f t="shared" si="11"/>
        <v/>
      </c>
      <c r="D54" s="13" t="str">
        <f>IF($C54="", "", INDEX('TM-21 inputs'!U$12:U$36, MATCH(($C54+48), 'TM-21 inputs'!$U$12:$U$36, 1)))</f>
        <v/>
      </c>
      <c r="E54" s="13" t="str">
        <f>IF($C54="", "", INDEX('TM-21 inputs'!V$12:V$36, MATCH(($C54+48), 'TM-21 inputs'!$U$12:$U$36, 1)))</f>
        <v/>
      </c>
      <c r="F54" s="227"/>
      <c r="G54" s="130" t="str">
        <f t="shared" si="9"/>
        <v/>
      </c>
      <c r="H54" s="150" t="str">
        <f t="shared" si="12"/>
        <v/>
      </c>
      <c r="I54" s="13" t="str">
        <f>IF($H54="", "", INDEX('TM-21 inputs'!X$12:X$36, MATCH(($H54+48), 'TM-21 inputs'!$X$12:$X$36,1)))</f>
        <v/>
      </c>
      <c r="J54" s="13" t="str">
        <f>IF($H54="", "", INDEX('TM-21 inputs'!Y$12:Y$36, MATCH(($H54+48), 'TM-21 inputs'!$X$12:$X$36,1)))</f>
        <v/>
      </c>
      <c r="K54" s="227"/>
      <c r="L54" s="130" t="str">
        <f t="shared" si="10"/>
        <v/>
      </c>
      <c r="M54" s="153"/>
    </row>
    <row r="55" spans="2:13" x14ac:dyDescent="0.25">
      <c r="B55" s="146"/>
      <c r="C55" s="149" t="str">
        <f t="shared" si="11"/>
        <v/>
      </c>
      <c r="D55" s="226" t="str">
        <f>IF($C55="", "", INDEX('TM-21 inputs'!U$12:U$36, MATCH(($C55+48), 'TM-21 inputs'!$U$12:$U$36, 1)))</f>
        <v/>
      </c>
      <c r="E55" s="226" t="str">
        <f>IF($C55="", "", INDEX('TM-21 inputs'!V$12:V$36, MATCH(($C55+48), 'TM-21 inputs'!$U$12:$U$36, 1)))</f>
        <v/>
      </c>
      <c r="F55" s="227"/>
      <c r="G55" s="129" t="str">
        <f t="shared" si="9"/>
        <v/>
      </c>
      <c r="H55" s="150" t="str">
        <f t="shared" si="12"/>
        <v/>
      </c>
      <c r="I55" s="226" t="str">
        <f>IF($H55="", "", INDEX('TM-21 inputs'!X$12:X$36, MATCH(($H55+48), 'TM-21 inputs'!$X$12:$X$36,1)))</f>
        <v/>
      </c>
      <c r="J55" s="226" t="str">
        <f>IF($H55="", "", INDEX('TM-21 inputs'!Y$12:Y$36, MATCH(($H55+48), 'TM-21 inputs'!$X$12:$X$36,1)))</f>
        <v/>
      </c>
      <c r="K55" s="227"/>
      <c r="L55" s="129" t="str">
        <f t="shared" si="10"/>
        <v/>
      </c>
      <c r="M55" s="153"/>
    </row>
    <row r="56" spans="2:13" x14ac:dyDescent="0.25">
      <c r="B56" s="146"/>
      <c r="C56" s="149" t="str">
        <f t="shared" si="11"/>
        <v/>
      </c>
      <c r="D56" s="13" t="str">
        <f>IF($C56="", "", INDEX('TM-21 inputs'!U$12:U$36, MATCH(($C56+48), 'TM-21 inputs'!$U$12:$U$36, 1)))</f>
        <v/>
      </c>
      <c r="E56" s="13" t="str">
        <f>IF($C56="", "", INDEX('TM-21 inputs'!V$12:V$36, MATCH(($C56+48), 'TM-21 inputs'!$U$12:$U$36, 1)))</f>
        <v/>
      </c>
      <c r="F56" s="227"/>
      <c r="G56" s="130" t="str">
        <f t="shared" ref="G56:G57" si="13">IF(E56="", "", LN(E56))</f>
        <v/>
      </c>
      <c r="H56" s="150" t="str">
        <f t="shared" si="12"/>
        <v/>
      </c>
      <c r="I56" s="13" t="str">
        <f>IF($H56="", "", INDEX('TM-21 inputs'!X$12:X$36, MATCH(($H56+48), 'TM-21 inputs'!$X$12:$X$36,1)))</f>
        <v/>
      </c>
      <c r="J56" s="13" t="str">
        <f>IF($H56="", "", INDEX('TM-21 inputs'!Y$12:Y$36, MATCH(($H56+48), 'TM-21 inputs'!$X$12:$X$36,1)))</f>
        <v/>
      </c>
      <c r="K56" s="227"/>
      <c r="L56" s="130" t="str">
        <f t="shared" ref="L56:L57" si="14">IF(J56="", "", LN(J56))</f>
        <v/>
      </c>
      <c r="M56" s="153"/>
    </row>
    <row r="57" spans="2:13" x14ac:dyDescent="0.25">
      <c r="B57" s="146"/>
      <c r="C57" s="149" t="str">
        <f t="shared" si="11"/>
        <v/>
      </c>
      <c r="D57" s="226" t="str">
        <f>IF($C57="", "", INDEX('TM-21 inputs'!U$12:U$36, MATCH(($C57+48), 'TM-21 inputs'!$U$12:$U$36, 1)))</f>
        <v/>
      </c>
      <c r="E57" s="226" t="str">
        <f>IF($C57="", "", INDEX('TM-21 inputs'!V$12:V$36, MATCH(($C57+48), 'TM-21 inputs'!$U$12:$U$36, 1)))</f>
        <v/>
      </c>
      <c r="F57" s="227"/>
      <c r="G57" s="129" t="str">
        <f t="shared" si="13"/>
        <v/>
      </c>
      <c r="H57" s="150" t="str">
        <f t="shared" si="12"/>
        <v/>
      </c>
      <c r="I57" s="226" t="str">
        <f>IF($H57="", "", INDEX('TM-21 inputs'!X$12:X$36, MATCH(($H57+48), 'TM-21 inputs'!$X$12:$X$36,1)))</f>
        <v/>
      </c>
      <c r="J57" s="226" t="str">
        <f>IF($H57="", "", INDEX('TM-21 inputs'!Y$12:Y$36, MATCH(($H57+48), 'TM-21 inputs'!$X$12:$X$36,1)))</f>
        <v/>
      </c>
      <c r="K57" s="227"/>
      <c r="L57" s="129" t="str">
        <f t="shared" si="14"/>
        <v/>
      </c>
      <c r="M57" s="153"/>
    </row>
    <row r="58" spans="2:13" ht="15.75" thickBot="1" x14ac:dyDescent="0.3">
      <c r="B58" s="137"/>
      <c r="C58" s="138"/>
      <c r="D58" s="138"/>
      <c r="E58" s="138"/>
      <c r="F58" s="138"/>
      <c r="G58" s="138"/>
      <c r="H58" s="138"/>
      <c r="I58" s="138"/>
      <c r="J58" s="138"/>
      <c r="K58" s="138"/>
      <c r="L58" s="138"/>
      <c r="M58" s="135"/>
    </row>
  </sheetData>
  <sheetProtection algorithmName="SHA-512" hashValue="11DNaIU1r+ya6qoY5LAVl1CWwaZWE6TCJf0AG38ILJ/lJ7yQIMNERYyzNeL1X8/iYKs6DJTMr2Nqf4U8RcH2tQ==" saltValue="3qt0x6tfX+99ksV6Ow2VrQ==" spinCount="100000" sheet="1" objects="1" scenarios="1"/>
  <mergeCells count="37">
    <mergeCell ref="AF16:AG16"/>
    <mergeCell ref="AH16:AI16"/>
    <mergeCell ref="AJ16:AK16"/>
    <mergeCell ref="E30:F30"/>
    <mergeCell ref="I12:J12"/>
    <mergeCell ref="I13:J13"/>
    <mergeCell ref="I14:I15"/>
    <mergeCell ref="J14:K15"/>
    <mergeCell ref="D12:E12"/>
    <mergeCell ref="D13:E13"/>
    <mergeCell ref="D14:D15"/>
    <mergeCell ref="E14:F15"/>
    <mergeCell ref="L14:L15"/>
    <mergeCell ref="C14:C15"/>
    <mergeCell ref="H14:H15"/>
    <mergeCell ref="C42:C43"/>
    <mergeCell ref="H42:H43"/>
    <mergeCell ref="D40:E40"/>
    <mergeCell ref="G14:G15"/>
    <mergeCell ref="L42:L43"/>
    <mergeCell ref="E42:F43"/>
    <mergeCell ref="I42:I43"/>
    <mergeCell ref="J42:K43"/>
    <mergeCell ref="D41:E41"/>
    <mergeCell ref="I41:J41"/>
    <mergeCell ref="D42:D43"/>
    <mergeCell ref="G42:G43"/>
    <mergeCell ref="J32:K32"/>
    <mergeCell ref="I40:J40"/>
    <mergeCell ref="J30:K30"/>
    <mergeCell ref="J31:K31"/>
    <mergeCell ref="E32:F32"/>
    <mergeCell ref="AC2:AL2"/>
    <mergeCell ref="W2:AA2"/>
    <mergeCell ref="B2:M2"/>
    <mergeCell ref="O2:U2"/>
    <mergeCell ref="P9:T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 for use</vt:lpstr>
      <vt:lpstr>TM-21 inputs</vt:lpstr>
      <vt:lpstr>Visualisations</vt:lpstr>
      <vt:lpstr>Report (Temp only interpolat'n)</vt:lpstr>
      <vt:lpstr>Report (Current only interpl'n)</vt:lpstr>
      <vt:lpstr>Report (Temp &amp; Current intpl'n)</vt:lpstr>
      <vt:lpstr>hidden sum calcs</vt:lpstr>
      <vt:lpstr>hidden sheet 1</vt:lpstr>
      <vt:lpstr>dropdown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Gillian Isoardi</dc:creator>
  <cp:lastModifiedBy>Jason Cox (ESC)</cp:lastModifiedBy>
  <cp:lastPrinted>2021-10-15T03:15:26Z</cp:lastPrinted>
  <dcterms:created xsi:type="dcterms:W3CDTF">2021-07-08T01:45:47Z</dcterms:created>
  <dcterms:modified xsi:type="dcterms:W3CDTF">2021-10-28T02:12:54Z</dcterms:modified>
</cp:coreProperties>
</file>