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escvic-my.sharepoint.com/personal/murry_greasley_esc_vic_gov_au/Documents/VDO model/"/>
    </mc:Choice>
  </mc:AlternateContent>
  <xr:revisionPtr revIDLastSave="0" documentId="8_{D88EB9E9-61AE-43C8-B3A0-9CC93611C859}" xr6:coauthVersionLast="46" xr6:coauthVersionMax="46" xr10:uidLastSave="{00000000-0000-0000-0000-000000000000}"/>
  <workbookProtection workbookAlgorithmName="SHA-512" workbookHashValue="7LZKwMaTq9bn7WRaxHZgDDdEdH1xOcugp4JJh2EVB9e5dKFIq6urPlpVz1oi7ad1tXiCvp60fmZ+B0dCrOaNgg==" workbookSaltValue="TgNwWRYQOlMK0va4jpWv6w==" workbookSpinCount="100000" lockStructure="1"/>
  <bookViews>
    <workbookView xWindow="21480" yWindow="-6920" windowWidth="27920" windowHeight="17470" tabRatio="720" xr2:uid="{7D2DFC98-FAB5-43BC-B4E4-A25601635F0E}"/>
  </bookViews>
  <sheets>
    <sheet name="Disclaimer" sheetId="46" r:id="rId1"/>
    <sheet name="Contents" sheetId="4" r:id="rId2"/>
    <sheet name="User Guide" sheetId="40" r:id="rId3"/>
    <sheet name="Information" sheetId="38" r:id="rId4"/>
    <sheet name="Sources" sheetId="41" state="hidden" r:id="rId5"/>
    <sheet name="Inputs" sheetId="42" r:id="rId6"/>
    <sheet name="General Assumptions" sheetId="39" r:id="rId7"/>
    <sheet name="CPI" sheetId="48" r:id="rId8"/>
    <sheet name="Calc_Rates" sheetId="44" r:id="rId9"/>
    <sheet name="OP_Rates" sheetId="51" r:id="rId10"/>
    <sheet name="OP_CMAB" sheetId="50" r:id="rId11"/>
    <sheet name="Lookup refs" sheetId="47" state="hidden" r:id="rId12"/>
  </sheets>
  <externalReferences>
    <externalReference r:id="rId13"/>
  </externalReferences>
  <definedNames>
    <definedName name="AUD">'General Assumptions'!$D$12</definedName>
    <definedName name="DiY">'General Assumptions'!$D$7</definedName>
    <definedName name="GST">'General Assumptions'!$D$15</definedName>
    <definedName name="H1_Prop">#REF!</definedName>
    <definedName name="H2_Prop">#REF!</definedName>
    <definedName name="MiQ">'General Assumptions'!$D$9</definedName>
    <definedName name="MiY">'General Assumptions'!$D$8</definedName>
    <definedName name="One">[1]Gen_A!$J$39</definedName>
    <definedName name="Sht">[1]Gen_A!$J$44</definedName>
    <definedName name="Sxn">[1]Gen_A!$J$45</definedName>
    <definedName name="WiY">'General Assumptions'!$D$10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8" i="41" l="1" a="1"/>
  <c r="D158" i="41" s="1"/>
  <c r="C158" i="41" a="1"/>
  <c r="C158" i="41" s="1"/>
  <c r="D132" i="41" a="1"/>
  <c r="D132" i="41" s="1"/>
  <c r="C132" i="41" a="1"/>
  <c r="C132" i="41" s="1"/>
  <c r="E154" i="41"/>
  <c r="E155" i="41" s="1"/>
  <c r="F154" i="41"/>
  <c r="H154" i="41"/>
  <c r="I154" i="41"/>
  <c r="F155" i="41"/>
  <c r="G155" i="41"/>
  <c r="H155" i="41"/>
  <c r="I155" i="41"/>
  <c r="E128" i="41"/>
  <c r="E129" i="41" s="1"/>
  <c r="F128" i="41"/>
  <c r="F129" i="41" s="1"/>
  <c r="H128" i="41"/>
  <c r="I128" i="41"/>
  <c r="I129" i="41" s="1"/>
  <c r="G129" i="41"/>
  <c r="H129" i="41"/>
  <c r="L34" i="50" l="1" a="1"/>
  <c r="L34" i="50" s="1"/>
  <c r="K34" i="50" a="1"/>
  <c r="K34" i="50" s="1"/>
  <c r="D34" i="50" a="1"/>
  <c r="D34" i="50" s="1"/>
  <c r="C34" i="50" a="1"/>
  <c r="C34" i="50" s="1"/>
  <c r="G2" i="50"/>
  <c r="H2" i="50"/>
  <c r="F2" i="51"/>
  <c r="G2" i="51"/>
  <c r="C286" i="44" l="1"/>
  <c r="C278" i="44"/>
  <c r="C269" i="44"/>
  <c r="E13" i="48"/>
  <c r="C261" i="44"/>
  <c r="C47" i="44"/>
  <c r="C39" i="44"/>
  <c r="C30" i="44"/>
  <c r="C22" i="44"/>
  <c r="C64" i="44"/>
  <c r="G8" i="41" l="1"/>
  <c r="P8" i="42"/>
  <c r="N8" i="42"/>
  <c r="L8" i="42"/>
  <c r="J8" i="42"/>
  <c r="H8" i="42"/>
  <c r="G421" i="44" s="1" a="1"/>
  <c r="G421" i="44" s="1"/>
  <c r="Q8" i="42"/>
  <c r="O8" i="42"/>
  <c r="M8" i="42"/>
  <c r="K8" i="42"/>
  <c r="I8" i="42"/>
  <c r="K129" i="42"/>
  <c r="J129" i="42"/>
  <c r="M129" i="42"/>
  <c r="L129" i="42"/>
  <c r="I129" i="42"/>
  <c r="M155" i="42"/>
  <c r="L155" i="42"/>
  <c r="K155" i="42"/>
  <c r="J155" i="42"/>
  <c r="I155" i="42"/>
  <c r="K424" i="44" l="1" a="1"/>
  <c r="K424" i="44" s="1"/>
  <c r="K281" i="44" s="1"/>
  <c r="H423" i="44" a="1"/>
  <c r="H423" i="44" s="1"/>
  <c r="H264" i="44" s="1"/>
  <c r="J424" i="44" a="1"/>
  <c r="J424" i="44" s="1"/>
  <c r="J281" i="44" s="1"/>
  <c r="I424" i="44" a="1"/>
  <c r="I424" i="44" s="1"/>
  <c r="I281" i="44" s="1"/>
  <c r="H424" i="44" a="1"/>
  <c r="H424" i="44" s="1"/>
  <c r="H281" i="44" s="1"/>
  <c r="G423" i="44" a="1"/>
  <c r="G423" i="44" s="1"/>
  <c r="G264" i="44" s="1"/>
  <c r="G424" i="44" a="1"/>
  <c r="G424" i="44" s="1"/>
  <c r="G281" i="44" s="1"/>
  <c r="K423" i="44" a="1"/>
  <c r="K423" i="44" s="1"/>
  <c r="K264" i="44" s="1"/>
  <c r="J423" i="44" a="1"/>
  <c r="J423" i="44" s="1"/>
  <c r="J264" i="44" s="1"/>
  <c r="I423" i="44" a="1"/>
  <c r="I423" i="44" s="1"/>
  <c r="I264" i="44" s="1"/>
  <c r="G185" i="44" a="1"/>
  <c r="G185" i="44" s="1"/>
  <c r="K184" i="44" a="1"/>
  <c r="K184" i="44" s="1"/>
  <c r="J184" i="44" a="1"/>
  <c r="J184" i="44" s="1"/>
  <c r="H185" i="44" a="1"/>
  <c r="H185" i="44" s="1"/>
  <c r="I184" i="44" a="1"/>
  <c r="I184" i="44" s="1"/>
  <c r="K185" i="44" a="1"/>
  <c r="K185" i="44" s="1"/>
  <c r="H184" i="44" a="1"/>
  <c r="H184" i="44" s="1"/>
  <c r="J185" i="44" a="1"/>
  <c r="J185" i="44" s="1"/>
  <c r="G184" i="44" a="1"/>
  <c r="G184" i="44" s="1"/>
  <c r="I185" i="44" a="1"/>
  <c r="I185" i="44" s="1"/>
  <c r="G25" i="44" l="1"/>
  <c r="G42" i="44"/>
  <c r="G48" i="44" s="1" a="1"/>
  <c r="G48" i="44" s="1"/>
  <c r="H25" i="44"/>
  <c r="H42" i="44"/>
  <c r="H48" i="44" s="1" a="1"/>
  <c r="H48" i="44" s="1"/>
  <c r="I25" i="44"/>
  <c r="I31" i="44" s="1" a="1"/>
  <c r="I31" i="44" s="1"/>
  <c r="I42" i="44"/>
  <c r="I48" i="44" s="1" a="1"/>
  <c r="I48" i="44" s="1"/>
  <c r="J25" i="44"/>
  <c r="J42" i="44"/>
  <c r="J48" i="44" s="1" a="1"/>
  <c r="J48" i="44" s="1"/>
  <c r="K25" i="44"/>
  <c r="K42" i="44"/>
  <c r="K48" i="44" s="1" a="1"/>
  <c r="K48" i="44" s="1"/>
  <c r="E384" i="44"/>
  <c r="F384" i="44"/>
  <c r="E385" i="44"/>
  <c r="F385" i="44"/>
  <c r="E386" i="44"/>
  <c r="F386" i="44"/>
  <c r="E387" i="44"/>
  <c r="F387" i="44"/>
  <c r="E388" i="44"/>
  <c r="F388" i="44"/>
  <c r="E383" i="44"/>
  <c r="F383" i="44"/>
  <c r="F382" i="44"/>
  <c r="E382" i="44"/>
  <c r="F143" i="44"/>
  <c r="F149" i="44"/>
  <c r="F148" i="44"/>
  <c r="F147" i="44"/>
  <c r="F146" i="44"/>
  <c r="F145" i="44"/>
  <c r="F144" i="44"/>
  <c r="E145" i="44"/>
  <c r="E146" i="44"/>
  <c r="E147" i="44"/>
  <c r="E148" i="44"/>
  <c r="E149" i="44"/>
  <c r="E144" i="44"/>
  <c r="E143" i="44"/>
  <c r="J27" i="44" l="1" a="1"/>
  <c r="J27" i="44" s="1"/>
  <c r="J31" i="44" a="1"/>
  <c r="J31" i="44" s="1"/>
  <c r="G27" i="44" a="1"/>
  <c r="G27" i="44" s="1"/>
  <c r="G31" i="44" a="1"/>
  <c r="G31" i="44" s="1"/>
  <c r="K29" i="44"/>
  <c r="K31" i="44" a="1"/>
  <c r="K31" i="44" s="1"/>
  <c r="H29" i="44"/>
  <c r="H31" i="44" a="1"/>
  <c r="H31" i="44" s="1"/>
  <c r="I29" i="44"/>
  <c r="K27" i="44" a="1"/>
  <c r="K27" i="44" s="1"/>
  <c r="J26" i="44"/>
  <c r="I30" i="44"/>
  <c r="H13" i="51" s="1"/>
  <c r="H24" i="51" s="1" a="1"/>
  <c r="H24" i="51" s="1"/>
  <c r="K28" i="44"/>
  <c r="H26" i="44"/>
  <c r="K26" i="44"/>
  <c r="J30" i="44"/>
  <c r="I13" i="51" s="1"/>
  <c r="I24" i="51" s="1" a="1"/>
  <c r="I24" i="51" s="1"/>
  <c r="H28" i="44"/>
  <c r="H27" i="44" a="1"/>
  <c r="H27" i="44" s="1"/>
  <c r="K30" i="44"/>
  <c r="J13" i="51" s="1"/>
  <c r="J24" i="51" s="1" a="1"/>
  <c r="J24" i="51" s="1"/>
  <c r="H30" i="44"/>
  <c r="G13" i="51" s="1"/>
  <c r="G24" i="51" s="1" a="1"/>
  <c r="G24" i="51" s="1"/>
  <c r="J29" i="44"/>
  <c r="J28" i="44"/>
  <c r="I26" i="44"/>
  <c r="K45" i="44"/>
  <c r="K44" i="44" a="1"/>
  <c r="K44" i="44" s="1"/>
  <c r="K47" i="44"/>
  <c r="S13" i="51" s="1"/>
  <c r="S24" i="51" s="1" a="1"/>
  <c r="S24" i="51" s="1"/>
  <c r="K43" i="44"/>
  <c r="K46" i="44"/>
  <c r="G30" i="44"/>
  <c r="F13" i="51" s="1"/>
  <c r="F24" i="51" s="1" a="1"/>
  <c r="F24" i="51" s="1"/>
  <c r="G29" i="44"/>
  <c r="H47" i="44"/>
  <c r="P13" i="51" s="1"/>
  <c r="P24" i="51" s="1" a="1"/>
  <c r="P24" i="51" s="1"/>
  <c r="H46" i="44"/>
  <c r="H45" i="44"/>
  <c r="H43" i="44"/>
  <c r="H44" i="44" a="1"/>
  <c r="H44" i="44" s="1"/>
  <c r="I28" i="44"/>
  <c r="G28" i="44"/>
  <c r="G26" i="44"/>
  <c r="I46" i="44"/>
  <c r="I43" i="44"/>
  <c r="I44" i="44" a="1"/>
  <c r="I44" i="44" s="1"/>
  <c r="I47" i="44"/>
  <c r="Q13" i="51" s="1"/>
  <c r="Q24" i="51" s="1" a="1"/>
  <c r="Q24" i="51" s="1"/>
  <c r="I45" i="44"/>
  <c r="I27" i="44" a="1"/>
  <c r="I27" i="44" s="1"/>
  <c r="J43" i="44"/>
  <c r="J45" i="44"/>
  <c r="J47" i="44"/>
  <c r="R13" i="51" s="1"/>
  <c r="R24" i="51" s="1" a="1"/>
  <c r="R24" i="51" s="1"/>
  <c r="J44" i="44" a="1"/>
  <c r="J44" i="44" s="1"/>
  <c r="J46" i="44"/>
  <c r="G46" i="44"/>
  <c r="G43" i="44"/>
  <c r="G47" i="44"/>
  <c r="O13" i="51" s="1"/>
  <c r="O24" i="51" s="1" a="1"/>
  <c r="O24" i="51" s="1"/>
  <c r="G45" i="44"/>
  <c r="G44" i="44" a="1"/>
  <c r="G44" i="44" s="1"/>
  <c r="C78" i="44"/>
  <c r="E7" i="41"/>
  <c r="E8" i="41" s="1"/>
  <c r="I7" i="41" l="1"/>
  <c r="I8" i="41" s="1"/>
  <c r="H7" i="41"/>
  <c r="H8" i="41" s="1"/>
  <c r="F7" i="41"/>
  <c r="F8" i="41" s="1"/>
  <c r="E2" i="44" l="1"/>
  <c r="D2" i="44"/>
  <c r="E12" i="48"/>
  <c r="D379" i="44" s="1"/>
  <c r="G382" i="44" s="1"/>
  <c r="C5" i="51"/>
  <c r="E159" i="42"/>
  <c r="E160" i="42"/>
  <c r="E161" i="42"/>
  <c r="E162" i="42"/>
  <c r="E163" i="42"/>
  <c r="E164" i="42"/>
  <c r="E165" i="42"/>
  <c r="E166" i="42"/>
  <c r="E167" i="42"/>
  <c r="E168" i="42"/>
  <c r="E169" i="42"/>
  <c r="E158" i="42"/>
  <c r="E133" i="42"/>
  <c r="E134" i="42"/>
  <c r="E135" i="42"/>
  <c r="E136" i="42"/>
  <c r="E137" i="42"/>
  <c r="E138" i="42"/>
  <c r="E139" i="42"/>
  <c r="E140" i="42"/>
  <c r="E141" i="42"/>
  <c r="E142" i="42"/>
  <c r="E143" i="42"/>
  <c r="E144" i="42"/>
  <c r="E145" i="42"/>
  <c r="E146" i="42"/>
  <c r="E147" i="42"/>
  <c r="E148" i="42"/>
  <c r="E149" i="42"/>
  <c r="E132" i="42"/>
  <c r="D20" i="50"/>
  <c r="D7" i="50"/>
  <c r="C18" i="50"/>
  <c r="C5" i="50"/>
  <c r="C30" i="51"/>
  <c r="C374" i="44"/>
  <c r="C367" i="44"/>
  <c r="C360" i="44"/>
  <c r="C353" i="44"/>
  <c r="C346" i="44"/>
  <c r="C338" i="44"/>
  <c r="C331" i="44"/>
  <c r="C324" i="44"/>
  <c r="C317" i="44"/>
  <c r="C310" i="44"/>
  <c r="C303" i="44"/>
  <c r="O41" i="51" l="1"/>
  <c r="O53" i="51" s="1" a="1"/>
  <c r="O53" i="51" s="1"/>
  <c r="S41" i="51"/>
  <c r="S53" i="51" s="1" a="1"/>
  <c r="S53" i="51" s="1"/>
  <c r="R41" i="51"/>
  <c r="R53" i="51" s="1" a="1"/>
  <c r="R53" i="51" s="1"/>
  <c r="Q41" i="51"/>
  <c r="Q53" i="51" s="1" a="1"/>
  <c r="Q53" i="51" s="1"/>
  <c r="P41" i="51"/>
  <c r="P53" i="51" s="1" a="1"/>
  <c r="P53" i="51" s="1"/>
  <c r="G384" i="44"/>
  <c r="G387" i="44"/>
  <c r="G385" i="44"/>
  <c r="G386" i="44"/>
  <c r="G388" i="44"/>
  <c r="G383" i="44"/>
  <c r="C3" i="51" l="1"/>
  <c r="B3" i="51"/>
  <c r="C2" i="51"/>
  <c r="B3" i="50"/>
  <c r="C2" i="50"/>
  <c r="D11" i="41" a="1"/>
  <c r="D11" i="41" s="1"/>
  <c r="C11" i="41" a="1"/>
  <c r="C11" i="41" s="1"/>
  <c r="B5" i="50" l="1"/>
  <c r="B18" i="50" s="1"/>
  <c r="B5" i="51"/>
  <c r="B30" i="51" s="1"/>
  <c r="C92" i="44"/>
  <c r="C85" i="44"/>
  <c r="C135" i="44"/>
  <c r="C128" i="44"/>
  <c r="C121" i="44"/>
  <c r="C114" i="44"/>
  <c r="C107" i="44"/>
  <c r="C99" i="44"/>
  <c r="C71" i="44"/>
  <c r="G435" i="44" l="1" a="1"/>
  <c r="G435" i="44" s="1"/>
  <c r="G342" i="44" s="1"/>
  <c r="H382" i="44"/>
  <c r="G403" i="44" s="1" a="1"/>
  <c r="G403" i="44" s="1"/>
  <c r="B31" i="50"/>
  <c r="G175" i="44" a="1"/>
  <c r="G175" i="44" s="1"/>
  <c r="G226" i="44" a="1"/>
  <c r="G226" i="44" s="1"/>
  <c r="K195" i="44" a="1"/>
  <c r="K195" i="44" s="1"/>
  <c r="J176" i="44" a="1"/>
  <c r="J176" i="44" s="1"/>
  <c r="K191" i="44" a="1"/>
  <c r="K191" i="44" s="1"/>
  <c r="J186" i="44" a="1"/>
  <c r="J186" i="44" s="1"/>
  <c r="K206" i="44" a="1"/>
  <c r="K206" i="44" s="1"/>
  <c r="G197" i="44" a="1"/>
  <c r="G197" i="44" s="1"/>
  <c r="K154" i="44" a="1"/>
  <c r="K154" i="44" s="1"/>
  <c r="K193" i="44" a="1"/>
  <c r="K193" i="44" s="1"/>
  <c r="J171" i="44" a="1"/>
  <c r="J171" i="44" s="1"/>
  <c r="G190" i="44" a="1"/>
  <c r="G190" i="44" s="1"/>
  <c r="G60" i="44" s="1"/>
  <c r="J182" i="44" a="1"/>
  <c r="J182" i="44" s="1"/>
  <c r="J17" i="44" s="1"/>
  <c r="K159" i="44" a="1"/>
  <c r="K159" i="44" s="1"/>
  <c r="H213" i="44" a="1"/>
  <c r="H213" i="44" s="1"/>
  <c r="K199" i="44" a="1"/>
  <c r="K199" i="44" s="1"/>
  <c r="K221" i="44" a="1"/>
  <c r="K221" i="44" s="1"/>
  <c r="K197" i="44" a="1"/>
  <c r="K197" i="44" s="1"/>
  <c r="G410" i="44" a="1"/>
  <c r="G410" i="44" s="1"/>
  <c r="I171" i="44" a="1"/>
  <c r="I171" i="44" s="1"/>
  <c r="J191" i="44" a="1"/>
  <c r="J191" i="44" s="1"/>
  <c r="I398" i="44" a="1"/>
  <c r="I398" i="44" s="1"/>
  <c r="K436" i="44" a="1"/>
  <c r="K436" i="44" s="1"/>
  <c r="K466" i="44" a="1"/>
  <c r="K466" i="44" s="1"/>
  <c r="I159" i="44" a="1"/>
  <c r="I159" i="44" s="1"/>
  <c r="I195" i="44" a="1"/>
  <c r="I195" i="44" s="1"/>
  <c r="G232" i="44" a="1"/>
  <c r="G232" i="44" s="1"/>
  <c r="G437" i="44" a="1"/>
  <c r="G437" i="44" s="1"/>
  <c r="J451" i="44" a="1"/>
  <c r="J451" i="44" s="1"/>
  <c r="H465" i="44" a="1"/>
  <c r="H465" i="44" s="1"/>
  <c r="H199" i="44" a="1"/>
  <c r="H199" i="44" s="1"/>
  <c r="H221" i="44" a="1"/>
  <c r="H221" i="44" s="1"/>
  <c r="J422" i="44" a="1"/>
  <c r="J422" i="44" s="1"/>
  <c r="J273" i="44" s="1"/>
  <c r="K446" i="44" a="1"/>
  <c r="K446" i="44" s="1"/>
  <c r="J175" i="44" a="1"/>
  <c r="J175" i="44" s="1"/>
  <c r="K192" i="44" a="1"/>
  <c r="K192" i="44" s="1"/>
  <c r="H438" i="44" a="1"/>
  <c r="H438" i="44" s="1"/>
  <c r="H363" i="44" s="1"/>
  <c r="J459" i="44" a="1"/>
  <c r="J459" i="44" s="1"/>
  <c r="J153" i="44" a="1"/>
  <c r="J153" i="44" s="1"/>
  <c r="J196" i="44" a="1"/>
  <c r="J196" i="44" s="1"/>
  <c r="H227" i="44" a="1"/>
  <c r="H227" i="44" s="1"/>
  <c r="G432" i="44" a="1"/>
  <c r="G432" i="44" s="1"/>
  <c r="G320" i="44" s="1"/>
  <c r="K452" i="44" a="1"/>
  <c r="K452" i="44" s="1"/>
  <c r="H175" i="44" a="1"/>
  <c r="H175" i="44" s="1"/>
  <c r="I192" i="44" a="1"/>
  <c r="I192" i="44" s="1"/>
  <c r="G398" i="44" a="1"/>
  <c r="G398" i="44" s="1"/>
  <c r="J437" i="44" a="1"/>
  <c r="J437" i="44" s="1"/>
  <c r="H459" i="44" a="1"/>
  <c r="H459" i="44" s="1"/>
  <c r="G154" i="44" a="1"/>
  <c r="G154" i="44" s="1"/>
  <c r="H198" i="44" a="1"/>
  <c r="H198" i="44" s="1"/>
  <c r="H220" i="44" a="1"/>
  <c r="H220" i="44" s="1"/>
  <c r="J421" i="44" a="1"/>
  <c r="J421" i="44" s="1"/>
  <c r="J256" i="44" s="1"/>
  <c r="K445" i="44" a="1"/>
  <c r="K445" i="44" s="1"/>
  <c r="I233" i="44" a="1"/>
  <c r="I233" i="44" s="1"/>
  <c r="J425" i="44" a="1"/>
  <c r="J425" i="44" s="1"/>
  <c r="K232" i="44" a="1"/>
  <c r="K232" i="44" s="1"/>
  <c r="I186" i="44" a="1"/>
  <c r="I186" i="44" s="1"/>
  <c r="G191" i="44" a="1"/>
  <c r="G191" i="44" s="1"/>
  <c r="K392" i="44" a="1"/>
  <c r="K392" i="44" s="1"/>
  <c r="K434" i="44" a="1"/>
  <c r="K434" i="44" s="1"/>
  <c r="K334" i="44" s="1"/>
  <c r="G471" i="44" a="1"/>
  <c r="G471" i="44" s="1"/>
  <c r="H176" i="44" a="1"/>
  <c r="H176" i="44" s="1"/>
  <c r="I193" i="44" a="1"/>
  <c r="I193" i="44" s="1"/>
  <c r="I232" i="44" a="1"/>
  <c r="I232" i="44" s="1"/>
  <c r="J438" i="44" a="1"/>
  <c r="J438" i="44" s="1"/>
  <c r="J363" i="44" s="1"/>
  <c r="H460" i="44" a="1"/>
  <c r="H460" i="44" s="1"/>
  <c r="H154" i="44" a="1"/>
  <c r="H154" i="44" s="1"/>
  <c r="H197" i="44" a="1"/>
  <c r="H197" i="44" s="1"/>
  <c r="J227" i="44" a="1"/>
  <c r="J227" i="44" s="1"/>
  <c r="G430" i="44" a="1"/>
  <c r="G430" i="44" s="1"/>
  <c r="G451" i="44" a="1"/>
  <c r="G451" i="44" s="1"/>
  <c r="G182" i="44" a="1"/>
  <c r="G182" i="44" s="1"/>
  <c r="K190" i="44" a="1"/>
  <c r="K190" i="44" s="1"/>
  <c r="G393" i="44" a="1"/>
  <c r="G393" i="44" s="1"/>
  <c r="H436" i="44" a="1"/>
  <c r="H436" i="44" s="1"/>
  <c r="H466" i="44" a="1"/>
  <c r="H466" i="44" s="1"/>
  <c r="G171" i="44" a="1"/>
  <c r="G171" i="44" s="1"/>
  <c r="J194" i="44" a="1"/>
  <c r="J194" i="44" s="1"/>
  <c r="J233" i="44" a="1"/>
  <c r="J233" i="44" s="1"/>
  <c r="K439" i="44" a="1"/>
  <c r="K439" i="44" s="1"/>
  <c r="K370" i="44" s="1"/>
  <c r="G459" i="44" a="1"/>
  <c r="G459" i="44" s="1"/>
  <c r="G186" i="44" a="1"/>
  <c r="G186" i="44" s="1"/>
  <c r="I190" i="44" a="1"/>
  <c r="I190" i="44" s="1"/>
  <c r="J393" i="44" a="1"/>
  <c r="J393" i="44" s="1"/>
  <c r="J435" i="44" a="1"/>
  <c r="J435" i="44" s="1"/>
  <c r="J465" i="44" a="1"/>
  <c r="J465" i="44" s="1"/>
  <c r="H153" i="44" a="1"/>
  <c r="H153" i="44" s="1"/>
  <c r="H196" i="44" a="1"/>
  <c r="H196" i="44" s="1"/>
  <c r="J226" i="44" a="1"/>
  <c r="J226" i="44" s="1"/>
  <c r="G434" i="44" a="1"/>
  <c r="G434" i="44" s="1"/>
  <c r="G334" i="44" s="1"/>
  <c r="I452" i="44" a="1"/>
  <c r="I452" i="44" s="1"/>
  <c r="K438" i="44" a="1"/>
  <c r="K438" i="44" s="1"/>
  <c r="K363" i="44" s="1"/>
  <c r="H445" i="44" a="1"/>
  <c r="H445" i="44" s="1"/>
  <c r="I430" i="44" a="1"/>
  <c r="I430" i="44" s="1"/>
  <c r="J198" i="44" a="1"/>
  <c r="J198" i="44" s="1"/>
  <c r="J439" i="44" a="1"/>
  <c r="J439" i="44" s="1"/>
  <c r="J370" i="44" s="1"/>
  <c r="I425" i="44" a="1"/>
  <c r="I425" i="44" s="1"/>
  <c r="I182" i="44" a="1"/>
  <c r="I182" i="44" s="1"/>
  <c r="I17" i="44" s="1"/>
  <c r="J206" i="44" a="1"/>
  <c r="J206" i="44" s="1"/>
  <c r="I415" i="44" a="1"/>
  <c r="I415" i="44" s="1"/>
  <c r="K432" i="44" a="1"/>
  <c r="K432" i="44" s="1"/>
  <c r="K320" i="44" s="1"/>
  <c r="I471" i="44" a="1"/>
  <c r="I471" i="44" s="1"/>
  <c r="H171" i="44" a="1"/>
  <c r="H171" i="44" s="1"/>
  <c r="I191" i="44" a="1"/>
  <c r="I191" i="44" s="1"/>
  <c r="H398" i="44" a="1"/>
  <c r="H398" i="44" s="1"/>
  <c r="J436" i="44" a="1"/>
  <c r="J436" i="44" s="1"/>
  <c r="J466" i="44" a="1"/>
  <c r="J466" i="44" s="1"/>
  <c r="H159" i="44" a="1"/>
  <c r="H159" i="44" s="1"/>
  <c r="H195" i="44" a="1"/>
  <c r="H195" i="44" s="1"/>
  <c r="G233" i="44" a="1"/>
  <c r="G233" i="44" s="1"/>
  <c r="G438" i="44" a="1"/>
  <c r="G438" i="44" s="1"/>
  <c r="G363" i="44" s="1"/>
  <c r="I451" i="44" a="1"/>
  <c r="I451" i="44" s="1"/>
  <c r="J183" i="44" a="1"/>
  <c r="J183" i="44" s="1"/>
  <c r="J34" i="44" s="1"/>
  <c r="K207" i="44" a="1"/>
  <c r="K207" i="44" s="1"/>
  <c r="H392" i="44" a="1"/>
  <c r="H392" i="44" s="1"/>
  <c r="H434" i="44" a="1"/>
  <c r="H434" i="44" s="1"/>
  <c r="H334" i="44" s="1"/>
  <c r="J472" i="44" a="1"/>
  <c r="J472" i="44" s="1"/>
  <c r="I175" i="44" a="1"/>
  <c r="I175" i="44" s="1"/>
  <c r="J192" i="44" a="1"/>
  <c r="J192" i="44" s="1"/>
  <c r="K437" i="44" a="1"/>
  <c r="K437" i="44" s="1"/>
  <c r="I459" i="44" a="1"/>
  <c r="I459" i="44" s="1"/>
  <c r="H183" i="44" a="1"/>
  <c r="H183" i="44" s="1"/>
  <c r="H34" i="44" s="1"/>
  <c r="I207" i="44" a="1"/>
  <c r="I207" i="44" s="1"/>
  <c r="G415" i="44" a="1"/>
  <c r="G415" i="44" s="1"/>
  <c r="J433" i="44" a="1"/>
  <c r="J433" i="44" s="1"/>
  <c r="J327" i="44" s="1"/>
  <c r="H472" i="44" a="1"/>
  <c r="H472" i="44" s="1"/>
  <c r="K176" i="44" a="1"/>
  <c r="K176" i="44" s="1"/>
  <c r="H194" i="44" a="1"/>
  <c r="H194" i="44" s="1"/>
  <c r="H233" i="44" a="1"/>
  <c r="H233" i="44" s="1"/>
  <c r="I439" i="44" a="1"/>
  <c r="I439" i="44" s="1"/>
  <c r="I370" i="44" s="1"/>
  <c r="K460" i="44" a="1"/>
  <c r="K460" i="44" s="1"/>
  <c r="I212" i="44" a="1"/>
  <c r="I212" i="44" s="1"/>
  <c r="G439" i="44" a="1"/>
  <c r="G439" i="44" s="1"/>
  <c r="G370" i="44" s="1"/>
  <c r="G176" i="44" a="1"/>
  <c r="G176" i="44" s="1"/>
  <c r="G221" i="44" a="1"/>
  <c r="G221" i="44" s="1"/>
  <c r="H435" i="44" a="1"/>
  <c r="H435" i="44" s="1"/>
  <c r="G198" i="44" a="1"/>
  <c r="G198" i="44" s="1"/>
  <c r="K212" i="44" a="1"/>
  <c r="K212" i="44" s="1"/>
  <c r="I410" i="44" a="1"/>
  <c r="I410" i="44" s="1"/>
  <c r="K430" i="44" a="1"/>
  <c r="K430" i="44" s="1"/>
  <c r="H393" i="44" a="1"/>
  <c r="H393" i="44" s="1"/>
  <c r="H186" i="44" a="1"/>
  <c r="H186" i="44" s="1"/>
  <c r="G207" i="44" a="1"/>
  <c r="G207" i="44" s="1"/>
  <c r="J392" i="44" a="1"/>
  <c r="J392" i="44" s="1"/>
  <c r="J434" i="44" a="1"/>
  <c r="J434" i="44" s="1"/>
  <c r="J334" i="44" s="1"/>
  <c r="G472" i="44" a="1"/>
  <c r="G472" i="44" s="1"/>
  <c r="K175" i="44" a="1"/>
  <c r="K175" i="44" s="1"/>
  <c r="H193" i="44" a="1"/>
  <c r="H193" i="44" s="1"/>
  <c r="H232" i="44" a="1"/>
  <c r="H232" i="44" s="1"/>
  <c r="H234" i="44" s="1"/>
  <c r="I438" i="44" a="1"/>
  <c r="I438" i="44" s="1"/>
  <c r="I363" i="44" s="1"/>
  <c r="K459" i="44" a="1"/>
  <c r="K459" i="44" s="1"/>
  <c r="G193" i="44" a="1"/>
  <c r="G193" i="44" s="1"/>
  <c r="G213" i="44" a="1"/>
  <c r="G213" i="44" s="1"/>
  <c r="J414" i="44" a="1"/>
  <c r="J414" i="44" s="1"/>
  <c r="H432" i="44" a="1"/>
  <c r="H432" i="44" s="1"/>
  <c r="H320" i="44" s="1"/>
  <c r="J398" i="44" a="1"/>
  <c r="J398" i="44" s="1"/>
  <c r="G183" i="44" a="1"/>
  <c r="G183" i="44" s="1"/>
  <c r="G34" i="44" s="1"/>
  <c r="J190" i="44" a="1"/>
  <c r="J190" i="44" s="1"/>
  <c r="K393" i="44" a="1"/>
  <c r="K393" i="44" s="1"/>
  <c r="K435" i="44" a="1"/>
  <c r="K435" i="44" s="1"/>
  <c r="K465" i="44" a="1"/>
  <c r="K465" i="44" s="1"/>
  <c r="K467" i="44" s="1"/>
  <c r="G195" i="44" a="1"/>
  <c r="G195" i="44" s="1"/>
  <c r="J213" i="44" a="1"/>
  <c r="J213" i="44" s="1"/>
  <c r="H414" i="44" a="1"/>
  <c r="H414" i="44" s="1"/>
  <c r="J431" i="44" a="1"/>
  <c r="J431" i="44" s="1"/>
  <c r="J415" i="44" a="1"/>
  <c r="J415" i="44" s="1"/>
  <c r="K171" i="44" a="1"/>
  <c r="K171" i="44" s="1"/>
  <c r="H192" i="44" a="1"/>
  <c r="H192" i="44" s="1"/>
  <c r="K398" i="44" a="1"/>
  <c r="K398" i="44" s="1"/>
  <c r="I437" i="44" a="1"/>
  <c r="I437" i="44" s="1"/>
  <c r="G465" i="44" a="1"/>
  <c r="G465" i="44" s="1"/>
  <c r="J232" i="44" a="1"/>
  <c r="J232" i="44" s="1"/>
  <c r="J234" i="44" s="1"/>
  <c r="K227" i="44" a="1"/>
  <c r="K227" i="44" s="1"/>
  <c r="H429" i="44" a="1"/>
  <c r="H429" i="44" s="1"/>
  <c r="K233" i="44" a="1"/>
  <c r="K233" i="44" s="1"/>
  <c r="J220" i="44" a="1"/>
  <c r="J220" i="44" s="1"/>
  <c r="I194" i="44" a="1"/>
  <c r="I194" i="44" s="1"/>
  <c r="H452" i="44" a="1"/>
  <c r="H452" i="44" s="1"/>
  <c r="J199" i="44" a="1"/>
  <c r="J199" i="44" s="1"/>
  <c r="J221" i="44" a="1"/>
  <c r="J221" i="44" s="1"/>
  <c r="H425" i="44" a="1"/>
  <c r="H425" i="44" s="1"/>
  <c r="G445" i="44" a="1"/>
  <c r="G445" i="44" s="1"/>
  <c r="I421" i="44" a="1"/>
  <c r="I421" i="44" s="1"/>
  <c r="I256" i="44" s="1"/>
  <c r="H182" i="44" a="1"/>
  <c r="H182" i="44" s="1"/>
  <c r="H17" i="44" s="1"/>
  <c r="I206" i="44" a="1"/>
  <c r="I206" i="44" s="1"/>
  <c r="H415" i="44" a="1"/>
  <c r="H415" i="44" s="1"/>
  <c r="J432" i="44" a="1"/>
  <c r="J432" i="44" s="1"/>
  <c r="J320" i="44" s="1"/>
  <c r="H471" i="44" a="1"/>
  <c r="H471" i="44" s="1"/>
  <c r="H191" i="44" a="1"/>
  <c r="H191" i="44" s="1"/>
  <c r="G392" i="44" a="1"/>
  <c r="G392" i="44" s="1"/>
  <c r="I436" i="44" a="1"/>
  <c r="I436" i="44" s="1"/>
  <c r="I466" i="44" a="1"/>
  <c r="I466" i="44" s="1"/>
  <c r="K200" i="44" a="1"/>
  <c r="K200" i="44" s="1"/>
  <c r="H212" i="44" a="1"/>
  <c r="H212" i="44" s="1"/>
  <c r="G422" i="44" a="1"/>
  <c r="G422" i="44" s="1"/>
  <c r="G273" i="44" s="1"/>
  <c r="H430" i="44" a="1"/>
  <c r="H430" i="44" s="1"/>
  <c r="H439" i="44" a="1"/>
  <c r="H439" i="44" s="1"/>
  <c r="H370" i="44" s="1"/>
  <c r="I183" i="44" a="1"/>
  <c r="I183" i="44" s="1"/>
  <c r="I34" i="44" s="1"/>
  <c r="J207" i="44" a="1"/>
  <c r="J207" i="44" s="1"/>
  <c r="G414" i="44" a="1"/>
  <c r="G414" i="44" s="1"/>
  <c r="K433" i="44" a="1"/>
  <c r="K433" i="44" s="1"/>
  <c r="K327" i="44" s="1"/>
  <c r="I472" i="44" a="1"/>
  <c r="I472" i="44" s="1"/>
  <c r="I200" i="44" a="1"/>
  <c r="I200" i="44" s="1"/>
  <c r="G220" i="44" a="1"/>
  <c r="G220" i="44" s="1"/>
  <c r="K425" i="44" a="1"/>
  <c r="K425" i="44" s="1"/>
  <c r="J429" i="44" a="1"/>
  <c r="J429" i="44" s="1"/>
  <c r="J410" i="44" a="1"/>
  <c r="J410" i="44" s="1"/>
  <c r="K186" i="44" a="1"/>
  <c r="K186" i="44" s="1"/>
  <c r="H190" i="44" a="1"/>
  <c r="H190" i="44" s="1"/>
  <c r="I393" i="44" a="1"/>
  <c r="I393" i="44" s="1"/>
  <c r="I435" i="44" a="1"/>
  <c r="I435" i="44" s="1"/>
  <c r="I465" i="44" a="1"/>
  <c r="I465" i="44" s="1"/>
  <c r="I154" i="44" a="1"/>
  <c r="I154" i="44" s="1"/>
  <c r="G200" i="44" a="1"/>
  <c r="G200" i="44" s="1"/>
  <c r="H451" i="44" a="1"/>
  <c r="H451" i="44" s="1"/>
  <c r="I446" i="44" a="1"/>
  <c r="I446" i="44" s="1"/>
  <c r="H200" i="44" a="1"/>
  <c r="H200" i="44" s="1"/>
  <c r="J154" i="44" a="1"/>
  <c r="J154" i="44" s="1"/>
  <c r="J197" i="44" a="1"/>
  <c r="J197" i="44" s="1"/>
  <c r="G227" i="44" a="1"/>
  <c r="G227" i="44" s="1"/>
  <c r="H421" i="44" a="1"/>
  <c r="H421" i="44" s="1"/>
  <c r="H256" i="44" s="1"/>
  <c r="I445" i="44" a="1"/>
  <c r="I445" i="44" s="1"/>
  <c r="H433" i="44" a="1"/>
  <c r="H433" i="44" s="1"/>
  <c r="H327" i="44" s="1"/>
  <c r="G199" i="44" a="1"/>
  <c r="G199" i="44" s="1"/>
  <c r="J212" i="44" a="1"/>
  <c r="J212" i="44" s="1"/>
  <c r="H410" i="44" a="1"/>
  <c r="H410" i="44" s="1"/>
  <c r="J430" i="44" a="1"/>
  <c r="J430" i="44" s="1"/>
  <c r="I226" i="44" a="1"/>
  <c r="I226" i="44" s="1"/>
  <c r="K183" i="44" a="1"/>
  <c r="K183" i="44" s="1"/>
  <c r="K34" i="44" s="1"/>
  <c r="G206" i="44" a="1"/>
  <c r="G206" i="44" s="1"/>
  <c r="I392" i="44" a="1"/>
  <c r="I392" i="44" s="1"/>
  <c r="I434" i="44" a="1"/>
  <c r="I434" i="44" s="1"/>
  <c r="I334" i="44" s="1"/>
  <c r="K472" i="44" a="1"/>
  <c r="K472" i="44" s="1"/>
  <c r="K198" i="44" a="1"/>
  <c r="K198" i="44" s="1"/>
  <c r="K220" i="44" a="1"/>
  <c r="K220" i="44" s="1"/>
  <c r="K222" i="44" s="1"/>
  <c r="I422" i="44" a="1"/>
  <c r="I422" i="44" s="1"/>
  <c r="I273" i="44" s="1"/>
  <c r="J446" i="44" a="1"/>
  <c r="J446" i="44" s="1"/>
  <c r="H431" i="44" a="1"/>
  <c r="H431" i="44" s="1"/>
  <c r="G194" i="44" a="1"/>
  <c r="G194" i="44" s="1"/>
  <c r="K213" i="44" a="1"/>
  <c r="K213" i="44" s="1"/>
  <c r="I414" i="44" a="1"/>
  <c r="I414" i="44" s="1"/>
  <c r="K431" i="44" a="1"/>
  <c r="K431" i="44" s="1"/>
  <c r="K313" i="44" s="1"/>
  <c r="G153" i="44" a="1"/>
  <c r="G153" i="44" s="1"/>
  <c r="I198" i="44" a="1"/>
  <c r="I198" i="44" s="1"/>
  <c r="I220" i="44" a="1"/>
  <c r="I220" i="44" s="1"/>
  <c r="K421" i="44" a="1"/>
  <c r="K421" i="44" s="1"/>
  <c r="K256" i="44" s="1"/>
  <c r="H446" i="44" a="1"/>
  <c r="H446" i="44" s="1"/>
  <c r="H437" i="44" a="1"/>
  <c r="H437" i="44" s="1"/>
  <c r="K182" i="44" a="1"/>
  <c r="K182" i="44" s="1"/>
  <c r="K17" i="44" s="1"/>
  <c r="H207" i="44" a="1"/>
  <c r="H207" i="44" s="1"/>
  <c r="K415" i="44" a="1"/>
  <c r="K415" i="44" s="1"/>
  <c r="I433" i="44" a="1"/>
  <c r="I433" i="44" s="1"/>
  <c r="I327" i="44" s="1"/>
  <c r="K471" i="44" a="1"/>
  <c r="K471" i="44" s="1"/>
  <c r="K473" i="44" s="1"/>
  <c r="I197" i="44" a="1"/>
  <c r="I197" i="44" s="1"/>
  <c r="G159" i="44" a="1"/>
  <c r="G159" i="44" s="1"/>
  <c r="J471" i="44" a="1"/>
  <c r="J471" i="44" s="1"/>
  <c r="J159" i="44" a="1"/>
  <c r="J159" i="44" s="1"/>
  <c r="J195" i="44" a="1"/>
  <c r="J195" i="44" s="1"/>
  <c r="H226" i="44" a="1"/>
  <c r="H226" i="44" s="1"/>
  <c r="H228" i="44" s="1"/>
  <c r="G436" i="44" a="1"/>
  <c r="G436" i="44" s="1"/>
  <c r="K451" i="44" a="1"/>
  <c r="K451" i="44" s="1"/>
  <c r="J460" i="44" a="1"/>
  <c r="J460" i="44" s="1"/>
  <c r="I199" i="44" a="1"/>
  <c r="I199" i="44" s="1"/>
  <c r="I221" i="44" a="1"/>
  <c r="I221" i="44" s="1"/>
  <c r="K422" i="44" a="1"/>
  <c r="K422" i="44" s="1"/>
  <c r="K273" i="44" s="1"/>
  <c r="G446" i="44" a="1"/>
  <c r="G446" i="44" s="1"/>
  <c r="G192" i="44" a="1"/>
  <c r="G192" i="44" s="1"/>
  <c r="H206" i="44" a="1"/>
  <c r="H206" i="44" s="1"/>
  <c r="K414" i="44" a="1"/>
  <c r="K414" i="44" s="1"/>
  <c r="I432" i="44" a="1"/>
  <c r="I432" i="44" s="1"/>
  <c r="I320" i="44" s="1"/>
  <c r="K153" i="44" a="1"/>
  <c r="K153" i="44" s="1"/>
  <c r="K196" i="44" a="1"/>
  <c r="K196" i="44" s="1"/>
  <c r="I227" i="44" a="1"/>
  <c r="I227" i="44" s="1"/>
  <c r="G431" i="44" a="1"/>
  <c r="G431" i="44" s="1"/>
  <c r="G452" i="44" a="1"/>
  <c r="G452" i="44" s="1"/>
  <c r="G466" i="44" a="1"/>
  <c r="G466" i="44" s="1"/>
  <c r="J200" i="44" a="1"/>
  <c r="J200" i="44" s="1"/>
  <c r="G212" i="44" a="1"/>
  <c r="G212" i="44" s="1"/>
  <c r="G425" i="44" a="1"/>
  <c r="G425" i="44" s="1"/>
  <c r="K429" i="44" a="1"/>
  <c r="K429" i="44" s="1"/>
  <c r="I153" i="44" a="1"/>
  <c r="I153" i="44" s="1"/>
  <c r="I196" i="44" a="1"/>
  <c r="I196" i="44" s="1"/>
  <c r="K226" i="44" a="1"/>
  <c r="K226" i="44" s="1"/>
  <c r="G433" i="44" a="1"/>
  <c r="G433" i="44" s="1"/>
  <c r="G327" i="44" s="1"/>
  <c r="J452" i="44" a="1"/>
  <c r="J452" i="44" s="1"/>
  <c r="J445" i="44" a="1"/>
  <c r="J445" i="44" s="1"/>
  <c r="G196" i="44" a="1"/>
  <c r="G196" i="44" s="1"/>
  <c r="I213" i="44" a="1"/>
  <c r="I213" i="44" s="1"/>
  <c r="K410" i="44" a="1"/>
  <c r="K410" i="44" s="1"/>
  <c r="I431" i="44" a="1"/>
  <c r="I431" i="44" s="1"/>
  <c r="I176" i="44" a="1"/>
  <c r="I176" i="44" s="1"/>
  <c r="J193" i="44" a="1"/>
  <c r="J193" i="44" s="1"/>
  <c r="I460" i="44" a="1"/>
  <c r="I460" i="44" s="1"/>
  <c r="G429" i="44" a="1"/>
  <c r="G429" i="44" s="1"/>
  <c r="G256" i="44"/>
  <c r="K194" i="44" a="1"/>
  <c r="K194" i="44" s="1"/>
  <c r="H422" i="44" a="1"/>
  <c r="H422" i="44" s="1"/>
  <c r="H273" i="44" s="1"/>
  <c r="G460" i="44" a="1"/>
  <c r="G460" i="44" s="1"/>
  <c r="I429" i="44" a="1"/>
  <c r="I429" i="44" s="1"/>
  <c r="H383" i="44"/>
  <c r="H386" i="44"/>
  <c r="H384" i="44"/>
  <c r="H385" i="44"/>
  <c r="H388" i="44"/>
  <c r="H387" i="44"/>
  <c r="Q16" i="51"/>
  <c r="Q27" i="51" s="1" a="1"/>
  <c r="Q27" i="51" s="1"/>
  <c r="P16" i="51"/>
  <c r="P27" i="51" s="1" a="1"/>
  <c r="P27" i="51" s="1"/>
  <c r="O16" i="51"/>
  <c r="O27" i="51" s="1" a="1"/>
  <c r="O27" i="51" s="1"/>
  <c r="R16" i="51"/>
  <c r="R27" i="51" s="1" a="1"/>
  <c r="R27" i="51" s="1"/>
  <c r="S16" i="51"/>
  <c r="S27" i="51" s="1" a="1"/>
  <c r="S27" i="51" s="1"/>
  <c r="E10" i="48"/>
  <c r="I175" i="42"/>
  <c r="H175" i="42"/>
  <c r="E11" i="48"/>
  <c r="D140" i="44" s="1"/>
  <c r="G143" i="44" s="1"/>
  <c r="H143" i="44" s="1"/>
  <c r="G164" i="44" s="1" a="1"/>
  <c r="G164" i="44" s="1"/>
  <c r="G473" i="44" l="1"/>
  <c r="G228" i="44"/>
  <c r="J222" i="44"/>
  <c r="I234" i="44"/>
  <c r="K234" i="44"/>
  <c r="K461" i="44"/>
  <c r="G234" i="44"/>
  <c r="I228" i="44"/>
  <c r="J228" i="44"/>
  <c r="K228" i="44"/>
  <c r="G222" i="44"/>
  <c r="H222" i="44"/>
  <c r="I222" i="44"/>
  <c r="I467" i="44"/>
  <c r="H461" i="44"/>
  <c r="I473" i="44"/>
  <c r="J467" i="44"/>
  <c r="H467" i="44"/>
  <c r="H473" i="44"/>
  <c r="J473" i="44"/>
  <c r="G467" i="44"/>
  <c r="I461" i="44"/>
  <c r="J461" i="44"/>
  <c r="G461" i="44"/>
  <c r="G17" i="44"/>
  <c r="J342" i="44"/>
  <c r="G349" i="44"/>
  <c r="H110" i="44"/>
  <c r="G356" i="44"/>
  <c r="I103" i="44"/>
  <c r="J110" i="44"/>
  <c r="I342" i="44"/>
  <c r="H349" i="44"/>
  <c r="I356" i="44"/>
  <c r="J349" i="44"/>
  <c r="K110" i="44"/>
  <c r="K103" i="44"/>
  <c r="G117" i="44"/>
  <c r="H356" i="44"/>
  <c r="K342" i="44"/>
  <c r="H342" i="44"/>
  <c r="K356" i="44"/>
  <c r="H103" i="44"/>
  <c r="J103" i="44"/>
  <c r="I349" i="44"/>
  <c r="J356" i="44"/>
  <c r="K349" i="44"/>
  <c r="I110" i="44"/>
  <c r="I299" i="44"/>
  <c r="H306" i="44"/>
  <c r="K306" i="44"/>
  <c r="I313" i="44"/>
  <c r="J306" i="44"/>
  <c r="J313" i="44"/>
  <c r="K299" i="44"/>
  <c r="H313" i="44"/>
  <c r="J299" i="44"/>
  <c r="H299" i="44"/>
  <c r="I306" i="44"/>
  <c r="G145" i="44"/>
  <c r="H145" i="44" s="1"/>
  <c r="K238" i="44" s="1" a="1"/>
  <c r="K238" i="44" s="1"/>
  <c r="G147" i="44"/>
  <c r="H147" i="44" s="1"/>
  <c r="H172" i="44" s="1" a="1"/>
  <c r="H172" i="44" s="1"/>
  <c r="G148" i="44"/>
  <c r="H148" i="44" s="1"/>
  <c r="G173" i="44" s="1" a="1"/>
  <c r="G173" i="44" s="1"/>
  <c r="G149" i="44"/>
  <c r="H149" i="44" s="1"/>
  <c r="H174" i="44" s="1" a="1"/>
  <c r="H174" i="44" s="1"/>
  <c r="H52" i="44" s="1"/>
  <c r="G144" i="44"/>
  <c r="H144" i="44" s="1"/>
  <c r="I165" i="44" s="1" a="1"/>
  <c r="I165" i="44" s="1"/>
  <c r="J164" i="44" a="1"/>
  <c r="J164" i="44" s="1"/>
  <c r="G146" i="44"/>
  <c r="H146" i="44" s="1"/>
  <c r="G170" i="44" s="1" a="1"/>
  <c r="G170" i="44" s="1"/>
  <c r="G313" i="44"/>
  <c r="G252" i="44"/>
  <c r="I252" i="44"/>
  <c r="G299" i="44"/>
  <c r="J252" i="44"/>
  <c r="K252" i="44"/>
  <c r="H252" i="44"/>
  <c r="G306" i="44"/>
  <c r="G74" i="44"/>
  <c r="J67" i="44"/>
  <c r="K67" i="44"/>
  <c r="I60" i="44"/>
  <c r="H60" i="44"/>
  <c r="K60" i="44"/>
  <c r="I67" i="44"/>
  <c r="J60" i="44"/>
  <c r="H67" i="44"/>
  <c r="K404" i="44" a="1"/>
  <c r="K404" i="44" s="1"/>
  <c r="J404" i="44" a="1"/>
  <c r="J404" i="44" s="1"/>
  <c r="I404" i="44" a="1"/>
  <c r="I404" i="44" s="1"/>
  <c r="G404" i="44" a="1"/>
  <c r="G404" i="44" s="1"/>
  <c r="G249" i="44" s="1"/>
  <c r="H404" i="44" a="1"/>
  <c r="H404" i="44" s="1"/>
  <c r="J409" i="44" a="1"/>
  <c r="J409" i="44" s="1"/>
  <c r="G409" i="44" a="1"/>
  <c r="G409" i="44" s="1"/>
  <c r="K409" i="44" a="1"/>
  <c r="K409" i="44" s="1"/>
  <c r="I409" i="44" a="1"/>
  <c r="I409" i="44" s="1"/>
  <c r="H409" i="44" a="1"/>
  <c r="H409" i="44" s="1"/>
  <c r="G412" i="44" a="1"/>
  <c r="G412" i="44" s="1"/>
  <c r="I412" i="44" a="1"/>
  <c r="I412" i="44" s="1"/>
  <c r="H412" i="44" a="1"/>
  <c r="H412" i="44" s="1"/>
  <c r="K412" i="44" a="1"/>
  <c r="K412" i="44" s="1"/>
  <c r="J412" i="44" a="1"/>
  <c r="J412" i="44" s="1"/>
  <c r="H477" i="44" a="1"/>
  <c r="H477" i="44" s="1"/>
  <c r="I477" i="44" a="1"/>
  <c r="I477" i="44" s="1"/>
  <c r="J477" i="44" a="1"/>
  <c r="J477" i="44" s="1"/>
  <c r="G477" i="44" a="1"/>
  <c r="G477" i="44" s="1"/>
  <c r="K477" i="44" a="1"/>
  <c r="K477" i="44" s="1"/>
  <c r="H413" i="44" a="1"/>
  <c r="H413" i="44" s="1"/>
  <c r="I413" i="44" a="1"/>
  <c r="I413" i="44" s="1"/>
  <c r="J413" i="44" a="1"/>
  <c r="J413" i="44" s="1"/>
  <c r="G413" i="44" a="1"/>
  <c r="G413" i="44" s="1"/>
  <c r="K413" i="44" a="1"/>
  <c r="K413" i="44" s="1"/>
  <c r="J411" i="44" a="1"/>
  <c r="J411" i="44" s="1"/>
  <c r="K411" i="44" a="1"/>
  <c r="K411" i="44" s="1"/>
  <c r="G411" i="44" a="1"/>
  <c r="G411" i="44" s="1"/>
  <c r="I411" i="44" a="1"/>
  <c r="I411" i="44" s="1"/>
  <c r="H411" i="44" a="1"/>
  <c r="H411" i="44" s="1"/>
  <c r="H403" i="44" a="1"/>
  <c r="H403" i="44" s="1"/>
  <c r="I403" i="44" a="1"/>
  <c r="I403" i="44" s="1"/>
  <c r="K403" i="44" a="1"/>
  <c r="K403" i="44" s="1"/>
  <c r="J403" i="44" a="1"/>
  <c r="J403" i="44" s="1"/>
  <c r="J447" i="44"/>
  <c r="H394" i="44"/>
  <c r="H447" i="44"/>
  <c r="I394" i="44"/>
  <c r="J394" i="44"/>
  <c r="H453" i="44"/>
  <c r="K447" i="44"/>
  <c r="I447" i="44"/>
  <c r="K394" i="44"/>
  <c r="G447" i="44"/>
  <c r="K453" i="44"/>
  <c r="G394" i="44"/>
  <c r="G453" i="44"/>
  <c r="I453" i="44"/>
  <c r="J453" i="44"/>
  <c r="H95" i="44"/>
  <c r="K81" i="44"/>
  <c r="I74" i="44"/>
  <c r="I88" i="44"/>
  <c r="J95" i="44"/>
  <c r="J117" i="44"/>
  <c r="J88" i="44"/>
  <c r="I95" i="44"/>
  <c r="I124" i="44"/>
  <c r="G67" i="44"/>
  <c r="H117" i="44"/>
  <c r="J131" i="44"/>
  <c r="K74" i="44"/>
  <c r="K88" i="44"/>
  <c r="H88" i="44"/>
  <c r="H131" i="44"/>
  <c r="G95" i="44"/>
  <c r="G110" i="44"/>
  <c r="H124" i="44"/>
  <c r="K124" i="44"/>
  <c r="K95" i="44"/>
  <c r="G88" i="44"/>
  <c r="I117" i="44"/>
  <c r="J124" i="44"/>
  <c r="H74" i="44"/>
  <c r="K117" i="44"/>
  <c r="G131" i="44"/>
  <c r="G103" i="44"/>
  <c r="I131" i="44"/>
  <c r="I81" i="44"/>
  <c r="J74" i="44"/>
  <c r="H81" i="44"/>
  <c r="J81" i="44"/>
  <c r="K131" i="44"/>
  <c r="G124" i="44"/>
  <c r="G81" i="44"/>
  <c r="H353" i="44" l="1"/>
  <c r="H354" i="44" s="1" a="1"/>
  <c r="H354" i="44" s="1"/>
  <c r="H351" i="44" a="1"/>
  <c r="H351" i="44" s="1"/>
  <c r="H352" i="44"/>
  <c r="I309" i="44"/>
  <c r="I308" i="44" a="1"/>
  <c r="I308" i="44" s="1"/>
  <c r="I310" i="44"/>
  <c r="I311" i="44" s="1" a="1"/>
  <c r="I311" i="44" s="1"/>
  <c r="K301" i="44" a="1"/>
  <c r="K301" i="44" s="1"/>
  <c r="K303" i="44"/>
  <c r="K304" i="44" s="1" a="1"/>
  <c r="K304" i="44" s="1"/>
  <c r="K302" i="44"/>
  <c r="J344" i="44" a="1"/>
  <c r="J344" i="44" s="1"/>
  <c r="J345" i="44"/>
  <c r="J346" i="44"/>
  <c r="J347" i="44" s="1" a="1"/>
  <c r="J347" i="44" s="1"/>
  <c r="K308" i="44" a="1"/>
  <c r="K308" i="44" s="1"/>
  <c r="K309" i="44"/>
  <c r="K310" i="44"/>
  <c r="K311" i="44" s="1" a="1"/>
  <c r="K311" i="44" s="1"/>
  <c r="I346" i="44"/>
  <c r="I347" i="44" s="1" a="1"/>
  <c r="I347" i="44" s="1"/>
  <c r="I344" i="44" a="1"/>
  <c r="I344" i="44" s="1"/>
  <c r="I345" i="44"/>
  <c r="G359" i="44"/>
  <c r="G360" i="44"/>
  <c r="G361" i="44" s="1" a="1"/>
  <c r="G361" i="44" s="1"/>
  <c r="G358" i="44" a="1"/>
  <c r="G358" i="44" s="1"/>
  <c r="G317" i="44"/>
  <c r="G318" i="44" s="1" a="1"/>
  <c r="G318" i="44" s="1"/>
  <c r="G315" i="44" a="1"/>
  <c r="G315" i="44" s="1"/>
  <c r="G316" i="44"/>
  <c r="H302" i="44"/>
  <c r="H301" i="44" a="1"/>
  <c r="H301" i="44" s="1"/>
  <c r="H303" i="44"/>
  <c r="H304" i="44" s="1" a="1"/>
  <c r="H304" i="44" s="1"/>
  <c r="I353" i="44"/>
  <c r="Q36" i="51" s="1"/>
  <c r="Q48" i="51" s="1" a="1"/>
  <c r="Q48" i="51" s="1"/>
  <c r="I351" i="44" a="1"/>
  <c r="I351" i="44" s="1"/>
  <c r="I352" i="44"/>
  <c r="H310" i="44"/>
  <c r="H311" i="44" s="1" a="1"/>
  <c r="H311" i="44" s="1"/>
  <c r="H308" i="44" a="1"/>
  <c r="H308" i="44" s="1"/>
  <c r="H309" i="44"/>
  <c r="J353" i="44"/>
  <c r="J354" i="44" s="1" a="1"/>
  <c r="J354" i="44" s="1"/>
  <c r="J351" i="44" a="1"/>
  <c r="J351" i="44" s="1"/>
  <c r="J352" i="44"/>
  <c r="J302" i="44"/>
  <c r="J303" i="44"/>
  <c r="J304" i="44" s="1" a="1"/>
  <c r="J304" i="44" s="1"/>
  <c r="J301" i="44" a="1"/>
  <c r="J301" i="44" s="1"/>
  <c r="K351" i="44" a="1"/>
  <c r="K351" i="44" s="1"/>
  <c r="K352" i="44"/>
  <c r="K353" i="44"/>
  <c r="K354" i="44" s="1" a="1"/>
  <c r="K354" i="44" s="1"/>
  <c r="H346" i="44"/>
  <c r="H347" i="44" s="1" a="1"/>
  <c r="H347" i="44" s="1"/>
  <c r="H344" i="44" a="1"/>
  <c r="H344" i="44" s="1"/>
  <c r="H345" i="44"/>
  <c r="J308" i="44" a="1"/>
  <c r="J308" i="44" s="1"/>
  <c r="J309" i="44"/>
  <c r="J310" i="44"/>
  <c r="J311" i="44" s="1" a="1"/>
  <c r="J311" i="44" s="1"/>
  <c r="I302" i="44"/>
  <c r="I301" i="44" a="1"/>
  <c r="I301" i="44" s="1"/>
  <c r="I303" i="44"/>
  <c r="I304" i="44" s="1" a="1"/>
  <c r="I304" i="44" s="1"/>
  <c r="K344" i="44" a="1"/>
  <c r="K344" i="44" s="1"/>
  <c r="K345" i="44"/>
  <c r="K346" i="44"/>
  <c r="K347" i="44" s="1" a="1"/>
  <c r="K347" i="44" s="1"/>
  <c r="I135" i="44"/>
  <c r="I136" i="44" s="1" a="1"/>
  <c r="I136" i="44" s="1"/>
  <c r="I133" i="44" a="1"/>
  <c r="I133" i="44" s="1"/>
  <c r="I134" i="44"/>
  <c r="K113" i="44"/>
  <c r="K114" i="44"/>
  <c r="S11" i="51" s="1"/>
  <c r="K112" i="44" a="1"/>
  <c r="K112" i="44" s="1"/>
  <c r="H106" i="44"/>
  <c r="H107" i="44"/>
  <c r="P10" i="51" s="1"/>
  <c r="H105" i="44" a="1"/>
  <c r="H105" i="44" s="1"/>
  <c r="G127" i="44"/>
  <c r="G126" i="44" a="1"/>
  <c r="G126" i="44" s="1"/>
  <c r="G128" i="44"/>
  <c r="G129" i="44" s="1" a="1"/>
  <c r="G129" i="44" s="1"/>
  <c r="K128" i="44"/>
  <c r="K129" i="44" s="1" a="1"/>
  <c r="K129" i="44" s="1"/>
  <c r="K126" i="44" a="1"/>
  <c r="K126" i="44" s="1"/>
  <c r="K127" i="44"/>
  <c r="J135" i="44"/>
  <c r="J136" i="44" s="1" a="1"/>
  <c r="J136" i="44" s="1"/>
  <c r="J133" i="44" a="1"/>
  <c r="J133" i="44" s="1"/>
  <c r="J134" i="44"/>
  <c r="I113" i="44"/>
  <c r="I114" i="44"/>
  <c r="I115" i="44" s="1" a="1"/>
  <c r="I115" i="44" s="1"/>
  <c r="I112" i="44" a="1"/>
  <c r="I112" i="44" s="1"/>
  <c r="H126" i="44" a="1"/>
  <c r="H126" i="44" s="1"/>
  <c r="H127" i="44"/>
  <c r="H128" i="44"/>
  <c r="H129" i="44" s="1" a="1"/>
  <c r="H129" i="44" s="1"/>
  <c r="J113" i="44"/>
  <c r="J114" i="44"/>
  <c r="R11" i="51" s="1"/>
  <c r="J112" i="44" a="1"/>
  <c r="J112" i="44" s="1"/>
  <c r="H114" i="44"/>
  <c r="P11" i="51" s="1"/>
  <c r="H112" i="44" a="1"/>
  <c r="H112" i="44" s="1"/>
  <c r="H113" i="44"/>
  <c r="G133" i="44" a="1"/>
  <c r="G133" i="44" s="1"/>
  <c r="G134" i="44"/>
  <c r="G135" i="44"/>
  <c r="G136" i="44" s="1" a="1"/>
  <c r="G136" i="44" s="1"/>
  <c r="K135" i="44"/>
  <c r="K136" i="44" s="1" a="1"/>
  <c r="K136" i="44" s="1"/>
  <c r="K133" i="44" a="1"/>
  <c r="K133" i="44" s="1"/>
  <c r="K134" i="44"/>
  <c r="I127" i="44"/>
  <c r="I128" i="44"/>
  <c r="Q14" i="51" s="1"/>
  <c r="I126" i="44" a="1"/>
  <c r="I126" i="44" s="1"/>
  <c r="G78" i="44"/>
  <c r="F12" i="51" s="1"/>
  <c r="F23" i="51" s="1" a="1"/>
  <c r="F23" i="51" s="1"/>
  <c r="G77" i="44"/>
  <c r="G76" i="44" a="1"/>
  <c r="G76" i="44" s="1"/>
  <c r="G121" i="44"/>
  <c r="O12" i="51" s="1"/>
  <c r="G120" i="44"/>
  <c r="G119" i="44" a="1"/>
  <c r="G119" i="44" s="1"/>
  <c r="H134" i="44"/>
  <c r="H135" i="44"/>
  <c r="H136" i="44" s="1" a="1"/>
  <c r="H136" i="44" s="1"/>
  <c r="H133" i="44" a="1"/>
  <c r="H133" i="44" s="1"/>
  <c r="J107" i="44"/>
  <c r="J105" i="44" a="1"/>
  <c r="J105" i="44" s="1"/>
  <c r="J106" i="44"/>
  <c r="J128" i="44"/>
  <c r="J129" i="44" s="1" a="1"/>
  <c r="J129" i="44" s="1"/>
  <c r="J126" i="44" a="1"/>
  <c r="J126" i="44" s="1"/>
  <c r="J127" i="44"/>
  <c r="K107" i="44"/>
  <c r="S10" i="51" s="1"/>
  <c r="K105" i="44" a="1"/>
  <c r="K105" i="44" s="1"/>
  <c r="K106" i="44"/>
  <c r="I106" i="44"/>
  <c r="I107" i="44"/>
  <c r="Q10" i="51" s="1"/>
  <c r="I105" i="44" a="1"/>
  <c r="I105" i="44" s="1"/>
  <c r="I69" i="44" a="1"/>
  <c r="I69" i="44" s="1"/>
  <c r="I71" i="44"/>
  <c r="I72" i="44" s="1" a="1"/>
  <c r="I72" i="44" s="1"/>
  <c r="I70" i="44"/>
  <c r="K69" i="44" a="1"/>
  <c r="K69" i="44" s="1"/>
  <c r="K70" i="44"/>
  <c r="K71" i="44"/>
  <c r="J71" i="44"/>
  <c r="J69" i="44" a="1"/>
  <c r="J69" i="44" s="1"/>
  <c r="J70" i="44"/>
  <c r="H71" i="44"/>
  <c r="H69" i="44" a="1"/>
  <c r="H69" i="44" s="1"/>
  <c r="H70" i="44"/>
  <c r="H64" i="44"/>
  <c r="H65" i="44" s="1" a="1"/>
  <c r="H65" i="44" s="1"/>
  <c r="H62" i="44" a="1"/>
  <c r="H62" i="44" s="1"/>
  <c r="K62" i="44" a="1"/>
  <c r="K62" i="44" s="1"/>
  <c r="K64" i="44"/>
  <c r="K65" i="44" s="1" a="1"/>
  <c r="K65" i="44" s="1"/>
  <c r="I62" i="44" a="1"/>
  <c r="I62" i="44" s="1"/>
  <c r="I64" i="44"/>
  <c r="H10" i="51" s="1"/>
  <c r="J62" i="44" a="1"/>
  <c r="J62" i="44" s="1"/>
  <c r="J64" i="44"/>
  <c r="J65" i="44" s="1" a="1"/>
  <c r="J65" i="44" s="1"/>
  <c r="H63" i="44"/>
  <c r="K63" i="44"/>
  <c r="I63" i="44"/>
  <c r="J63" i="44"/>
  <c r="K291" i="44"/>
  <c r="J291" i="44"/>
  <c r="I291" i="44"/>
  <c r="H291" i="44"/>
  <c r="I170" i="44" a="1"/>
  <c r="I170" i="44" s="1"/>
  <c r="K174" i="44" a="1"/>
  <c r="K174" i="44" s="1"/>
  <c r="G174" i="44" a="1"/>
  <c r="G174" i="44" s="1"/>
  <c r="I174" i="44" a="1"/>
  <c r="I174" i="44" s="1"/>
  <c r="J238" i="44" a="1"/>
  <c r="J238" i="44" s="1"/>
  <c r="H238" i="44" a="1"/>
  <c r="H238" i="44" s="1"/>
  <c r="G172" i="44" a="1"/>
  <c r="G172" i="44" s="1"/>
  <c r="J172" i="44" a="1"/>
  <c r="J172" i="44" s="1"/>
  <c r="I238" i="44" a="1"/>
  <c r="I238" i="44" s="1"/>
  <c r="K172" i="44" a="1"/>
  <c r="K172" i="44" s="1"/>
  <c r="J174" i="44" a="1"/>
  <c r="J174" i="44" s="1"/>
  <c r="G238" i="44" a="1"/>
  <c r="G238" i="44" s="1"/>
  <c r="I172" i="44" a="1"/>
  <c r="I172" i="44" s="1"/>
  <c r="H173" i="44" a="1"/>
  <c r="H173" i="44" s="1"/>
  <c r="K293" i="44"/>
  <c r="I293" i="44"/>
  <c r="J293" i="44"/>
  <c r="G293" i="44"/>
  <c r="H293" i="44"/>
  <c r="I173" i="44" a="1"/>
  <c r="I173" i="44" s="1"/>
  <c r="K173" i="44" a="1"/>
  <c r="K173" i="44" s="1"/>
  <c r="J173" i="44" a="1"/>
  <c r="J173" i="44" s="1"/>
  <c r="K165" i="44" a="1"/>
  <c r="K165" i="44" s="1"/>
  <c r="J165" i="44" a="1"/>
  <c r="J165" i="44" s="1"/>
  <c r="H165" i="44" a="1"/>
  <c r="H165" i="44" s="1"/>
  <c r="G165" i="44" a="1"/>
  <c r="G165" i="44" s="1"/>
  <c r="H292" i="44"/>
  <c r="J292" i="44"/>
  <c r="G292" i="44"/>
  <c r="I292" i="44"/>
  <c r="K292" i="44"/>
  <c r="H164" i="44" a="1"/>
  <c r="H164" i="44" s="1"/>
  <c r="K170" i="44" a="1"/>
  <c r="K170" i="44" s="1"/>
  <c r="H170" i="44" a="1"/>
  <c r="H170" i="44" s="1"/>
  <c r="J170" i="44" a="1"/>
  <c r="J170" i="44" s="1"/>
  <c r="I164" i="44" a="1"/>
  <c r="I164" i="44" s="1"/>
  <c r="K164" i="44" a="1"/>
  <c r="K164" i="44" s="1"/>
  <c r="G250" i="44"/>
  <c r="H214" i="44"/>
  <c r="K208" i="44"/>
  <c r="J208" i="44"/>
  <c r="H208" i="44"/>
  <c r="G214" i="44"/>
  <c r="K214" i="44"/>
  <c r="K251" i="44"/>
  <c r="G251" i="44"/>
  <c r="J251" i="44"/>
  <c r="I251" i="44"/>
  <c r="H251" i="44"/>
  <c r="I208" i="44"/>
  <c r="G208" i="44"/>
  <c r="I214" i="44"/>
  <c r="J214" i="44"/>
  <c r="K12" i="44"/>
  <c r="K13" i="44"/>
  <c r="H13" i="44"/>
  <c r="I13" i="44"/>
  <c r="J13" i="44"/>
  <c r="G13" i="44"/>
  <c r="G257" i="44" l="1"/>
  <c r="G258" i="44" s="1" a="1"/>
  <c r="G258" i="44" s="1"/>
  <c r="G259" i="44" s="1"/>
  <c r="G282" i="44"/>
  <c r="G283" i="44" s="1" a="1"/>
  <c r="G283" i="44" s="1"/>
  <c r="G274" i="44"/>
  <c r="G265" i="44"/>
  <c r="G266" i="44" s="1" a="1"/>
  <c r="G266" i="44" s="1"/>
  <c r="G267" i="44" s="1"/>
  <c r="G268" i="44" s="1"/>
  <c r="G269" i="44" s="1"/>
  <c r="P36" i="51"/>
  <c r="P48" i="51" s="1" a="1"/>
  <c r="P48" i="51" s="1"/>
  <c r="H35" i="51"/>
  <c r="H47" i="51" s="1" a="1"/>
  <c r="H47" i="51" s="1"/>
  <c r="H11" i="51"/>
  <c r="R14" i="51"/>
  <c r="R25" i="51" s="1" a="1"/>
  <c r="R25" i="51" s="1"/>
  <c r="O14" i="51"/>
  <c r="O25" i="51" s="1" a="1"/>
  <c r="O25" i="51" s="1"/>
  <c r="Q35" i="51"/>
  <c r="Q47" i="51" s="1" a="1"/>
  <c r="Q47" i="51" s="1"/>
  <c r="Q11" i="51"/>
  <c r="H36" i="51"/>
  <c r="H48" i="51" s="1" a="1"/>
  <c r="H48" i="51" s="1"/>
  <c r="G36" i="51"/>
  <c r="G48" i="51" s="1" a="1"/>
  <c r="G48" i="51" s="1"/>
  <c r="I354" i="44" a="1"/>
  <c r="I354" i="44" s="1"/>
  <c r="H108" i="44" a="1"/>
  <c r="H108" i="44" s="1"/>
  <c r="J115" i="44" a="1"/>
  <c r="J115" i="44" s="1"/>
  <c r="G79" i="44" a="1"/>
  <c r="G79" i="44" s="1"/>
  <c r="I108" i="44" a="1"/>
  <c r="I108" i="44" s="1"/>
  <c r="O37" i="51"/>
  <c r="O49" i="51" s="1" a="1"/>
  <c r="O49" i="51" s="1"/>
  <c r="I129" i="44" a="1"/>
  <c r="I129" i="44" s="1"/>
  <c r="I65" i="44" a="1"/>
  <c r="I65" i="44" s="1"/>
  <c r="I290" i="44"/>
  <c r="J52" i="44"/>
  <c r="K52" i="44"/>
  <c r="I52" i="44"/>
  <c r="J290" i="44"/>
  <c r="K290" i="44"/>
  <c r="H290" i="44"/>
  <c r="G290" i="44"/>
  <c r="R35" i="51"/>
  <c r="R47" i="51" s="1" a="1"/>
  <c r="R47" i="51" s="1"/>
  <c r="H115" i="44" a="1"/>
  <c r="H115" i="44" s="1"/>
  <c r="K115" i="44" a="1"/>
  <c r="K115" i="44" s="1"/>
  <c r="G122" i="44" a="1"/>
  <c r="G122" i="44" s="1"/>
  <c r="S36" i="51"/>
  <c r="S48" i="51" s="1" a="1"/>
  <c r="S48" i="51" s="1"/>
  <c r="P35" i="51"/>
  <c r="P47" i="51" s="1" a="1"/>
  <c r="P47" i="51" s="1"/>
  <c r="R36" i="51"/>
  <c r="R48" i="51" s="1" a="1"/>
  <c r="R48" i="51" s="1"/>
  <c r="G52" i="44"/>
  <c r="K108" i="44" a="1"/>
  <c r="K108" i="44" s="1"/>
  <c r="J35" i="51"/>
  <c r="J47" i="51" s="1" a="1"/>
  <c r="J47" i="51" s="1"/>
  <c r="I36" i="51"/>
  <c r="I48" i="51" s="1" a="1"/>
  <c r="I48" i="51" s="1"/>
  <c r="S35" i="51"/>
  <c r="S47" i="51" s="1" a="1"/>
  <c r="S47" i="51" s="1"/>
  <c r="G35" i="51"/>
  <c r="G47" i="51" s="1" a="1"/>
  <c r="G47" i="51" s="1"/>
  <c r="H12" i="44"/>
  <c r="G12" i="44"/>
  <c r="I35" i="51"/>
  <c r="I47" i="51" s="1" a="1"/>
  <c r="I47" i="51" s="1"/>
  <c r="J12" i="44"/>
  <c r="I11" i="51"/>
  <c r="I22" i="51" s="1" a="1"/>
  <c r="I22" i="51" s="1"/>
  <c r="J72" i="44" a="1"/>
  <c r="J72" i="44" s="1"/>
  <c r="G11" i="51"/>
  <c r="H72" i="44" a="1"/>
  <c r="H72" i="44" s="1"/>
  <c r="J11" i="51"/>
  <c r="J22" i="51" s="1" a="1"/>
  <c r="J22" i="51" s="1"/>
  <c r="K72" i="44" a="1"/>
  <c r="K72" i="44" s="1"/>
  <c r="R10" i="51"/>
  <c r="J108" i="44" a="1"/>
  <c r="J108" i="44" s="1"/>
  <c r="G10" i="51"/>
  <c r="I12" i="44"/>
  <c r="I10" i="51"/>
  <c r="J10" i="51"/>
  <c r="J36" i="51"/>
  <c r="J48" i="51" s="1" a="1"/>
  <c r="J48" i="51" s="1"/>
  <c r="F37" i="51"/>
  <c r="F49" i="51" s="1" a="1"/>
  <c r="F49" i="51" s="1"/>
  <c r="O15" i="51"/>
  <c r="O26" i="51" s="1" a="1"/>
  <c r="O26" i="51" s="1"/>
  <c r="R15" i="51"/>
  <c r="R26" i="51" s="1" a="1"/>
  <c r="R26" i="51" s="1"/>
  <c r="P15" i="51"/>
  <c r="P26" i="51" s="1" a="1"/>
  <c r="P26" i="51" s="1"/>
  <c r="Q15" i="51"/>
  <c r="Q26" i="51" s="1" a="1"/>
  <c r="Q26" i="51" s="1"/>
  <c r="P14" i="51"/>
  <c r="P25" i="51" s="1" a="1"/>
  <c r="P25" i="51" s="1"/>
  <c r="S14" i="51"/>
  <c r="S25" i="51" s="1" a="1"/>
  <c r="S25" i="51" s="1"/>
  <c r="S15" i="51"/>
  <c r="S26" i="51" s="1" a="1"/>
  <c r="S26" i="51" s="1"/>
  <c r="J249" i="44"/>
  <c r="I249" i="44"/>
  <c r="K250" i="44"/>
  <c r="K249" i="44"/>
  <c r="H250" i="44"/>
  <c r="I250" i="44"/>
  <c r="G291" i="44"/>
  <c r="J250" i="44"/>
  <c r="H249" i="44"/>
  <c r="Q25" i="51" a="1"/>
  <c r="Q25" i="51" s="1"/>
  <c r="O23" i="51" a="1"/>
  <c r="O23" i="51" s="1"/>
  <c r="S22" i="51" a="1"/>
  <c r="S22" i="51" s="1"/>
  <c r="K10" i="44"/>
  <c r="H21" i="51" a="1"/>
  <c r="H21" i="51" s="1"/>
  <c r="J10" i="44"/>
  <c r="H10" i="44"/>
  <c r="I10" i="44"/>
  <c r="G10" i="44"/>
  <c r="R21" i="51" l="1" a="1"/>
  <c r="R21" i="51" s="1"/>
  <c r="G270" i="44" a="1"/>
  <c r="G270" i="44" s="1"/>
  <c r="F38" i="51"/>
  <c r="K282" i="44"/>
  <c r="K274" i="44"/>
  <c r="K275" i="44" s="1" a="1"/>
  <c r="K275" i="44" s="1"/>
  <c r="K276" i="44" s="1"/>
  <c r="K277" i="44" s="1"/>
  <c r="K278" i="44" s="1"/>
  <c r="I282" i="44"/>
  <c r="I274" i="44"/>
  <c r="G275" i="44" a="1"/>
  <c r="G275" i="44" s="1"/>
  <c r="G276" i="44" s="1"/>
  <c r="G277" i="44" s="1"/>
  <c r="G278" i="44" s="1"/>
  <c r="H282" i="44"/>
  <c r="H274" i="44"/>
  <c r="J274" i="44"/>
  <c r="J282" i="44"/>
  <c r="J283" i="44" s="1" a="1"/>
  <c r="J283" i="44" s="1"/>
  <c r="J284" i="44" s="1"/>
  <c r="J285" i="44" s="1"/>
  <c r="J286" i="44" s="1"/>
  <c r="G284" i="44"/>
  <c r="G285" i="44" s="1"/>
  <c r="G286" i="44" s="1"/>
  <c r="K265" i="44"/>
  <c r="K266" i="44" s="1" a="1"/>
  <c r="K266" i="44" s="1"/>
  <c r="K267" i="44" s="1"/>
  <c r="K268" i="44" s="1"/>
  <c r="K269" i="44" s="1"/>
  <c r="I265" i="44"/>
  <c r="H265" i="44"/>
  <c r="J265" i="44"/>
  <c r="J257" i="44"/>
  <c r="J258" i="44" s="1" a="1"/>
  <c r="J258" i="44" s="1"/>
  <c r="J259" i="44" s="1"/>
  <c r="H257" i="44"/>
  <c r="I257" i="44"/>
  <c r="K257" i="44"/>
  <c r="G260" i="44"/>
  <c r="G261" i="44" s="1"/>
  <c r="J21" i="51" a="1"/>
  <c r="J21" i="51" s="1"/>
  <c r="I21" i="51" a="1"/>
  <c r="I21" i="51" s="1"/>
  <c r="G21" i="51" a="1"/>
  <c r="G21" i="51" s="1"/>
  <c r="H294" i="44"/>
  <c r="H307" i="44" s="1"/>
  <c r="H295" i="44"/>
  <c r="H350" i="44" s="1"/>
  <c r="J294" i="44"/>
  <c r="J307" i="44" s="1"/>
  <c r="J295" i="44"/>
  <c r="J343" i="44" s="1"/>
  <c r="K295" i="44"/>
  <c r="K364" i="44" s="1"/>
  <c r="K294" i="44"/>
  <c r="K328" i="44" s="1"/>
  <c r="G295" i="44"/>
  <c r="G371" i="44" s="1"/>
  <c r="G294" i="44"/>
  <c r="G328" i="44" s="1"/>
  <c r="I294" i="44"/>
  <c r="I314" i="44" s="1"/>
  <c r="I295" i="44"/>
  <c r="I350" i="44" s="1"/>
  <c r="P21" i="51" a="1"/>
  <c r="P21" i="51" s="1"/>
  <c r="H11" i="44"/>
  <c r="H18" i="44" s="1"/>
  <c r="G11" i="44"/>
  <c r="G18" i="44" s="1"/>
  <c r="I11" i="44"/>
  <c r="I18" i="44" s="1"/>
  <c r="H22" i="51" a="1"/>
  <c r="H22" i="51" s="1"/>
  <c r="G22" i="51" a="1"/>
  <c r="G22" i="51" s="1"/>
  <c r="K11" i="44"/>
  <c r="K18" i="44" s="1"/>
  <c r="J11" i="44"/>
  <c r="J18" i="44" s="1"/>
  <c r="K54" i="44"/>
  <c r="K53" i="44"/>
  <c r="G53" i="44"/>
  <c r="I53" i="44"/>
  <c r="G54" i="44"/>
  <c r="H53" i="44"/>
  <c r="J53" i="44"/>
  <c r="H54" i="44"/>
  <c r="I54" i="44"/>
  <c r="J54" i="44"/>
  <c r="G300" i="44" l="1"/>
  <c r="F34" i="51"/>
  <c r="G262" i="44" a="1"/>
  <c r="G262" i="44" s="1"/>
  <c r="K270" i="44" a="1"/>
  <c r="K270" i="44" s="1"/>
  <c r="J38" i="51"/>
  <c r="G279" i="44" a="1"/>
  <c r="G279" i="44" s="1"/>
  <c r="O34" i="51"/>
  <c r="G287" i="44" a="1"/>
  <c r="G287" i="44" s="1"/>
  <c r="O38" i="51"/>
  <c r="K279" i="44" a="1"/>
  <c r="K279" i="44" s="1"/>
  <c r="S34" i="51"/>
  <c r="S46" i="51" s="1" a="1"/>
  <c r="S46" i="51" s="1"/>
  <c r="J287" i="44" a="1"/>
  <c r="J287" i="44" s="1"/>
  <c r="R38" i="51"/>
  <c r="R50" i="51" s="1" a="1"/>
  <c r="R50" i="51" s="1"/>
  <c r="F50" i="51" a="1"/>
  <c r="F50" i="51" s="1"/>
  <c r="H283" i="44" a="1"/>
  <c r="H283" i="44" s="1"/>
  <c r="H284" i="44" s="1"/>
  <c r="H285" i="44" s="1"/>
  <c r="H286" i="44" s="1"/>
  <c r="I275" i="44" a="1"/>
  <c r="I275" i="44" s="1"/>
  <c r="I276" i="44" s="1"/>
  <c r="I283" i="44" a="1"/>
  <c r="I283" i="44" s="1"/>
  <c r="I284" i="44" s="1"/>
  <c r="H275" i="44" a="1"/>
  <c r="H275" i="44" s="1"/>
  <c r="H276" i="44" s="1"/>
  <c r="H277" i="44" s="1"/>
  <c r="H278" i="44" s="1"/>
  <c r="J275" i="44" a="1"/>
  <c r="J275" i="44" s="1"/>
  <c r="J276" i="44" s="1"/>
  <c r="J277" i="44" s="1"/>
  <c r="J278" i="44" s="1"/>
  <c r="K283" i="44" a="1"/>
  <c r="K283" i="44" s="1"/>
  <c r="J266" i="44" a="1"/>
  <c r="J266" i="44" s="1"/>
  <c r="J267" i="44" s="1"/>
  <c r="J268" i="44" s="1"/>
  <c r="J269" i="44" s="1"/>
  <c r="H266" i="44" a="1"/>
  <c r="H266" i="44" s="1"/>
  <c r="H267" i="44" s="1"/>
  <c r="I266" i="44" a="1"/>
  <c r="I266" i="44" s="1"/>
  <c r="I267" i="44" s="1"/>
  <c r="I268" i="44" s="1"/>
  <c r="I269" i="44" s="1"/>
  <c r="K258" i="44" a="1"/>
  <c r="K258" i="44" s="1"/>
  <c r="K259" i="44" s="1"/>
  <c r="K260" i="44" s="1"/>
  <c r="K261" i="44" s="1"/>
  <c r="J260" i="44"/>
  <c r="J261" i="44" s="1"/>
  <c r="I258" i="44" a="1"/>
  <c r="I258" i="44" s="1"/>
  <c r="I259" i="44" s="1"/>
  <c r="I260" i="44" s="1"/>
  <c r="I261" i="44" s="1"/>
  <c r="H258" i="44" a="1"/>
  <c r="H258" i="44" s="1"/>
  <c r="H259" i="44" s="1"/>
  <c r="H260" i="44" s="1"/>
  <c r="H261" i="44" s="1"/>
  <c r="G35" i="44"/>
  <c r="G36" i="44" s="1" a="1"/>
  <c r="G36" i="44" s="1"/>
  <c r="G37" i="44" s="1"/>
  <c r="G38" i="44" s="1"/>
  <c r="G39" i="44" s="1"/>
  <c r="I35" i="44"/>
  <c r="I36" i="44" s="1" a="1"/>
  <c r="I36" i="44" s="1"/>
  <c r="I37" i="44" s="1"/>
  <c r="I38" i="44" s="1"/>
  <c r="I39" i="44" s="1"/>
  <c r="J35" i="44"/>
  <c r="J36" i="44" s="1" a="1"/>
  <c r="J36" i="44" s="1"/>
  <c r="J37" i="44" s="1"/>
  <c r="H35" i="44"/>
  <c r="H36" i="44" s="1" a="1"/>
  <c r="H36" i="44" s="1"/>
  <c r="H37" i="44" s="1"/>
  <c r="H38" i="44" s="1"/>
  <c r="H39" i="44" s="1"/>
  <c r="K35" i="44"/>
  <c r="G19" i="44" a="1"/>
  <c r="G19" i="44" s="1"/>
  <c r="G20" i="44" s="1"/>
  <c r="G21" i="44" s="1"/>
  <c r="G22" i="44" s="1"/>
  <c r="G23" i="44" s="1" a="1"/>
  <c r="G23" i="44" s="1"/>
  <c r="K19" i="44" a="1"/>
  <c r="K19" i="44" s="1"/>
  <c r="K20" i="44" s="1"/>
  <c r="K21" i="44" s="1"/>
  <c r="K22" i="44" s="1"/>
  <c r="K23" i="44" s="1" a="1"/>
  <c r="K23" i="44" s="1"/>
  <c r="H19" i="44" a="1"/>
  <c r="H19" i="44" s="1"/>
  <c r="H20" i="44" s="1"/>
  <c r="I19" i="44" a="1"/>
  <c r="I19" i="44" s="1"/>
  <c r="I20" i="44" s="1"/>
  <c r="I21" i="44" s="1"/>
  <c r="I22" i="44" s="1"/>
  <c r="I23" i="44" s="1" a="1"/>
  <c r="I23" i="44" s="1"/>
  <c r="J19" i="44" a="1"/>
  <c r="J19" i="44" s="1"/>
  <c r="J20" i="44" s="1"/>
  <c r="J21" i="44" s="1"/>
  <c r="J22" i="44" s="1"/>
  <c r="J23" i="44" s="1" a="1"/>
  <c r="J23" i="44" s="1"/>
  <c r="K365" i="44" a="1"/>
  <c r="K365" i="44" s="1"/>
  <c r="K366" i="44" s="1"/>
  <c r="G372" i="44" a="1"/>
  <c r="G372" i="44" s="1"/>
  <c r="G373" i="44" s="1"/>
  <c r="G329" i="44" a="1"/>
  <c r="G329" i="44" s="1"/>
  <c r="G330" i="44" s="1"/>
  <c r="G331" i="44" s="1"/>
  <c r="K329" i="44" a="1"/>
  <c r="K329" i="44" s="1"/>
  <c r="K330" i="44" s="1"/>
  <c r="I343" i="44"/>
  <c r="I307" i="44"/>
  <c r="H335" i="44"/>
  <c r="H336" i="44" s="1" a="1"/>
  <c r="H336" i="44" s="1"/>
  <c r="G350" i="44"/>
  <c r="G351" i="44" s="1" a="1"/>
  <c r="G351" i="44" s="1"/>
  <c r="G352" i="44" s="1"/>
  <c r="K335" i="44"/>
  <c r="K336" i="44" s="1" a="1"/>
  <c r="K336" i="44" s="1"/>
  <c r="K337" i="44" s="1"/>
  <c r="K338" i="44" s="1"/>
  <c r="G343" i="44"/>
  <c r="G344" i="44" s="1" a="1"/>
  <c r="G344" i="44" s="1"/>
  <c r="I315" i="44" a="1"/>
  <c r="I315" i="44" s="1"/>
  <c r="I316" i="44" s="1"/>
  <c r="I317" i="44" s="1"/>
  <c r="I328" i="44"/>
  <c r="K343" i="44"/>
  <c r="H357" i="44"/>
  <c r="H364" i="44"/>
  <c r="G307" i="44"/>
  <c r="J321" i="44"/>
  <c r="I321" i="44"/>
  <c r="I335" i="44"/>
  <c r="K357" i="44"/>
  <c r="H314" i="44"/>
  <c r="H343" i="44"/>
  <c r="G364" i="44"/>
  <c r="J335" i="44"/>
  <c r="I357" i="44"/>
  <c r="I364" i="44"/>
  <c r="K314" i="44"/>
  <c r="H371" i="44"/>
  <c r="G335" i="44"/>
  <c r="G321" i="44"/>
  <c r="J314" i="44"/>
  <c r="I300" i="44"/>
  <c r="K300" i="44"/>
  <c r="K371" i="44"/>
  <c r="H300" i="44"/>
  <c r="G357" i="44"/>
  <c r="J371" i="44"/>
  <c r="J357" i="44"/>
  <c r="K307" i="44"/>
  <c r="K350" i="44"/>
  <c r="G314" i="44"/>
  <c r="J364" i="44"/>
  <c r="J350" i="44"/>
  <c r="I371" i="44"/>
  <c r="K321" i="44"/>
  <c r="H328" i="44"/>
  <c r="J328" i="44"/>
  <c r="H321" i="44"/>
  <c r="J300" i="44"/>
  <c r="R22" i="51" a="1"/>
  <c r="R22" i="51" s="1"/>
  <c r="P22" i="51" a="1"/>
  <c r="P22" i="51" s="1"/>
  <c r="Q22" i="51" a="1"/>
  <c r="Q22" i="51" s="1"/>
  <c r="S21" i="51" a="1"/>
  <c r="S21" i="51" s="1"/>
  <c r="Q21" i="51" a="1"/>
  <c r="Q21" i="51" s="1"/>
  <c r="O50" i="51" l="1" a="1"/>
  <c r="O50" i="51" s="1"/>
  <c r="F46" i="51" a="1"/>
  <c r="F46" i="51" s="1"/>
  <c r="O46" i="51" a="1"/>
  <c r="O46" i="51" s="1"/>
  <c r="H262" i="44" a="1"/>
  <c r="H262" i="44" s="1"/>
  <c r="G34" i="51"/>
  <c r="G46" i="51" s="1" a="1"/>
  <c r="G46" i="51" s="1"/>
  <c r="J279" i="44" a="1"/>
  <c r="J279" i="44" s="1"/>
  <c r="R34" i="51"/>
  <c r="I262" i="44" a="1"/>
  <c r="I262" i="44" s="1"/>
  <c r="H34" i="51"/>
  <c r="H46" i="51" s="1" a="1"/>
  <c r="H46" i="51" s="1"/>
  <c r="H279" i="44" a="1"/>
  <c r="H279" i="44" s="1"/>
  <c r="P34" i="51"/>
  <c r="J262" i="44" a="1"/>
  <c r="J262" i="44" s="1"/>
  <c r="I34" i="51"/>
  <c r="I46" i="51" s="1" a="1"/>
  <c r="I46" i="51" s="1"/>
  <c r="K262" i="44" a="1"/>
  <c r="K262" i="44" s="1"/>
  <c r="J34" i="51"/>
  <c r="J46" i="51" s="1" a="1"/>
  <c r="J46" i="51" s="1"/>
  <c r="H40" i="44" a="1"/>
  <c r="H40" i="44" s="1"/>
  <c r="P9" i="51"/>
  <c r="P20" i="51" s="1" a="1"/>
  <c r="P20" i="51" s="1"/>
  <c r="I270" i="44" a="1"/>
  <c r="I270" i="44" s="1"/>
  <c r="H38" i="51"/>
  <c r="H287" i="44" a="1"/>
  <c r="H287" i="44" s="1"/>
  <c r="P38" i="51"/>
  <c r="P50" i="51" s="1" a="1"/>
  <c r="P50" i="51" s="1"/>
  <c r="J50" i="51" a="1"/>
  <c r="J50" i="51" s="1"/>
  <c r="I40" i="44" a="1"/>
  <c r="I40" i="44" s="1"/>
  <c r="Q9" i="51"/>
  <c r="Q20" i="51" s="1" a="1"/>
  <c r="Q20" i="51" s="1"/>
  <c r="J270" i="44" a="1"/>
  <c r="J270" i="44" s="1"/>
  <c r="I38" i="51"/>
  <c r="G40" i="44" a="1"/>
  <c r="G40" i="44" s="1"/>
  <c r="O9" i="51"/>
  <c r="O20" i="51" s="1" a="1"/>
  <c r="O20" i="51" s="1"/>
  <c r="I285" i="44"/>
  <c r="I286" i="44" s="1"/>
  <c r="K284" i="44"/>
  <c r="K285" i="44" s="1"/>
  <c r="K286" i="44" s="1"/>
  <c r="I277" i="44"/>
  <c r="I278" i="44" s="1"/>
  <c r="H268" i="44"/>
  <c r="H269" i="44" s="1"/>
  <c r="J38" i="44"/>
  <c r="J39" i="44" s="1"/>
  <c r="K36" i="44" a="1"/>
  <c r="K36" i="44" s="1"/>
  <c r="K37" i="44" s="1"/>
  <c r="H21" i="44"/>
  <c r="H22" i="44" s="1"/>
  <c r="H23" i="44" s="1" a="1"/>
  <c r="H23" i="44" s="1"/>
  <c r="K372" i="44" a="1"/>
  <c r="K372" i="44" s="1"/>
  <c r="K373" i="44" s="1"/>
  <c r="K374" i="44" s="1"/>
  <c r="K367" i="44"/>
  <c r="J372" i="44" a="1"/>
  <c r="J372" i="44" s="1"/>
  <c r="J373" i="44" s="1"/>
  <c r="J365" i="44" a="1"/>
  <c r="J365" i="44" s="1"/>
  <c r="I372" i="44" a="1"/>
  <c r="I372" i="44" s="1"/>
  <c r="I373" i="44" s="1"/>
  <c r="I365" i="44" a="1"/>
  <c r="I365" i="44" s="1"/>
  <c r="I366" i="44" s="1"/>
  <c r="I367" i="44" s="1"/>
  <c r="G374" i="44"/>
  <c r="G365" i="44" a="1"/>
  <c r="G365" i="44" s="1"/>
  <c r="G366" i="44" s="1"/>
  <c r="G367" i="44" s="1"/>
  <c r="H372" i="44" a="1"/>
  <c r="H372" i="44" s="1"/>
  <c r="H365" i="44" a="1"/>
  <c r="H365" i="44" s="1"/>
  <c r="H366" i="44" s="1"/>
  <c r="G345" i="44"/>
  <c r="G346" i="44" s="1"/>
  <c r="K331" i="44"/>
  <c r="J329" i="44" a="1"/>
  <c r="J329" i="44" s="1"/>
  <c r="J330" i="44" s="1"/>
  <c r="J331" i="44" s="1"/>
  <c r="H329" i="44" a="1"/>
  <c r="H329" i="44" s="1"/>
  <c r="H330" i="44" s="1"/>
  <c r="H331" i="44" s="1"/>
  <c r="I329" i="44" a="1"/>
  <c r="I329" i="44" s="1"/>
  <c r="I330" i="44" s="1"/>
  <c r="I331" i="44" s="1"/>
  <c r="H337" i="44"/>
  <c r="H338" i="44" s="1"/>
  <c r="I322" i="44" a="1"/>
  <c r="I322" i="44" s="1"/>
  <c r="I323" i="44" s="1"/>
  <c r="I324" i="44" s="1"/>
  <c r="K322" i="44" a="1"/>
  <c r="K322" i="44" s="1"/>
  <c r="K323" i="44" s="1"/>
  <c r="K324" i="44" s="1"/>
  <c r="H322" i="44" a="1"/>
  <c r="H322" i="44" s="1"/>
  <c r="H323" i="44" s="1"/>
  <c r="H324" i="44" s="1"/>
  <c r="G322" i="44" a="1"/>
  <c r="G322" i="44" s="1"/>
  <c r="G323" i="44" s="1"/>
  <c r="G324" i="44" s="1"/>
  <c r="J322" i="44" a="1"/>
  <c r="J322" i="44" s="1"/>
  <c r="J323" i="44" s="1"/>
  <c r="J324" i="44" s="1"/>
  <c r="G301" i="44" a="1"/>
  <c r="G301" i="44" s="1"/>
  <c r="G302" i="44" s="1"/>
  <c r="G303" i="44" s="1"/>
  <c r="K315" i="44" a="1"/>
  <c r="K315" i="44" s="1"/>
  <c r="K316" i="44" s="1"/>
  <c r="K317" i="44" s="1"/>
  <c r="H315" i="44" a="1"/>
  <c r="H315" i="44" s="1"/>
  <c r="H316" i="44" s="1"/>
  <c r="G308" i="44" a="1"/>
  <c r="G308" i="44" s="1"/>
  <c r="G309" i="44" s="1"/>
  <c r="G310" i="44" s="1"/>
  <c r="I358" i="44" a="1"/>
  <c r="I358" i="44" s="1"/>
  <c r="I359" i="44" s="1"/>
  <c r="I336" i="44" a="1"/>
  <c r="I336" i="44" s="1"/>
  <c r="I337" i="44" s="1"/>
  <c r="I338" i="44" s="1"/>
  <c r="H358" i="44" a="1"/>
  <c r="H358" i="44" s="1"/>
  <c r="H359" i="44" s="1"/>
  <c r="H360" i="44" s="1"/>
  <c r="K358" i="44" a="1"/>
  <c r="K358" i="44" s="1"/>
  <c r="K359" i="44" s="1"/>
  <c r="J358" i="44" a="1"/>
  <c r="J358" i="44" s="1"/>
  <c r="J359" i="44" s="1"/>
  <c r="J360" i="44" s="1"/>
  <c r="J315" i="44" a="1"/>
  <c r="J315" i="44" s="1"/>
  <c r="J316" i="44" s="1"/>
  <c r="J317" i="44" s="1"/>
  <c r="J336" i="44" a="1"/>
  <c r="J336" i="44" s="1"/>
  <c r="J337" i="44" s="1"/>
  <c r="J338" i="44" s="1"/>
  <c r="G353" i="44"/>
  <c r="G336" i="44" a="1"/>
  <c r="G336" i="44" s="1"/>
  <c r="G337" i="44" s="1"/>
  <c r="G338" i="44" s="1"/>
  <c r="H155" i="44"/>
  <c r="I155" i="44"/>
  <c r="K155" i="44"/>
  <c r="J155" i="44"/>
  <c r="G155" i="44"/>
  <c r="E15" i="48"/>
  <c r="E14" i="48"/>
  <c r="E9" i="48"/>
  <c r="E8" i="48"/>
  <c r="B3" i="48"/>
  <c r="B5" i="48" s="1"/>
  <c r="C2" i="48"/>
  <c r="B3" i="47"/>
  <c r="C2" i="47"/>
  <c r="P46" i="51" l="1" a="1"/>
  <c r="P46" i="51" s="1"/>
  <c r="R46" i="51" a="1"/>
  <c r="R46" i="51" s="1"/>
  <c r="H50" i="51" a="1"/>
  <c r="H50" i="51" s="1"/>
  <c r="I50" i="51" a="1"/>
  <c r="I50" i="51" s="1"/>
  <c r="I287" i="44" a="1"/>
  <c r="I287" i="44" s="1"/>
  <c r="Q38" i="51"/>
  <c r="Q50" i="51" s="1" a="1"/>
  <c r="Q50" i="51" s="1"/>
  <c r="J40" i="44" a="1"/>
  <c r="J40" i="44" s="1"/>
  <c r="R9" i="51"/>
  <c r="R20" i="51" s="1" a="1"/>
  <c r="R20" i="51" s="1"/>
  <c r="H270" i="44" a="1"/>
  <c r="H270" i="44" s="1"/>
  <c r="G38" i="51"/>
  <c r="I279" i="44" a="1"/>
  <c r="I279" i="44" s="1"/>
  <c r="Q34" i="51"/>
  <c r="K287" i="44" a="1"/>
  <c r="K287" i="44" s="1"/>
  <c r="S38" i="51"/>
  <c r="S50" i="51" s="1" a="1"/>
  <c r="S50" i="51" s="1"/>
  <c r="K38" i="44"/>
  <c r="K39" i="44" s="1"/>
  <c r="K375" i="44" a="1"/>
  <c r="K375" i="44" s="1"/>
  <c r="S40" i="51"/>
  <c r="S52" i="51" s="1" a="1"/>
  <c r="S52" i="51" s="1"/>
  <c r="K368" i="44" a="1"/>
  <c r="K368" i="44" s="1"/>
  <c r="S39" i="51"/>
  <c r="J374" i="44"/>
  <c r="J375" i="44" s="1" a="1"/>
  <c r="J375" i="44" s="1"/>
  <c r="J366" i="44"/>
  <c r="J367" i="44" s="1"/>
  <c r="I374" i="44"/>
  <c r="I368" i="44" a="1"/>
  <c r="I368" i="44" s="1"/>
  <c r="Q39" i="51"/>
  <c r="G375" i="44" a="1"/>
  <c r="G375" i="44" s="1"/>
  <c r="O40" i="51"/>
  <c r="G368" i="44" a="1"/>
  <c r="G368" i="44" s="1"/>
  <c r="O39" i="51"/>
  <c r="H373" i="44"/>
  <c r="H374" i="44" s="1"/>
  <c r="H367" i="44"/>
  <c r="H368" i="44" s="1" a="1"/>
  <c r="H368" i="44" s="1"/>
  <c r="H332" i="44" a="1"/>
  <c r="H332" i="44" s="1"/>
  <c r="G40" i="51"/>
  <c r="G52" i="51" s="1" a="1"/>
  <c r="G52" i="51" s="1"/>
  <c r="K325" i="44" a="1"/>
  <c r="K325" i="44" s="1"/>
  <c r="J39" i="51"/>
  <c r="G325" i="44" a="1"/>
  <c r="G325" i="44" s="1"/>
  <c r="F39" i="51"/>
  <c r="I360" i="44"/>
  <c r="K360" i="44"/>
  <c r="H317" i="44"/>
  <c r="K332" i="44" a="1"/>
  <c r="K332" i="44" s="1"/>
  <c r="J40" i="51"/>
  <c r="J332" i="44" a="1"/>
  <c r="J332" i="44" s="1"/>
  <c r="I40" i="51"/>
  <c r="I332" i="44" a="1"/>
  <c r="I332" i="44" s="1"/>
  <c r="H40" i="51"/>
  <c r="G332" i="44" a="1"/>
  <c r="G332" i="44" s="1"/>
  <c r="F40" i="51"/>
  <c r="J325" i="44" a="1"/>
  <c r="J325" i="44" s="1"/>
  <c r="I39" i="51"/>
  <c r="I325" i="44" a="1"/>
  <c r="I325" i="44" s="1"/>
  <c r="H39" i="51"/>
  <c r="H325" i="44" a="1"/>
  <c r="H325" i="44" s="1"/>
  <c r="G39" i="51"/>
  <c r="B5" i="47"/>
  <c r="B21" i="47" s="1"/>
  <c r="B18" i="48"/>
  <c r="E23" i="50" l="1"/>
  <c r="E27" i="50" s="1"/>
  <c r="G24" i="50"/>
  <c r="Q51" i="51" a="1"/>
  <c r="Q51" i="51" s="1"/>
  <c r="S51" i="51" a="1"/>
  <c r="S51" i="51" s="1"/>
  <c r="Q23" i="50"/>
  <c r="Q27" i="50" s="1"/>
  <c r="Q24" i="50"/>
  <c r="Q25" i="50"/>
  <c r="Q29" i="50" s="1"/>
  <c r="O52" i="51" a="1"/>
  <c r="O52" i="51" s="1"/>
  <c r="O51" i="51" a="1"/>
  <c r="O51" i="51" s="1"/>
  <c r="M24" i="50"/>
  <c r="M25" i="50"/>
  <c r="M29" i="50" s="1"/>
  <c r="M23" i="50"/>
  <c r="M27" i="50" s="1"/>
  <c r="Q46" i="51" a="1"/>
  <c r="Q46" i="51" s="1"/>
  <c r="H25" i="50"/>
  <c r="H29" i="50" s="1"/>
  <c r="F51" i="51" a="1"/>
  <c r="F51" i="51" s="1"/>
  <c r="E24" i="50"/>
  <c r="E25" i="50"/>
  <c r="E29" i="50" s="1"/>
  <c r="G25" i="50"/>
  <c r="G29" i="50" s="1"/>
  <c r="H23" i="50"/>
  <c r="H27" i="50" s="1"/>
  <c r="G23" i="50"/>
  <c r="G27" i="50" s="1"/>
  <c r="J51" i="51" a="1"/>
  <c r="J51" i="51" s="1"/>
  <c r="I24" i="50"/>
  <c r="I23" i="50"/>
  <c r="I27" i="50" s="1"/>
  <c r="I25" i="50"/>
  <c r="I29" i="50" s="1"/>
  <c r="G50" i="51" a="1"/>
  <c r="G50" i="51" s="1"/>
  <c r="F23" i="50"/>
  <c r="F27" i="50" s="1"/>
  <c r="F25" i="50"/>
  <c r="F29" i="50" s="1"/>
  <c r="F24" i="50"/>
  <c r="H24" i="50"/>
  <c r="K40" i="44" a="1"/>
  <c r="K40" i="44" s="1"/>
  <c r="S9" i="51"/>
  <c r="S20" i="51" s="1" a="1"/>
  <c r="S20" i="51" s="1"/>
  <c r="R40" i="51"/>
  <c r="R52" i="51" s="1" a="1"/>
  <c r="R52" i="51" s="1"/>
  <c r="J368" i="44" a="1"/>
  <c r="J368" i="44" s="1"/>
  <c r="R39" i="51"/>
  <c r="I375" i="44" a="1"/>
  <c r="I375" i="44" s="1"/>
  <c r="Q40" i="51"/>
  <c r="Q52" i="51" s="1" a="1"/>
  <c r="Q52" i="51" s="1"/>
  <c r="H375" i="44" a="1"/>
  <c r="H375" i="44" s="1"/>
  <c r="P40" i="51"/>
  <c r="P52" i="51" s="1" a="1"/>
  <c r="P52" i="51" s="1"/>
  <c r="P39" i="51"/>
  <c r="F9" i="51"/>
  <c r="H52" i="51" a="1"/>
  <c r="H52" i="51" s="1"/>
  <c r="G51" i="51" a="1"/>
  <c r="G51" i="51" s="1"/>
  <c r="H51" i="51" a="1"/>
  <c r="H51" i="51" s="1"/>
  <c r="I52" i="51" a="1"/>
  <c r="I52" i="51" s="1"/>
  <c r="J52" i="51" a="1"/>
  <c r="J52" i="51" s="1"/>
  <c r="I51" i="51" a="1"/>
  <c r="I51" i="51" s="1"/>
  <c r="F52" i="51" a="1"/>
  <c r="F52" i="51" s="1"/>
  <c r="H51" i="44"/>
  <c r="K51" i="44"/>
  <c r="B3" i="44"/>
  <c r="B3" i="42"/>
  <c r="B3" i="39"/>
  <c r="B9" i="4" s="1"/>
  <c r="B3" i="41"/>
  <c r="B3" i="38"/>
  <c r="B7" i="4" s="1"/>
  <c r="B3" i="40"/>
  <c r="A2" i="4"/>
  <c r="B5" i="4" s="1"/>
  <c r="C2" i="44"/>
  <c r="C2" i="42"/>
  <c r="C2" i="39"/>
  <c r="C2" i="41"/>
  <c r="C2" i="38"/>
  <c r="C2" i="40"/>
  <c r="B1" i="4"/>
  <c r="H28" i="50" l="1"/>
  <c r="F28" i="50"/>
  <c r="E28" i="50"/>
  <c r="I28" i="50"/>
  <c r="M28" i="50"/>
  <c r="Q28" i="50"/>
  <c r="G28" i="50"/>
  <c r="O25" i="50"/>
  <c r="O29" i="50" s="1"/>
  <c r="O24" i="50"/>
  <c r="N23" i="50"/>
  <c r="N27" i="50" s="1"/>
  <c r="N24" i="50"/>
  <c r="N25" i="50"/>
  <c r="N29" i="50" s="1"/>
  <c r="O23" i="50"/>
  <c r="O27" i="50" s="1"/>
  <c r="P23" i="50"/>
  <c r="P27" i="50" s="1"/>
  <c r="P25" i="50"/>
  <c r="P29" i="50" s="1"/>
  <c r="P24" i="50"/>
  <c r="F20" i="51" a="1"/>
  <c r="F20" i="51" s="1"/>
  <c r="R51" i="51" a="1"/>
  <c r="R51" i="51" s="1"/>
  <c r="P51" i="51" a="1"/>
  <c r="P51" i="51" s="1"/>
  <c r="J51" i="44"/>
  <c r="G51" i="44"/>
  <c r="I51" i="44"/>
  <c r="B5" i="40"/>
  <c r="B39" i="40" s="1"/>
  <c r="B6" i="4"/>
  <c r="B8" i="4"/>
  <c r="B7" i="44"/>
  <c r="B137" i="44" s="1"/>
  <c r="B161" i="44" s="1"/>
  <c r="K55" i="44"/>
  <c r="K89" i="44" s="1"/>
  <c r="K56" i="44"/>
  <c r="K132" i="44" s="1"/>
  <c r="H55" i="44"/>
  <c r="H89" i="44" s="1"/>
  <c r="H56" i="44"/>
  <c r="H132" i="44" s="1"/>
  <c r="B5" i="42"/>
  <c r="B126" i="42" s="1"/>
  <c r="B5" i="38"/>
  <c r="B12" i="38" s="1"/>
  <c r="B19" i="38" s="1"/>
  <c r="B5" i="41"/>
  <c r="B126" i="41" s="1"/>
  <c r="B5" i="39"/>
  <c r="B152" i="41" l="1"/>
  <c r="O28" i="50"/>
  <c r="P28" i="50"/>
  <c r="N28" i="50"/>
  <c r="H90" i="44" a="1"/>
  <c r="H90" i="44" s="1"/>
  <c r="H91" i="44" s="1"/>
  <c r="K90" i="44" a="1"/>
  <c r="K90" i="44" s="1"/>
  <c r="K91" i="44" s="1"/>
  <c r="H82" i="44"/>
  <c r="H125" i="44"/>
  <c r="K125" i="44"/>
  <c r="H118" i="44"/>
  <c r="K75" i="44"/>
  <c r="H75" i="44"/>
  <c r="K104" i="44"/>
  <c r="H96" i="44"/>
  <c r="K82" i="44"/>
  <c r="H111" i="44"/>
  <c r="K118" i="44"/>
  <c r="K119" i="44" s="1" a="1"/>
  <c r="K119" i="44" s="1"/>
  <c r="K120" i="44" s="1"/>
  <c r="K121" i="44" s="1"/>
  <c r="H104" i="44"/>
  <c r="K96" i="44"/>
  <c r="K111" i="44"/>
  <c r="K68" i="44"/>
  <c r="H68" i="44"/>
  <c r="K61" i="44"/>
  <c r="H61" i="44"/>
  <c r="K361" i="44" a="1"/>
  <c r="K361" i="44" s="1"/>
  <c r="H339" i="44" a="1"/>
  <c r="H339" i="44" s="1"/>
  <c r="H318" i="44" a="1"/>
  <c r="H318" i="44" s="1"/>
  <c r="J56" i="44"/>
  <c r="J118" i="44" s="1"/>
  <c r="I56" i="44"/>
  <c r="I104" i="44" s="1"/>
  <c r="B69" i="40"/>
  <c r="G56" i="44"/>
  <c r="G111" i="44" s="1"/>
  <c r="G55" i="44"/>
  <c r="G61" i="44" s="1"/>
  <c r="I55" i="44"/>
  <c r="I82" i="44" s="1"/>
  <c r="B167" i="44"/>
  <c r="B178" i="44" s="1"/>
  <c r="J55" i="44"/>
  <c r="J75" i="44" s="1"/>
  <c r="B152" i="42"/>
  <c r="B172" i="42" s="1"/>
  <c r="H3" i="50" l="1"/>
  <c r="K92" i="44"/>
  <c r="J15" i="51" s="1"/>
  <c r="J26" i="51" s="1" a="1"/>
  <c r="J26" i="51" s="1"/>
  <c r="I83" i="44" a="1"/>
  <c r="I83" i="44" s="1"/>
  <c r="K83" i="44" a="1"/>
  <c r="K83" i="44" s="1"/>
  <c r="K84" i="44" s="1"/>
  <c r="H83" i="44" a="1"/>
  <c r="H83" i="44" s="1"/>
  <c r="H84" i="44" s="1"/>
  <c r="H85" i="44" s="1"/>
  <c r="H92" i="44"/>
  <c r="I118" i="44"/>
  <c r="I119" i="44" s="1" a="1"/>
  <c r="I119" i="44" s="1"/>
  <c r="I120" i="44" s="1"/>
  <c r="I121" i="44" s="1"/>
  <c r="J125" i="44"/>
  <c r="J76" i="44" a="1"/>
  <c r="J76" i="44" s="1"/>
  <c r="J77" i="44" s="1"/>
  <c r="J78" i="44" s="1"/>
  <c r="J79" i="44" s="1" a="1"/>
  <c r="J79" i="44" s="1"/>
  <c r="G112" i="44" a="1"/>
  <c r="G112" i="44" s="1"/>
  <c r="G113" i="44" s="1"/>
  <c r="G114" i="44" s="1"/>
  <c r="G115" i="44" s="1" a="1"/>
  <c r="G115" i="44" s="1"/>
  <c r="J119" i="44" a="1"/>
  <c r="J119" i="44" s="1"/>
  <c r="J120" i="44" s="1"/>
  <c r="J121" i="44" s="1"/>
  <c r="J122" i="44" s="1" a="1"/>
  <c r="J122" i="44" s="1"/>
  <c r="K97" i="44" a="1"/>
  <c r="K97" i="44" s="1"/>
  <c r="K98" i="44" s="1"/>
  <c r="K99" i="44" s="1"/>
  <c r="H76" i="44" a="1"/>
  <c r="H76" i="44" s="1"/>
  <c r="H77" i="44" s="1"/>
  <c r="H78" i="44" s="1"/>
  <c r="J111" i="44"/>
  <c r="G82" i="44"/>
  <c r="G125" i="44"/>
  <c r="I75" i="44"/>
  <c r="G89" i="44"/>
  <c r="J104" i="44"/>
  <c r="G118" i="44"/>
  <c r="K76" i="44" a="1"/>
  <c r="K76" i="44" s="1"/>
  <c r="K77" i="44" s="1"/>
  <c r="K78" i="44" s="1"/>
  <c r="I96" i="44"/>
  <c r="J82" i="44"/>
  <c r="G75" i="44"/>
  <c r="H119" i="44" a="1"/>
  <c r="H119" i="44" s="1"/>
  <c r="H120" i="44" s="1"/>
  <c r="H121" i="44" s="1"/>
  <c r="I132" i="44"/>
  <c r="G104" i="44"/>
  <c r="I125" i="44"/>
  <c r="I111" i="44"/>
  <c r="H97" i="44" a="1"/>
  <c r="H97" i="44" s="1"/>
  <c r="H98" i="44" s="1"/>
  <c r="H99" i="44" s="1"/>
  <c r="H100" i="44" s="1" a="1"/>
  <c r="H100" i="44" s="1"/>
  <c r="J96" i="44"/>
  <c r="G96" i="44"/>
  <c r="I89" i="44"/>
  <c r="J89" i="44"/>
  <c r="J132" i="44"/>
  <c r="G132" i="44"/>
  <c r="J68" i="44"/>
  <c r="G68" i="44"/>
  <c r="I68" i="44"/>
  <c r="J61" i="44"/>
  <c r="G62" i="44" a="1"/>
  <c r="G62" i="44" s="1"/>
  <c r="G63" i="44" s="1"/>
  <c r="G64" i="44" s="1"/>
  <c r="G65" i="44" s="1" a="1"/>
  <c r="G65" i="44" s="1"/>
  <c r="I61" i="44"/>
  <c r="S12" i="51"/>
  <c r="K122" i="44" a="1"/>
  <c r="K122" i="44" s="1"/>
  <c r="G41" i="51"/>
  <c r="G53" i="51" s="1" a="1"/>
  <c r="G53" i="51" s="1"/>
  <c r="S37" i="51"/>
  <c r="G37" i="51"/>
  <c r="K339" i="44" a="1"/>
  <c r="K339" i="44" s="1"/>
  <c r="H361" i="44" a="1"/>
  <c r="H361" i="44" s="1"/>
  <c r="G339" i="44" a="1"/>
  <c r="G339" i="44" s="1"/>
  <c r="G347" i="44" a="1"/>
  <c r="G347" i="44" s="1"/>
  <c r="I339" i="44" a="1"/>
  <c r="I339" i="44" s="1"/>
  <c r="I361" i="44" a="1"/>
  <c r="I361" i="44" s="1"/>
  <c r="J318" i="44" a="1"/>
  <c r="J318" i="44" s="1"/>
  <c r="K318" i="44" a="1"/>
  <c r="K318" i="44" s="1"/>
  <c r="Q10" i="50" l="1"/>
  <c r="Q12" i="50"/>
  <c r="Q11" i="50"/>
  <c r="K93" i="44" a="1"/>
  <c r="K93" i="44" s="1"/>
  <c r="G14" i="51"/>
  <c r="G25" i="51" s="1" a="1"/>
  <c r="G25" i="51" s="1"/>
  <c r="H86" i="44" a="1"/>
  <c r="H86" i="44" s="1"/>
  <c r="J90" i="44" a="1"/>
  <c r="J90" i="44" s="1"/>
  <c r="J91" i="44" s="1"/>
  <c r="I90" i="44" a="1"/>
  <c r="I90" i="44" s="1"/>
  <c r="I91" i="44" s="1"/>
  <c r="G90" i="44" a="1"/>
  <c r="G90" i="44" s="1"/>
  <c r="G91" i="44" s="1"/>
  <c r="G92" i="44" s="1"/>
  <c r="K85" i="44"/>
  <c r="J83" i="44" a="1"/>
  <c r="J83" i="44" s="1"/>
  <c r="J84" i="44" s="1"/>
  <c r="G83" i="44" a="1"/>
  <c r="G83" i="44" s="1"/>
  <c r="G84" i="44" s="1"/>
  <c r="I84" i="44"/>
  <c r="I85" i="44" s="1"/>
  <c r="G15" i="51"/>
  <c r="G26" i="51" s="1" a="1"/>
  <c r="G26" i="51" s="1"/>
  <c r="H93" i="44" a="1"/>
  <c r="H93" i="44" s="1"/>
  <c r="G49" i="51" a="1"/>
  <c r="G49" i="51" s="1"/>
  <c r="S49" i="51" a="1"/>
  <c r="S49" i="51" s="1"/>
  <c r="K79" i="44" a="1"/>
  <c r="K79" i="44" s="1"/>
  <c r="J12" i="51"/>
  <c r="J23" i="51" s="1" a="1"/>
  <c r="J23" i="51" s="1"/>
  <c r="R12" i="51"/>
  <c r="H79" i="44" a="1"/>
  <c r="H79" i="44" s="1"/>
  <c r="G12" i="51"/>
  <c r="G23" i="51" s="1" a="1"/>
  <c r="G23" i="51" s="1"/>
  <c r="H122" i="44" a="1"/>
  <c r="H122" i="44" s="1"/>
  <c r="P12" i="51"/>
  <c r="K100" i="44" a="1"/>
  <c r="K100" i="44" s="1"/>
  <c r="J16" i="51"/>
  <c r="J27" i="51" s="1" a="1"/>
  <c r="J27" i="51" s="1"/>
  <c r="I76" i="44" a="1"/>
  <c r="I76" i="44" s="1"/>
  <c r="I77" i="44" s="1"/>
  <c r="I78" i="44" s="1"/>
  <c r="I79" i="44" s="1" a="1"/>
  <c r="I79" i="44" s="1"/>
  <c r="G105" i="44" a="1"/>
  <c r="G105" i="44" s="1"/>
  <c r="G106" i="44" s="1"/>
  <c r="G107" i="44" s="1"/>
  <c r="I97" i="44" a="1"/>
  <c r="I97" i="44" s="1"/>
  <c r="I98" i="44" s="1"/>
  <c r="I99" i="44" s="1"/>
  <c r="G97" i="44" a="1"/>
  <c r="G97" i="44" s="1"/>
  <c r="G98" i="44" s="1"/>
  <c r="G99" i="44" s="1"/>
  <c r="J97" i="44" a="1"/>
  <c r="J97" i="44" s="1"/>
  <c r="J98" i="44" s="1"/>
  <c r="J99" i="44" s="1"/>
  <c r="J100" i="44" s="1" a="1"/>
  <c r="J100" i="44" s="1"/>
  <c r="G69" i="44" a="1"/>
  <c r="G69" i="44" s="1"/>
  <c r="G70" i="44" s="1"/>
  <c r="S23" i="51" a="1"/>
  <c r="S23" i="51" s="1"/>
  <c r="Q12" i="51"/>
  <c r="I122" i="44" a="1"/>
  <c r="I122" i="44" s="1"/>
  <c r="I12" i="51"/>
  <c r="F10" i="51"/>
  <c r="H41" i="51"/>
  <c r="H53" i="51" s="1" a="1"/>
  <c r="H53" i="51" s="1"/>
  <c r="G16" i="51"/>
  <c r="G27" i="51" s="1" a="1"/>
  <c r="G27" i="51" s="1"/>
  <c r="J37" i="51"/>
  <c r="I37" i="51"/>
  <c r="O35" i="51"/>
  <c r="O11" i="51"/>
  <c r="O22" i="51" s="1" a="1"/>
  <c r="O22" i="51" s="1"/>
  <c r="Q37" i="51"/>
  <c r="F41" i="51"/>
  <c r="F53" i="51" s="1" a="1"/>
  <c r="F53" i="51" s="1"/>
  <c r="P37" i="51"/>
  <c r="J41" i="51"/>
  <c r="J53" i="51" s="1" a="1"/>
  <c r="J53" i="51" s="1"/>
  <c r="J361" i="44" a="1"/>
  <c r="J361" i="44" s="1"/>
  <c r="G311" i="44" a="1"/>
  <c r="G311" i="44" s="1"/>
  <c r="J339" i="44" a="1"/>
  <c r="J339" i="44" s="1"/>
  <c r="G304" i="44" a="1"/>
  <c r="G304" i="44" s="1"/>
  <c r="I318" i="44" a="1"/>
  <c r="I318" i="44" s="1"/>
  <c r="G354" i="44" a="1"/>
  <c r="G354" i="44" s="1"/>
  <c r="B202" i="44"/>
  <c r="N10" i="50" l="1"/>
  <c r="N11" i="50"/>
  <c r="N12" i="50"/>
  <c r="Q15" i="50"/>
  <c r="Q35" i="50"/>
  <c r="O11" i="50"/>
  <c r="O10" i="50"/>
  <c r="O12" i="50"/>
  <c r="Q16" i="50"/>
  <c r="Q36" i="50"/>
  <c r="P11" i="50"/>
  <c r="P10" i="50"/>
  <c r="P12" i="50"/>
  <c r="Q14" i="50"/>
  <c r="Q34" i="50"/>
  <c r="G85" i="44"/>
  <c r="G86" i="44" s="1" a="1"/>
  <c r="G86" i="44" s="1"/>
  <c r="F15" i="51"/>
  <c r="F26" i="51" s="1" a="1"/>
  <c r="F26" i="51" s="1"/>
  <c r="G93" i="44" a="1"/>
  <c r="G93" i="44" s="1"/>
  <c r="I86" i="44" a="1"/>
  <c r="I86" i="44" s="1"/>
  <c r="H14" i="51"/>
  <c r="H25" i="51" s="1" a="1"/>
  <c r="H25" i="51" s="1"/>
  <c r="J85" i="44"/>
  <c r="I92" i="44"/>
  <c r="K86" i="44" a="1"/>
  <c r="K86" i="44" s="1"/>
  <c r="J14" i="51"/>
  <c r="J25" i="51" s="1" a="1"/>
  <c r="J25" i="51" s="1"/>
  <c r="J92" i="44"/>
  <c r="Q49" i="51" a="1"/>
  <c r="Q49" i="51" s="1"/>
  <c r="O47" i="51" a="1"/>
  <c r="O47" i="51" s="1"/>
  <c r="P49" i="51" a="1"/>
  <c r="P49" i="51" s="1"/>
  <c r="I49" i="51" a="1"/>
  <c r="I49" i="51" s="1"/>
  <c r="J49" i="51" a="1"/>
  <c r="J49" i="51" s="1"/>
  <c r="R23" i="51" a="1"/>
  <c r="R23" i="51" s="1"/>
  <c r="P23" i="51" a="1"/>
  <c r="P23" i="51" s="1"/>
  <c r="G71" i="44"/>
  <c r="F11" i="51" s="1"/>
  <c r="G108" i="44" a="1"/>
  <c r="G108" i="44" s="1"/>
  <c r="O10" i="51"/>
  <c r="I100" i="44" a="1"/>
  <c r="I100" i="44" s="1"/>
  <c r="H16" i="51"/>
  <c r="H27" i="51" s="1" a="1"/>
  <c r="H27" i="51" s="1"/>
  <c r="I16" i="51"/>
  <c r="I27" i="51" s="1" a="1"/>
  <c r="I27" i="51" s="1"/>
  <c r="F21" i="51" a="1"/>
  <c r="F21" i="51" s="1"/>
  <c r="I23" i="51" a="1"/>
  <c r="I23" i="51" s="1"/>
  <c r="E3" i="44"/>
  <c r="Q23" i="51" a="1"/>
  <c r="Q23" i="51" s="1"/>
  <c r="F16" i="51"/>
  <c r="F27" i="51" s="1" a="1"/>
  <c r="F27" i="51" s="1"/>
  <c r="G100" i="44" a="1"/>
  <c r="G100" i="44" s="1"/>
  <c r="O36" i="51"/>
  <c r="O48" i="51" s="1" a="1"/>
  <c r="O48" i="51" s="1"/>
  <c r="H12" i="51"/>
  <c r="H37" i="51"/>
  <c r="F35" i="51"/>
  <c r="I41" i="51"/>
  <c r="I53" i="51" s="1" a="1"/>
  <c r="I53" i="51" s="1"/>
  <c r="F36" i="51"/>
  <c r="F48" i="51" s="1" a="1"/>
  <c r="F48" i="51" s="1"/>
  <c r="R37" i="51"/>
  <c r="B216" i="44"/>
  <c r="P15" i="50" l="1"/>
  <c r="P35" i="50"/>
  <c r="O16" i="50"/>
  <c r="O36" i="50"/>
  <c r="N14" i="50"/>
  <c r="N34" i="50"/>
  <c r="P16" i="50"/>
  <c r="P36" i="50"/>
  <c r="O15" i="50"/>
  <c r="O35" i="50"/>
  <c r="N16" i="50"/>
  <c r="N36" i="50"/>
  <c r="P14" i="50"/>
  <c r="P34" i="50"/>
  <c r="N15" i="50"/>
  <c r="N35" i="50"/>
  <c r="M10" i="50"/>
  <c r="M11" i="50"/>
  <c r="M12" i="50"/>
  <c r="E10" i="50"/>
  <c r="E14" i="50" s="1"/>
  <c r="O14" i="50"/>
  <c r="O34" i="50"/>
  <c r="E11" i="50"/>
  <c r="E15" i="50" s="1"/>
  <c r="E12" i="50"/>
  <c r="E16" i="50" s="1"/>
  <c r="F14" i="51"/>
  <c r="H15" i="51"/>
  <c r="H26" i="51" s="1" a="1"/>
  <c r="H26" i="51" s="1"/>
  <c r="I93" i="44" a="1"/>
  <c r="I93" i="44" s="1"/>
  <c r="I14" i="51"/>
  <c r="I25" i="51" s="1" a="1"/>
  <c r="I25" i="51" s="1"/>
  <c r="J86" i="44" a="1"/>
  <c r="J86" i="44" s="1"/>
  <c r="I15" i="51"/>
  <c r="I26" i="51" s="1" a="1"/>
  <c r="I26" i="51" s="1"/>
  <c r="J93" i="44" a="1"/>
  <c r="J93" i="44" s="1"/>
  <c r="G72" i="44" a="1"/>
  <c r="G72" i="44" s="1"/>
  <c r="H49" i="51" a="1"/>
  <c r="H49" i="51" s="1"/>
  <c r="R49" i="51" a="1"/>
  <c r="R49" i="51" s="1"/>
  <c r="O21" i="51" a="1"/>
  <c r="O21" i="51" s="1"/>
  <c r="F47" i="51" a="1"/>
  <c r="F47" i="51" s="1"/>
  <c r="F22" i="51" a="1"/>
  <c r="F22" i="51" s="1"/>
  <c r="H23" i="51" a="1"/>
  <c r="H23" i="51" s="1"/>
  <c r="I9" i="51"/>
  <c r="J9" i="51"/>
  <c r="H9" i="51"/>
  <c r="G9" i="51"/>
  <c r="B246" i="44"/>
  <c r="B376" i="44" s="1"/>
  <c r="B400" i="44" s="1"/>
  <c r="B406" i="44" s="1"/>
  <c r="B417" i="44" s="1"/>
  <c r="B441" i="44" s="1"/>
  <c r="B455" i="44" s="1"/>
  <c r="E34" i="50" l="1"/>
  <c r="M16" i="50"/>
  <c r="M36" i="50"/>
  <c r="M15" i="50"/>
  <c r="M35" i="50"/>
  <c r="M14" i="50"/>
  <c r="M34" i="50"/>
  <c r="G3" i="51"/>
  <c r="I20" i="51" a="1"/>
  <c r="I20" i="51" s="1"/>
  <c r="H10" i="50"/>
  <c r="H11" i="50"/>
  <c r="H12" i="50"/>
  <c r="H20" i="51" a="1"/>
  <c r="H20" i="51" s="1"/>
  <c r="G11" i="50"/>
  <c r="G10" i="50"/>
  <c r="G12" i="50"/>
  <c r="G20" i="51" a="1"/>
  <c r="G20" i="51" s="1"/>
  <c r="F10" i="50"/>
  <c r="F12" i="50"/>
  <c r="F16" i="50" s="1"/>
  <c r="F11" i="50"/>
  <c r="J20" i="51" a="1"/>
  <c r="J20" i="51" s="1"/>
  <c r="I11" i="50"/>
  <c r="I10" i="50"/>
  <c r="I12" i="50"/>
  <c r="F25" i="51" a="1"/>
  <c r="F25" i="51" s="1"/>
  <c r="E36" i="50"/>
  <c r="E35" i="50"/>
  <c r="D3" i="44"/>
  <c r="F36" i="50" l="1"/>
  <c r="I34" i="50"/>
  <c r="I14" i="50"/>
  <c r="G34" i="50"/>
  <c r="G14" i="50"/>
  <c r="H36" i="50"/>
  <c r="H16" i="50"/>
  <c r="H34" i="50"/>
  <c r="H14" i="50"/>
  <c r="I35" i="50"/>
  <c r="I15" i="50"/>
  <c r="I36" i="50"/>
  <c r="I16" i="50"/>
  <c r="G35" i="50"/>
  <c r="G15" i="50"/>
  <c r="F34" i="50"/>
  <c r="F14" i="50"/>
  <c r="F35" i="50"/>
  <c r="F15" i="50"/>
  <c r="G36" i="50"/>
  <c r="G16" i="50"/>
  <c r="H35" i="50"/>
  <c r="H15" i="50"/>
  <c r="F3" i="51"/>
  <c r="G3" i="5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<sst xmlns="http://schemas.openxmlformats.org/spreadsheetml/2006/main" count="3229" uniqueCount="432">
  <si>
    <t>VDO calculation model</t>
  </si>
  <si>
    <t>Essential Services Commission</t>
  </si>
  <si>
    <t>Contents</t>
  </si>
  <si>
    <t>Worksheet</t>
  </si>
  <si>
    <t>Name</t>
  </si>
  <si>
    <t>Link</t>
  </si>
  <si>
    <t>Description</t>
  </si>
  <si>
    <t>Disclaimer</t>
  </si>
  <si>
    <t>This page contains a declaration regarding the limitations and use of this model.</t>
  </si>
  <si>
    <t>-</t>
  </si>
  <si>
    <t>User guide</t>
  </si>
  <si>
    <t>Instructions for model operation.</t>
  </si>
  <si>
    <t>Information</t>
  </si>
  <si>
    <t>Information about the model structure, conventions, schematic, logic and scope.</t>
  </si>
  <si>
    <t>Sources</t>
  </si>
  <si>
    <t>This sheet records all data sources relating to the model.</t>
  </si>
  <si>
    <t>General assumptions</t>
  </si>
  <si>
    <t>Assumptions and constants used in the model.</t>
  </si>
  <si>
    <t>Checks</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</si>
  <si>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</si>
  <si>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</si>
  <si>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</si>
  <si>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</si>
  <si>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</si>
  <si>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</si>
  <si>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Worksheets</t>
  </si>
  <si>
    <t>Project details</t>
  </si>
  <si>
    <t>Entity name</t>
  </si>
  <si>
    <t>Division</t>
  </si>
  <si>
    <t>Project</t>
  </si>
  <si>
    <t>Project Manager</t>
  </si>
  <si>
    <t>Model details</t>
  </si>
  <si>
    <t>Model owner</t>
  </si>
  <si>
    <t>Built by (organisation)</t>
  </si>
  <si>
    <t>Model status</t>
  </si>
  <si>
    <t>File location</t>
  </si>
  <si>
    <t>Data access</t>
  </si>
  <si>
    <t>URL</t>
  </si>
  <si>
    <t>Username</t>
  </si>
  <si>
    <t>Password</t>
  </si>
  <si>
    <t>Inputs</t>
  </si>
  <si>
    <t>Cost element</t>
  </si>
  <si>
    <t>Cost item</t>
  </si>
  <si>
    <t>F-CurrentVDO_Input</t>
  </si>
  <si>
    <t>D-NextVDO_Input</t>
  </si>
  <si>
    <t>F-NextVDO_Input</t>
  </si>
  <si>
    <t>C/19/31622, NEM wide avg 2013/14, p17 (pdf), Fig 8</t>
  </si>
  <si>
    <t>C/20/14760, 'Calcs' tab, item 9.6</t>
  </si>
  <si>
    <t>C/20/19952, J8, 'cost calc'</t>
  </si>
  <si>
    <t>C/20/20098, p7, table 3</t>
  </si>
  <si>
    <t>C/20/14755, p26, table 30</t>
  </si>
  <si>
    <t>C/20/21511, p44, single phase half yr (HY)</t>
  </si>
  <si>
    <t>C/20/21513, p49, single phase half yr (HY)</t>
  </si>
  <si>
    <t>C/20/21516, p53, single phase</t>
  </si>
  <si>
    <t>C/20/21521, p51, single phase half yr (HY)</t>
  </si>
  <si>
    <t>C/20/21522, p36 single phase half yr (HY)</t>
  </si>
  <si>
    <t>C/20/21511, p33, NEE11</t>
  </si>
  <si>
    <t>C/20/21513, p17, C1R</t>
  </si>
  <si>
    <t>C/20/21516, p22, A100/F100a/T100b</t>
  </si>
  <si>
    <t>C/20/21521, p19, D1</t>
  </si>
  <si>
    <t>C/20/21522, p17, LVS1R</t>
  </si>
  <si>
    <t>C/20/21511, p34, NEE12</t>
  </si>
  <si>
    <t>C/20/21513, p17, C1G</t>
  </si>
  <si>
    <t>C/20/21516, p23, A200/F200a/T200b</t>
  </si>
  <si>
    <t>C/20/21521, p19, ND1</t>
  </si>
  <si>
    <t>C/20/21522, p17, LVM1R</t>
  </si>
  <si>
    <t>C/20/21549, p46, table 2</t>
  </si>
  <si>
    <t>C/20/21549, p53, table 3</t>
  </si>
  <si>
    <t>C/20/14760, 'Calcs' tab, item 9.3</t>
  </si>
  <si>
    <t>C/20/21549, p54</t>
  </si>
  <si>
    <t>C/20/14765, p51</t>
  </si>
  <si>
    <t>https://www.esc.vic.gov.au/victorian-energy-upgrades-program/participating-veu-program/energy-retailers-veu-program</t>
  </si>
  <si>
    <t>C/20/14760, 'Calcs' tab, item 9.5, cell D100</t>
  </si>
  <si>
    <t>C/20/14760, 'Calcs' tab, item 9.5, cell D76</t>
  </si>
  <si>
    <t>C/20/14760, 'Calcs' tab, item 9.9</t>
  </si>
  <si>
    <t>NA</t>
  </si>
  <si>
    <t>C/20/14760, 'Calcs' tab, item 9.1</t>
  </si>
  <si>
    <t>C/20/21511, p33, NEE13</t>
  </si>
  <si>
    <t>C/20/21513, p17, CDS</t>
  </si>
  <si>
    <t>C/20/21516, p23, A180</t>
  </si>
  <si>
    <t>C/20/21521, p19, DD1</t>
  </si>
  <si>
    <t>C/20/21522, p17, LVDed</t>
  </si>
  <si>
    <t>C/19/31622, p26 (pdf), item 5.3</t>
  </si>
  <si>
    <t>C/20/14760, 'Calcs' tab, item 9.4</t>
  </si>
  <si>
    <t>Ausnet &amp; Powercor—C/20/14760, 'Calcs' item 9.4</t>
  </si>
  <si>
    <t>Citipower, Jemena &amp; UE—C/20/14756, p13, short sub-transmission, type DLFE</t>
  </si>
  <si>
    <t>Usage profile</t>
  </si>
  <si>
    <t>Customer type</t>
  </si>
  <si>
    <t>Residential</t>
  </si>
  <si>
    <t>Small business</t>
  </si>
  <si>
    <t>This worksheet contains all inputs used for calculating the VDO cost stacks.</t>
  </si>
  <si>
    <t>Cost stack inputs</t>
  </si>
  <si>
    <t>Year</t>
  </si>
  <si>
    <t>VDO decision</t>
  </si>
  <si>
    <t>Fixed/Variable</t>
  </si>
  <si>
    <t>Unit</t>
  </si>
  <si>
    <t>F-CurrentVDO_InputDate</t>
  </si>
  <si>
    <t>D-NextVDO_InputDate</t>
  </si>
  <si>
    <t>F-NextVDO_InputDate</t>
  </si>
  <si>
    <t>Retail</t>
  </si>
  <si>
    <t>Retail operating cost - base</t>
  </si>
  <si>
    <t>Fixed</t>
  </si>
  <si>
    <t>$</t>
  </si>
  <si>
    <t>All</t>
  </si>
  <si>
    <t>Retail operating cost - regulatory cost allowance</t>
  </si>
  <si>
    <t>Retail operating cost - 5 min settlement allowance</t>
  </si>
  <si>
    <t>Retail operating cost - bad debt allowance</t>
  </si>
  <si>
    <t>Customer acquisition and retention cost</t>
  </si>
  <si>
    <t>Solar</t>
  </si>
  <si>
    <t>Feed-in tariff (FiT)</t>
  </si>
  <si>
    <t>ESC licence fees</t>
  </si>
  <si>
    <t>Reliability and emergency reserve trader (RERT)</t>
  </si>
  <si>
    <t>Electricity consumer advocacy panel</t>
  </si>
  <si>
    <t>$/week</t>
  </si>
  <si>
    <t>Full retail competition (FRC) operations</t>
  </si>
  <si>
    <t>Network</t>
  </si>
  <si>
    <t>Metering - Ausnet</t>
  </si>
  <si>
    <t>$/year</t>
  </si>
  <si>
    <t>Metering - Citipower</t>
  </si>
  <si>
    <t>Metering - Jemena</t>
  </si>
  <si>
    <t>Metering - Powercor</t>
  </si>
  <si>
    <t>Metering - United Energy</t>
  </si>
  <si>
    <t>Wholesale</t>
  </si>
  <si>
    <t>Price - RES - Ausnet</t>
  </si>
  <si>
    <t>Variable</t>
  </si>
  <si>
    <t>$/MWh</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</si>
  <si>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</si>
  <si>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</si>
  <si>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</si>
  <si>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</si>
  <si>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</si>
  <si>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</si>
  <si>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</si>
  <si>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</si>
  <si>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</si>
  <si>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</si>
  <si>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</si>
  <si>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</si>
  <si>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</si>
  <si>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</si>
  <si>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</si>
  <si>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</si>
  <si>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</si>
  <si>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</si>
  <si>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</si>
  <si>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Environmental</t>
  </si>
  <si>
    <t>Victorian energy upgrades (VEU) - Price</t>
  </si>
  <si>
    <t>$/certificate</t>
  </si>
  <si>
    <t>Large-scale renewable energy target (LRET) - Price</t>
  </si>
  <si>
    <t>Small-scale renewable energy scheme (SRES) - Price</t>
  </si>
  <si>
    <t>Victorian energy upgrades (VEU) - Liability</t>
  </si>
  <si>
    <t>%/year</t>
  </si>
  <si>
    <t>Large-scale renewable energy target (LRET) - Liability</t>
  </si>
  <si>
    <t>Small-scale renewable energy scheme (SRES) - Liability</t>
  </si>
  <si>
    <t>General NEM fees</t>
  </si>
  <si>
    <t>Full retail competition (FRC) operations (OBSOLETE)</t>
  </si>
  <si>
    <t>National transmission planner</t>
  </si>
  <si>
    <t>Ancillary services</t>
  </si>
  <si>
    <t>Anytime - Block 1 - RES - Ausnet</t>
  </si>
  <si>
    <t>c/kWh</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</si>
  <si>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</si>
  <si>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</si>
  <si>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</si>
  <si>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</si>
  <si>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</si>
  <si>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</si>
  <si>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</si>
  <si>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</si>
  <si>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</si>
  <si>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</si>
  <si>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</si>
  <si>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</si>
  <si>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</si>
  <si>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</si>
  <si>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</si>
  <si>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</si>
  <si>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</si>
  <si>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</si>
  <si>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</si>
  <si>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</si>
  <si>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</si>
  <si>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</si>
  <si>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</si>
  <si>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</si>
  <si>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</si>
  <si>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</si>
  <si>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</si>
  <si>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</si>
  <si>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</si>
  <si>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</si>
  <si>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</si>
  <si>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</si>
  <si>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</si>
  <si>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</si>
  <si>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</si>
  <si>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</si>
  <si>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</si>
  <si>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Retail operating margin</t>
  </si>
  <si>
    <t>%</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</si>
  <si>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</si>
  <si>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</si>
  <si>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</si>
  <si>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</si>
  <si>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</si>
  <si>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</si>
  <si>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</si>
  <si>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</si>
  <si>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</si>
  <si>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</si>
  <si>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</si>
  <si>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</si>
  <si>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 - Anytime</t>
  </si>
  <si>
    <t>Profile name</t>
  </si>
  <si>
    <t>Usage type</t>
  </si>
  <si>
    <t>Ref</t>
  </si>
  <si>
    <t>[blank]</t>
  </si>
  <si>
    <t>F-CurrentVDO</t>
  </si>
  <si>
    <t>D-NextVDO</t>
  </si>
  <si>
    <t>F-NextVDO</t>
  </si>
  <si>
    <t>Residential - small</t>
  </si>
  <si>
    <t>Block 1</t>
  </si>
  <si>
    <t>kWh/year</t>
  </si>
  <si>
    <t>Residential - medium</t>
  </si>
  <si>
    <t>Residential - large</t>
  </si>
  <si>
    <t>Small business - small</t>
  </si>
  <si>
    <t>Small business - medium</t>
  </si>
  <si>
    <t>Small business - large</t>
  </si>
  <si>
    <t>Balance</t>
  </si>
  <si>
    <t>Annual</t>
  </si>
  <si>
    <t>Usage profile inputs - Time of Use</t>
  </si>
  <si>
    <t>Peak</t>
  </si>
  <si>
    <t>Off-peak</t>
  </si>
  <si>
    <t>Cost stack inputs - ex ante</t>
  </si>
  <si>
    <t>General Assumptions</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</si>
  <si>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</si>
  <si>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</si>
  <si>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</si>
  <si>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</si>
  <si>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</si>
  <si>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</si>
  <si>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</si>
  <si>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</si>
  <si>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</si>
  <si>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</si>
  <si>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</si>
  <si>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</si>
  <si>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</si>
  <si>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</si>
  <si>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</si>
  <si>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</si>
  <si>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This worksheet contains indices used to adjust cost stack elements by CPI (where necessary).</t>
  </si>
  <si>
    <t>CPI</t>
  </si>
  <si>
    <t>Indices "as at" for previous VDO decisions</t>
  </si>
  <si>
    <t>Decision paper</t>
  </si>
  <si>
    <t>Date</t>
  </si>
  <si>
    <t>Indice</t>
  </si>
  <si>
    <t>VDO 2019</t>
  </si>
  <si>
    <t>VDO 2020</t>
  </si>
  <si>
    <t>VDO 2021 - Draft</t>
  </si>
  <si>
    <t>VDO 2021 - Final</t>
  </si>
  <si>
    <t>VDO 2022 - Draft</t>
  </si>
  <si>
    <t>VDO 2022 - Final</t>
  </si>
  <si>
    <t>CPI indices</t>
  </si>
  <si>
    <t>ABS All groups CPI, Australia</t>
  </si>
  <si>
    <t>Series ID A2325846C</t>
  </si>
  <si>
    <t>Period</t>
  </si>
  <si>
    <t>Rate checks:</t>
  </si>
  <si>
    <t>Calculation</t>
  </si>
  <si>
    <t>Rates</t>
  </si>
  <si>
    <t>Fixed costs</t>
  </si>
  <si>
    <t>Ausnet</t>
  </si>
  <si>
    <t>Citipower</t>
  </si>
  <si>
    <t>Jemena</t>
  </si>
  <si>
    <t>Powercor</t>
  </si>
  <si>
    <t>United Energy</t>
  </si>
  <si>
    <t>Other</t>
  </si>
  <si>
    <t>Solar (FiT)</t>
  </si>
  <si>
    <t>Metering</t>
  </si>
  <si>
    <t>Residential charges - daily supply</t>
  </si>
  <si>
    <t>GST</t>
  </si>
  <si>
    <t>Total fixed costs</t>
  </si>
  <si>
    <t>Small business charges - daily supply</t>
  </si>
  <si>
    <t>Variable costs</t>
  </si>
  <si>
    <t>Environmental programs</t>
  </si>
  <si>
    <t>$/kWh</t>
  </si>
  <si>
    <t>Wholesale cost</t>
  </si>
  <si>
    <t>Network losses</t>
  </si>
  <si>
    <t>Residential charges - usage</t>
  </si>
  <si>
    <t>Anytime - Block 1</t>
  </si>
  <si>
    <t>Network charge</t>
  </si>
  <si>
    <t>Anytime - Balance</t>
  </si>
  <si>
    <t>Anytime - Single rate</t>
  </si>
  <si>
    <t>TOU - Peak</t>
  </si>
  <si>
    <t>TOU - Off peak</t>
  </si>
  <si>
    <t>Controlled load</t>
  </si>
  <si>
    <t>Small business charges - usage</t>
  </si>
  <si>
    <t>Non cost items</t>
  </si>
  <si>
    <t>Indice at VDO decision</t>
  </si>
  <si>
    <t>CPI increase</t>
  </si>
  <si>
    <t>Retail operating cost</t>
  </si>
  <si>
    <t>Marginal loss factor</t>
  </si>
  <si>
    <t>Distribution loss factor</t>
  </si>
  <si>
    <t>Total loss factor</t>
  </si>
  <si>
    <t>Retail costs</t>
  </si>
  <si>
    <t>Fixed network charges</t>
  </si>
  <si>
    <t>Variable network charges</t>
  </si>
  <si>
    <t>Residential wholesale</t>
  </si>
  <si>
    <t>Price - RES</t>
  </si>
  <si>
    <t>Volatility - RES</t>
  </si>
  <si>
    <t>Small business wholesale</t>
  </si>
  <si>
    <t>Price - SME</t>
  </si>
  <si>
    <t>Volatility - SME</t>
  </si>
  <si>
    <t>Environmental &amp; Solar</t>
  </si>
  <si>
    <t>Victorian Energy Upgrades (VEU)</t>
  </si>
  <si>
    <t>VEU cost</t>
  </si>
  <si>
    <t>Large-scale Renewable Energy Target (LRET)</t>
  </si>
  <si>
    <t>LRET cost</t>
  </si>
  <si>
    <t>Small-scale Renewable Energy Scheme (SRES)</t>
  </si>
  <si>
    <t>SRES cost</t>
  </si>
  <si>
    <t>Feed-in Tariff (FiT)</t>
  </si>
  <si>
    <t>Residential rates</t>
  </si>
  <si>
    <t>Small business rates</t>
  </si>
  <si>
    <t>Rate name</t>
  </si>
  <si>
    <t>Anytime - Block 1 charge</t>
  </si>
  <si>
    <t>Anytime - Balance charge</t>
  </si>
  <si>
    <t>Anytime - Single rate charge</t>
  </si>
  <si>
    <t>TOU - Peak charge</t>
  </si>
  <si>
    <t>TOU - Off peak charge</t>
  </si>
  <si>
    <t>Controlled load charge</t>
  </si>
  <si>
    <t>Compliant Maximum Annual Bill (CMAB)</t>
  </si>
  <si>
    <t>Lookup references</t>
  </si>
  <si>
    <t>Units</t>
  </si>
  <si>
    <t>Usage profiles</t>
  </si>
  <si>
    <t>$/day</t>
  </si>
  <si>
    <t>Rate check - Previous VDO values</t>
  </si>
  <si>
    <t>Rate</t>
  </si>
  <si>
    <t>TOU - Peak charge_Residential</t>
  </si>
  <si>
    <t>TOU - Off peak charge_Residential</t>
  </si>
  <si>
    <t>Anytime - Block 1 charge_Residential</t>
  </si>
  <si>
    <t>Anytime - Balance charge_Residential</t>
  </si>
  <si>
    <t>Anytime - Single rate charge_Residential</t>
  </si>
  <si>
    <t>Controlled load charge_Residential</t>
  </si>
  <si>
    <t>TOU - Peak charge_Small business</t>
  </si>
  <si>
    <t>TOU - Off peak charge_Small business</t>
  </si>
  <si>
    <t>Anytime - Block 1 charge_Small business</t>
  </si>
  <si>
    <t>Anytime - Balance charge_Small business</t>
  </si>
  <si>
    <t>Anytime - Single rate charge_Small business</t>
  </si>
  <si>
    <t>Source documentation - calculation inputs</t>
  </si>
  <si>
    <t>C/19/31620, pdf p63, item 3.7, ICRC electricity standing offer report 2017-18</t>
  </si>
  <si>
    <t>C/20/20862, p5, AER stakeholder forum presentation, Red/Lumo</t>
  </si>
  <si>
    <t>C/20/20946 (internal analysis, confirmation email)</t>
  </si>
  <si>
    <t>Percentage change</t>
  </si>
  <si>
    <t>CPI uplift factor</t>
  </si>
  <si>
    <t>VD-CurrentVDO</t>
  </si>
  <si>
    <t>VF-CurrentVDO</t>
  </si>
  <si>
    <t>VD-CurrentVDO_InputDate</t>
  </si>
  <si>
    <t>VD-CurrentVDO_Input</t>
  </si>
  <si>
    <t>VF-CurrentVDO_InputDate</t>
  </si>
  <si>
    <t>VF-CurrentVDO_Input</t>
  </si>
  <si>
    <t>VDO 2021 - Variation draft</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</si>
  <si>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</si>
  <si>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</si>
  <si>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</si>
  <si>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</si>
  <si>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</si>
  <si>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</si>
  <si>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</si>
  <si>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</si>
  <si>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</si>
  <si>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</si>
  <si>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</si>
  <si>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</si>
  <si>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</si>
  <si>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</si>
  <si>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</si>
  <si>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</si>
  <si>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</si>
  <si>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</si>
  <si>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</si>
  <si>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</si>
  <si>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Anytime - supply charge</t>
  </si>
  <si>
    <t>TOU - supply charge</t>
  </si>
  <si>
    <t>Anytime - supply charge_Residential</t>
  </si>
  <si>
    <t>Anytime - supply charge_Small business</t>
  </si>
  <si>
    <t>VDO 2021 - Variation final</t>
  </si>
  <si>
    <t>Checks:</t>
  </si>
  <si>
    <t>Calc_Rates</t>
  </si>
  <si>
    <t>OP_Rates</t>
  </si>
  <si>
    <t>Murry Greasley &amp; Mayank Grover</t>
  </si>
  <si>
    <t>Price Monitoring and Regulation</t>
  </si>
  <si>
    <t>Victorian Default Offer</t>
  </si>
  <si>
    <t>Jonathan Roberts (Sonia Madamba &amp; Rebecca Love acting)</t>
  </si>
  <si>
    <t>WACC</t>
  </si>
  <si>
    <t>Usage profile inputs - anytime usage</t>
  </si>
  <si>
    <t>Usage profile inputs - TOU usage</t>
  </si>
  <si>
    <t>C/20/14760, 'Calcs' tab, item 9.8</t>
  </si>
  <si>
    <t>C/21/13679, 'Calcs', item 2.3</t>
  </si>
  <si>
    <t>C/21/16191</t>
  </si>
  <si>
    <t>C/21/17257, p64, single phase</t>
  </si>
  <si>
    <t>C/21/17257, p47, NEE11</t>
  </si>
  <si>
    <t>C/21/17257, p48, NEE12</t>
  </si>
  <si>
    <t>C/21/17257, p47, NAST11</t>
  </si>
  <si>
    <t>C/21/17257, p48, NAST12</t>
  </si>
  <si>
    <t>C/21/17257, p47, NEE13</t>
  </si>
  <si>
    <t>C/21/17258, p40, single phase</t>
  </si>
  <si>
    <t>C/21/17258, p15, C1R</t>
  </si>
  <si>
    <t>C/21/17258, p15, C1G</t>
  </si>
  <si>
    <t>C/21/17258, p15, CRTOU</t>
  </si>
  <si>
    <t>C/21/17258, p15, CGTOU</t>
  </si>
  <si>
    <t>C/21/17258, p15, CDS</t>
  </si>
  <si>
    <t>C/21/17260, p40, single phase</t>
  </si>
  <si>
    <t>C/21/17260, p15, D1</t>
  </si>
  <si>
    <t>C/21/17260, p15, ND1</t>
  </si>
  <si>
    <t>C/21/17260, p15, PRTOU</t>
  </si>
  <si>
    <t>C/21/17260, p15, NDTOU</t>
  </si>
  <si>
    <t>C/21/17260, p15, DD1</t>
  </si>
  <si>
    <t>C/21/17261, p40, single phase single element</t>
  </si>
  <si>
    <t>C/21/17261, p15, LVS1R</t>
  </si>
  <si>
    <t>C/21/17261, p15, LVM1R</t>
  </si>
  <si>
    <t>C/21/17261, p15, URTOU</t>
  </si>
  <si>
    <t>C/21/17261, p15, LVTOU</t>
  </si>
  <si>
    <t>C/21/17261, p15, LVDED</t>
  </si>
  <si>
    <t>C/21/17259, p71, single phase single element</t>
  </si>
  <si>
    <t>C/21/17259, p28, A120/F120</t>
  </si>
  <si>
    <t>C/21/17259, p28, A200/F200a</t>
  </si>
  <si>
    <t>C/21/17259, p28, A100/F100a</t>
  </si>
  <si>
    <t>C/21/17259, p29, A210/F210a</t>
  </si>
  <si>
    <t>C/21/17259, p28, A180</t>
  </si>
  <si>
    <t>OP_CMAB</t>
  </si>
  <si>
    <t>VDO 2021 variation - draft decision - final for publishing</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</si>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</sst>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164" formatCode="[Green][=0]&quot;OK&quot;;[Red]&quot;Err&quot;"/>
    <numFmt numFmtId="165" formatCode="0.0000"/>
    <numFmt numFmtId="166" formatCode="&quot;$&quot;#,##0.0000;[Red]\-&quot;$&quot;#,##0.0000"/>
    <numFmt numFmtId="167" formatCode="&quot;$&quot;#,##0.00000;[Red]\-&quot;$&quot;#,##0.00000"/>
    <numFmt numFmtId="168" formatCode="#&quot;.&quot;##"/>
    <numFmt numFmtId="169" formatCode="[Green][=0]&quot;OK&quot;;[Red]&quot;Error&quot;"/>
  </numFmts>
  <fonts count="35"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sz val="11"/>
      <color rgb="FFFFB13F"/>
      <name val="Calibri"/>
      <family val="2"/>
      <scheme val="minor"/>
    </font>
  </fonts>
  <fills count="16">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4986A0"/>
      </top>
      <bottom style="double">
        <color rgb="FF4986A0"/>
      </bottom>
      <diagonal/>
    </border>
  </borders>
  <cellStyleXfs count="40">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4"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69" fontId="20" fillId="5" borderId="7" applyProtection="0">
      <alignment horizontal="center" vertical="top"/>
    </xf>
    <xf numFmtId="0" fontId="2" fillId="0" borderId="6" applyFill="0" applyProtection="0">
      <alignment horizontal="left" vertical="center"/>
    </xf>
    <xf numFmtId="0" fontId="23" fillId="8" borderId="7">
      <alignment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68" fontId="33" fillId="2" borderId="0">
      <alignment horizontal="left" vertical="center"/>
    </xf>
    <xf numFmtId="0" fontId="34" fillId="2" borderId="0">
      <alignment horizontal="left" vertical="center"/>
    </xf>
    <xf numFmtId="0" fontId="29" fillId="0" borderId="19" applyNumberFormat="0" applyFill="0" applyAlignment="0" applyProtection="0"/>
  </cellStyleXfs>
  <cellXfs count="112">
    <xf numFmtId="0" fontId="0" fillId="0" borderId="0" xfId="0">
      <alignment vertical="top"/>
    </xf>
    <xf numFmtId="0" fontId="18" fillId="14" borderId="8" xfId="25" applyFill="1">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34" fillId="2" borderId="0" xfId="38" applyFill="1" applyAlignment="1">
      <alignment horizontal="left" vertical="top" wrapText="1"/>
    </xf>
    <xf numFmtId="0" fontId="34" fillId="2" borderId="0" xfId="38" applyFill="1" applyAlignment="1">
      <alignment horizontal="left" vertical="top"/>
    </xf>
    <xf numFmtId="0"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0" fontId="34" fillId="2" borderId="0" xfId="38" quotePrefix="1" applyFill="1" applyAlignment="1">
      <alignment horizontal="lef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18" fillId="0" borderId="8" xfId="25" applyAlignment="1">
      <alignment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vertical="top"/>
    </xf>
    <xf numFmtId="0" fontId="23" fillId="8" borderId="10" xfId="24" applyBorder="1">
      <alignment vertical="top"/>
    </xf>
    <xf numFmtId="0" fontId="18" fillId="0" borderId="11" xfId="25" applyBorder="1">
      <alignment vertical="top"/>
    </xf>
    <xf numFmtId="0" fontId="7" fillId="9" borderId="13" xfId="7" applyBorder="1" applyAlignment="1">
      <alignment horizontal="right" vertical="center"/>
      <protection locked="0"/>
    </xf>
    <xf numFmtId="15" fontId="18" fillId="0" borderId="8" xfId="25" applyNumberFormat="1" applyAlignment="1">
      <alignment horizontal="left" vertical="top"/>
    </xf>
    <xf numFmtId="2" fontId="7" fillId="9" borderId="13" xfId="7" applyNumberFormat="1" applyBorder="1">
      <alignment horizontal="center" vertical="center"/>
      <protection locked="0"/>
    </xf>
    <xf numFmtId="0" fontId="23" fillId="8" borderId="10" xfId="24" applyBorder="1" applyAlignment="1">
      <alignment horizontal="center" vertical="top"/>
    </xf>
    <xf numFmtId="0" fontId="23" fillId="8" borderId="14" xfId="24" applyBorder="1" applyAlignment="1">
      <alignment horizontal="center" vertical="top"/>
    </xf>
    <xf numFmtId="15" fontId="16" fillId="6" borderId="7" xfId="15" applyNumberFormat="1">
      <alignment horizontal="center" vertical="center"/>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vertical="top"/>
    </xf>
    <xf numFmtId="0" fontId="16" fillId="6" borderId="12" xfId="15" applyBorder="1" applyAlignment="1">
      <alignment horizontal="left" vertical="center"/>
    </xf>
    <xf numFmtId="0" fontId="23" fillId="8" borderId="7" xfId="24" applyAlignment="1">
      <alignment horizontal="left" vertical="top"/>
    </xf>
    <xf numFmtId="165" fontId="7" fillId="9" borderId="7" xfId="7" applyNumberFormat="1" applyAlignment="1">
      <alignment horizontal="right" vertical="center"/>
      <protection locked="0"/>
    </xf>
    <xf numFmtId="10" fontId="7" fillId="0" borderId="8" xfId="33" applyNumberFormat="1" applyAlignment="1">
      <alignment vertical="top"/>
    </xf>
    <xf numFmtId="0" fontId="0" fillId="0" borderId="8" xfId="25" applyFont="1">
      <alignment vertical="top"/>
    </xf>
    <xf numFmtId="0" fontId="23" fillId="8" borderId="10" xfId="24" applyBorder="1" applyAlignment="1">
      <alignment horizontal="right" vertical="top"/>
    </xf>
    <xf numFmtId="166" fontId="7" fillId="0" borderId="8" xfId="33" applyNumberFormat="1" applyAlignment="1">
      <alignment vertical="top"/>
    </xf>
    <xf numFmtId="166" fontId="15" fillId="5" borderId="7" xfId="16" applyNumberFormat="1">
      <alignment vertical="top"/>
    </xf>
    <xf numFmtId="2" fontId="7" fillId="9" borderId="7" xfId="7" applyNumberFormat="1" applyAlignment="1">
      <alignment horizontal="right" vertical="center"/>
      <protection locked="0"/>
    </xf>
    <xf numFmtId="9" fontId="7" fillId="9" borderId="7" xfId="7" applyNumberFormat="1">
      <alignment horizontal="center" vertical="center"/>
      <protection locked="0"/>
    </xf>
    <xf numFmtId="10" fontId="7" fillId="0" borderId="11" xfId="33" applyNumberFormat="1" applyBorder="1" applyAlignment="1">
      <alignment vertical="top"/>
    </xf>
    <xf numFmtId="166" fontId="7" fillId="0" borderId="11" xfId="33" applyNumberFormat="1" applyBorder="1" applyAlignment="1">
      <alignment vertical="top"/>
    </xf>
    <xf numFmtId="8" fontId="7" fillId="0" borderId="8" xfId="33" applyNumberFormat="1" applyAlignment="1">
      <alignment vertical="top" wrapText="1"/>
    </xf>
    <xf numFmtId="166" fontId="17" fillId="0" borderId="8" xfId="33" applyNumberFormat="1" applyFont="1" applyAlignment="1">
      <alignment vertical="top" wrapText="1"/>
    </xf>
    <xf numFmtId="0" fontId="6" fillId="7" borderId="13" xfId="35" applyBorder="1">
      <alignment horizontal="center" vertical="center"/>
    </xf>
    <xf numFmtId="0" fontId="15" fillId="5" borderId="7" xfId="16">
      <alignment vertical="top"/>
    </xf>
    <xf numFmtId="166" fontId="7" fillId="0" borderId="8" xfId="33" applyNumberFormat="1" applyAlignment="1">
      <alignment vertical="top" wrapText="1"/>
    </xf>
    <xf numFmtId="167" fontId="0" fillId="0" borderId="0" xfId="0" applyNumberFormat="1">
      <alignment vertical="top"/>
    </xf>
    <xf numFmtId="167"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166" fontId="16" fillId="6" borderId="7" xfId="15" applyNumberFormat="1" applyAlignment="1">
      <alignment horizontal="right" vertical="center"/>
    </xf>
    <xf numFmtId="166" fontId="16" fillId="6" borderId="13" xfId="15" applyNumberFormat="1" applyBorder="1" applyAlignment="1">
      <alignment horizontal="right" vertical="center"/>
    </xf>
    <xf numFmtId="0" fontId="23" fillId="8" borderId="14" xfId="24" applyBorder="1" applyAlignment="1">
      <alignment horizontal="right" vertical="top"/>
    </xf>
    <xf numFmtId="165" fontId="7" fillId="0" borderId="8" xfId="33" applyNumberFormat="1" applyAlignment="1">
      <alignment vertical="top"/>
    </xf>
    <xf numFmtId="8"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169" fontId="20" fillId="5" borderId="7" xfId="22" applyAlignment="1">
      <alignment horizontal="right" vertical="top"/>
    </xf>
    <xf numFmtId="166" fontId="15" fillId="5" borderId="13" xfId="16" applyNumberFormat="1" applyBorder="1">
      <alignment vertical="top"/>
    </xf>
    <xf numFmtId="169"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15" fontId="18" fillId="0" borderId="8" xfId="25" applyNumberFormat="1" applyFill="1" applyAlignment="1">
      <alignment horizontal="left" vertical="top"/>
    </xf>
    <xf numFmtId="164" fontId="26" fillId="5" borderId="7" xfId="19" applyAlignment="1">
      <alignment vertical="top" wrapText="1"/>
    </xf>
    <xf numFmtId="0" fontId="6" fillId="7" borderId="7" xfId="35" applyAlignment="1">
      <alignment horizontal="center" vertical="center"/>
    </xf>
    <xf numFmtId="10" fontId="0" fillId="0" borderId="0" xfId="0" applyNumberFormat="1">
      <alignment vertical="top"/>
    </xf>
    <xf numFmtId="9" fontId="18" fillId="0" borderId="8" xfId="25" applyNumberFormat="1">
      <alignment vertical="top"/>
    </xf>
    <xf numFmtId="0" fontId="23" fillId="8" borderId="16" xfId="24" applyBorder="1">
      <alignment vertical="top"/>
    </xf>
    <xf numFmtId="0" fontId="0" fillId="0" borderId="0" xfId="0" applyBorder="1">
      <alignment vertical="top"/>
    </xf>
    <xf numFmtId="165" fontId="16" fillId="6" borderId="7" xfId="15" applyNumberFormat="1" applyAlignment="1">
      <alignment horizontal="right" vertical="center"/>
    </xf>
    <xf numFmtId="8" fontId="18" fillId="0" borderId="8" xfId="25" applyNumberFormat="1" applyAlignment="1">
      <alignment vertical="top" wrapText="1"/>
    </xf>
    <xf numFmtId="0" fontId="23" fillId="2" borderId="0" xfId="9" applyFont="1" applyAlignment="1">
      <alignment horizontal="left"/>
    </xf>
    <xf numFmtId="9" fontId="0" fillId="0" borderId="8" xfId="25" applyNumberFormat="1" applyFont="1">
      <alignment vertical="top"/>
    </xf>
    <xf numFmtId="0" fontId="34" fillId="2" borderId="0" xfId="38">
      <alignment horizontal="left" vertical="center"/>
    </xf>
    <xf numFmtId="0" fontId="18" fillId="0" borderId="8" xfId="25" applyFill="1">
      <alignment vertical="top"/>
    </xf>
    <xf numFmtId="3" fontId="7" fillId="9" borderId="7" xfId="7" applyNumberFormat="1" applyAlignment="1">
      <alignment horizontal="right" vertical="center"/>
      <protection locked="0"/>
    </xf>
    <xf numFmtId="1" fontId="7" fillId="9" borderId="7" xfId="7" applyNumberFormat="1" applyAlignment="1">
      <alignment horizontal="right" vertical="center"/>
      <protection locked="0"/>
    </xf>
    <xf numFmtId="0" fontId="16" fillId="6" borderId="7" xfId="15" applyAlignment="1">
      <alignment horizontal="left" vertical="center"/>
    </xf>
    <xf numFmtId="8" fontId="18" fillId="0" borderId="11" xfId="25" applyNumberFormat="1" applyBorder="1" applyAlignment="1">
      <alignment vertical="top" wrapText="1"/>
    </xf>
    <xf numFmtId="165" fontId="7" fillId="9" borderId="17" xfId="7" applyNumberFormat="1" applyBorder="1" applyAlignment="1">
      <alignment horizontal="right" vertical="center"/>
      <protection locked="0"/>
    </xf>
    <xf numFmtId="0" fontId="7" fillId="9" borderId="18" xfId="7" applyBorder="1" applyAlignment="1">
      <alignment horizontal="right" vertical="center"/>
      <protection locked="0"/>
    </xf>
    <xf numFmtId="0" fontId="34" fillId="2" borderId="0" xfId="38" quotePrefix="1">
      <alignment horizontal="left" vertical="center"/>
    </xf>
    <xf numFmtId="0" fontId="6" fillId="7" borderId="7" xfId="35" applyAlignment="1">
      <alignment horizontal="center" vertical="center" wrapText="1"/>
    </xf>
    <xf numFmtId="0" fontId="18" fillId="15" borderId="8" xfId="25" applyFill="1">
      <alignment vertical="top"/>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cellXfs>
  <cellStyles count="40">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result" xfId="22" xr:uid="{7CA6913E-F58F-4741-9988-4121D79BFD7B}"/>
    <cellStyle name="Defined names" xfId="14" xr:uid="{4248BE1A-3F2D-4913-B913-A6FBE3436F34}"/>
    <cellStyle name="Explanatory Text" xfId="21" builtinId="53" customBuiltin="1"/>
    <cellStyle name="External link" xfId="17" xr:uid="{FAB4C5FD-358F-4CD6-BC6E-724C598431E5}"/>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8" builtinId="8" customBuiltin="1"/>
    <cellStyle name="Input" xfId="7" builtinId="20" customBuiltin="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39" builtinId="25" customBuiltin="1"/>
  </cellStyles>
  <dxfs count="378">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66" formatCode="&quot;$&quot;#,##0.0000;[Red]\-&quot;$&quot;#,##0.000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outline="0">
        <left style="thin">
          <color theme="0" tint="-0.24994659260841701"/>
        </lef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5"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5" formatCode="0.0000"/>
    </dxf>
    <dxf>
      <numFmt numFmtId="165" formatCode="0.0000"/>
    </dxf>
    <dxf>
      <numFmt numFmtId="165" formatCode="0.0000"/>
    </dxf>
    <dxf>
      <numFmt numFmtId="165" formatCode="0.0000"/>
    </dxf>
    <dxf>
      <numFmt numFmtId="165"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4" formatCode="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numFmt numFmtId="12" formatCode="&quot;$&quot;#,##0.00;[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outline="0">
        <left style="thin">
          <color theme="0" tint="-0.24994659260841701"/>
        </lef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border outline="0">
        <left style="thin">
          <color theme="0" tint="-0.24994659260841701"/>
        </lef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5"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5" formatCode="0.0000"/>
    </dxf>
    <dxf>
      <numFmt numFmtId="165" formatCode="0.0000"/>
    </dxf>
    <dxf>
      <numFmt numFmtId="165" formatCode="0.0000"/>
    </dxf>
    <dxf>
      <numFmt numFmtId="165" formatCode="0.0000"/>
    </dxf>
    <dxf>
      <numFmt numFmtId="165"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Red]\-&quot;$&quot;#,##0.00"/>
      <border outline="0">
        <left style="thin">
          <color theme="0" tint="-0.24994659260841701"/>
        </left>
      </border>
    </dxf>
    <dxf>
      <numFmt numFmtId="14" formatCode="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alignment horizontal="right" vertical="center" textRotation="0" wrapText="0" indent="0" justifyLastLine="0" shrinkToFit="0" readingOrder="0"/>
      <border outline="0">
        <left style="thin">
          <color theme="0"/>
        </left>
        <right style="thin">
          <color theme="0"/>
        </right>
      </border>
    </dxf>
    <dxf>
      <numFmt numFmtId="1" formatCode="0"/>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5"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377"/>
    </tableStyle>
  </tableStyles>
  <colors>
    <mruColors>
      <color rgb="FFFFB13F"/>
      <color rgb="FF236192"/>
      <color rgb="FF7F7F7F"/>
      <color rgb="FF4986A0"/>
      <color rgb="FFED8B00"/>
      <color rgb="FFD50032"/>
      <color rgb="FFCE0058"/>
      <color rgb="FF67A0B9"/>
      <color rgb="FFD3DFE9"/>
      <color rgb="FFFFE6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9</xdr:col>
      <xdr:colOff>1582431</xdr:colOff>
      <xdr:row>36</xdr:row>
      <xdr:rowOff>55672</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49300" y="1778000"/>
          <a:ext cx="15908031" cy="5580172"/>
          <a:chOff x="360589" y="793307"/>
          <a:chExt cx="14433788" cy="5519880"/>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60589" y="793307"/>
            <a:ext cx="14433788" cy="5519880"/>
            <a:chOff x="367393" y="820522"/>
            <a:chExt cx="14847952" cy="5780769"/>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67393" y="820522"/>
              <a:ext cx="14847952" cy="5780769"/>
              <a:chOff x="367393" y="820522"/>
              <a:chExt cx="14847952" cy="5780769"/>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67393" y="820522"/>
                <a:ext cx="14847952" cy="5780769"/>
                <a:chOff x="244929" y="-789201"/>
                <a:chExt cx="14847952" cy="5780769"/>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44929" y="-789201"/>
                  <a:ext cx="14847952" cy="5780769"/>
                  <a:chOff x="244929" y="-789201"/>
                  <a:chExt cx="14847952" cy="5780769"/>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0" name="Rounded Rectangle 108">
                    <a:extLst>
                      <a:ext uri="{FF2B5EF4-FFF2-40B4-BE49-F238E27FC236}">
                        <a16:creationId xmlns:a16="http://schemas.microsoft.com/office/drawing/2014/main" id="{5B070611-19A5-4342-9D12-D519941AAE70}"/>
                      </a:ext>
                    </a:extLst>
                  </xdr:cNvPr>
                  <xdr:cNvSpPr/>
                </xdr:nvSpPr>
                <xdr:spPr>
                  <a:xfrm>
                    <a:off x="6134350" y="1002847"/>
                    <a:ext cx="4849090" cy="3988721"/>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sp macro="" textlink="">
                <xdr:nvSpPr>
                  <xdr:cNvPr id="11" name="Rectangle 102">
                    <a:extLst>
                      <a:ext uri="{FF2B5EF4-FFF2-40B4-BE49-F238E27FC236}">
                        <a16:creationId xmlns:a16="http://schemas.microsoft.com/office/drawing/2014/main" id="{7ED4F174-8621-4ACA-9290-E39D4A72785F}"/>
                      </a:ext>
                    </a:extLst>
                  </xdr:cNvPr>
                  <xdr:cNvSpPr/>
                </xdr:nvSpPr>
                <xdr:spPr>
                  <a:xfrm>
                    <a:off x="6134350" y="120988"/>
                    <a:ext cx="4849090" cy="786610"/>
                  </a:xfrm>
                  <a:prstGeom prst="rect">
                    <a:avLst/>
                  </a:prstGeom>
                  <a:solidFill>
                    <a:sysClr val="windowText" lastClr="000000">
                      <a:lumMod val="50000"/>
                      <a:lumOff val="50000"/>
                    </a:sysClr>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mn-cs"/>
                      </a:rPr>
                      <a:t>Decision period Selector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mn-cs"/>
                      </a:rPr>
                      <a:t>The Calc_Rates worksheet calculates VDO rates for two selected decision periods for comparison (VDO 2021 Final &amp; VDO 2021 Variation Draft)</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5" name="TextBox 106">
                    <a:extLst>
                      <a:ext uri="{FF2B5EF4-FFF2-40B4-BE49-F238E27FC236}">
                        <a16:creationId xmlns:a16="http://schemas.microsoft.com/office/drawing/2014/main" id="{15A6298F-4BA1-472E-B252-2D6A9B5CE028}"/>
                      </a:ext>
                    </a:extLst>
                  </xdr:cNvPr>
                  <xdr:cNvSpPr txBox="1"/>
                </xdr:nvSpPr>
                <xdr:spPr>
                  <a:xfrm>
                    <a:off x="11259800" y="1036814"/>
                    <a:ext cx="3833081" cy="1623589"/>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distribution zones,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44929" y="-789201"/>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40733" y="-479018"/>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91648" y="-479117"/>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29643" y="-475624"/>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58647" y="-474255"/>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6" name="Straight Arrow Connector 117">
                    <a:extLst>
                      <a:ext uri="{FF2B5EF4-FFF2-40B4-BE49-F238E27FC236}">
                        <a16:creationId xmlns:a16="http://schemas.microsoft.com/office/drawing/2014/main" id="{BBAD2E79-ACCE-4E27-8E8C-1B4B47C54FAD}"/>
                      </a:ext>
                    </a:extLst>
                  </xdr:cNvPr>
                  <xdr:cNvCxnSpPr/>
                </xdr:nvCxnSpPr>
                <xdr:spPr>
                  <a:xfrm flipV="1">
                    <a:off x="5878286" y="2651390"/>
                    <a:ext cx="244928" cy="11276"/>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flipV="1">
                    <a:off x="10990497" y="2678600"/>
                    <a:ext cx="235402" cy="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651625"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7894418"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148079"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288882"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523056"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UnitedEnergy</a:t>
            </a:r>
          </a:p>
        </xdr:txBody>
      </xdr:sp>
    </xdr:grpSp>
    <xdr:clientData/>
  </xdr:twoCellAnchor>
  <xdr:twoCellAnchor>
    <xdr:from>
      <xdr:col>2</xdr:col>
      <xdr:colOff>0</xdr:colOff>
      <xdr:row>40</xdr:row>
      <xdr:rowOff>56030</xdr:rowOff>
    </xdr:from>
    <xdr:to>
      <xdr:col>9</xdr:col>
      <xdr:colOff>1291224</xdr:colOff>
      <xdr:row>66</xdr:row>
      <xdr:rowOff>82443</xdr:rowOff>
    </xdr:to>
    <xdr:grpSp>
      <xdr:nvGrpSpPr>
        <xdr:cNvPr id="43" name="Group 42">
          <a:extLst>
            <a:ext uri="{FF2B5EF4-FFF2-40B4-BE49-F238E27FC236}">
              <a16:creationId xmlns:a16="http://schemas.microsoft.com/office/drawing/2014/main" id="{0C575F61-57FB-4EBF-8223-22FE4B63957A}"/>
            </a:ext>
          </a:extLst>
        </xdr:cNvPr>
        <xdr:cNvGrpSpPr/>
      </xdr:nvGrpSpPr>
      <xdr:grpSpPr>
        <a:xfrm>
          <a:off x="749300" y="8114180"/>
          <a:ext cx="15616824" cy="4814313"/>
          <a:chOff x="360588" y="6719205"/>
          <a:chExt cx="13962277" cy="4946196"/>
        </a:xfrm>
      </xdr:grpSpPr>
      <xdr:sp macro="" textlink="">
        <xdr:nvSpPr>
          <xdr:cNvPr id="44" name="Rectangle 43">
            <a:extLst>
              <a:ext uri="{FF2B5EF4-FFF2-40B4-BE49-F238E27FC236}">
                <a16:creationId xmlns:a16="http://schemas.microsoft.com/office/drawing/2014/main" id="{8ED4813D-5AD1-4425-AB07-F425155D0634}"/>
              </a:ext>
            </a:extLst>
          </xdr:cNvPr>
          <xdr:cNvSpPr/>
        </xdr:nvSpPr>
        <xdr:spPr>
          <a:xfrm>
            <a:off x="360589" y="9080918"/>
            <a:ext cx="8096249"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sp macro="" textlink="">
        <xdr:nvSpPr>
          <xdr:cNvPr id="45" name="Rectangle 44">
            <a:extLst>
              <a:ext uri="{FF2B5EF4-FFF2-40B4-BE49-F238E27FC236}">
                <a16:creationId xmlns:a16="http://schemas.microsoft.com/office/drawing/2014/main" id="{744A0365-E213-49D5-B239-43037B7A516A}"/>
              </a:ext>
            </a:extLst>
          </xdr:cNvPr>
          <xdr:cNvSpPr/>
        </xdr:nvSpPr>
        <xdr:spPr>
          <a:xfrm>
            <a:off x="12739014" y="7383159"/>
            <a:ext cx="1583851" cy="2926186"/>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46" name="Rectangle 45">
            <a:extLst>
              <a:ext uri="{FF2B5EF4-FFF2-40B4-BE49-F238E27FC236}">
                <a16:creationId xmlns:a16="http://schemas.microsoft.com/office/drawing/2014/main" id="{19DE22E3-39F0-4E94-8C97-D679906BC933}"/>
              </a:ext>
            </a:extLst>
          </xdr:cNvPr>
          <xdr:cNvSpPr/>
        </xdr:nvSpPr>
        <xdr:spPr>
          <a:xfrm>
            <a:off x="2394857" y="10509072"/>
            <a:ext cx="4157700"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sp macro="" textlink="">
        <xdr:nvSpPr>
          <xdr:cNvPr id="47" name="Rectangle 46">
            <a:extLst>
              <a:ext uri="{FF2B5EF4-FFF2-40B4-BE49-F238E27FC236}">
                <a16:creationId xmlns:a16="http://schemas.microsoft.com/office/drawing/2014/main" id="{B8F92B5F-585B-437F-B6E7-120814771D5A}"/>
              </a:ext>
            </a:extLst>
          </xdr:cNvPr>
          <xdr:cNvSpPr/>
        </xdr:nvSpPr>
        <xdr:spPr>
          <a:xfrm>
            <a:off x="360588" y="7652511"/>
            <a:ext cx="8096250"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sp macro="" textlink="">
        <xdr:nvSpPr>
          <xdr:cNvPr id="48" name="Rectangle 47">
            <a:extLst>
              <a:ext uri="{FF2B5EF4-FFF2-40B4-BE49-F238E27FC236}">
                <a16:creationId xmlns:a16="http://schemas.microsoft.com/office/drawing/2014/main" id="{C4A16E1A-B0AA-4DD8-8E3F-0E84D23F7AB1}"/>
              </a:ext>
            </a:extLst>
          </xdr:cNvPr>
          <xdr:cNvSpPr/>
        </xdr:nvSpPr>
        <xdr:spPr>
          <a:xfrm>
            <a:off x="556655" y="7938192"/>
            <a:ext cx="1301956"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sp macro="" textlink="">
        <xdr:nvSpPr>
          <xdr:cNvPr id="49" name="Rectangle 48">
            <a:extLst>
              <a:ext uri="{FF2B5EF4-FFF2-40B4-BE49-F238E27FC236}">
                <a16:creationId xmlns:a16="http://schemas.microsoft.com/office/drawing/2014/main" id="{D640DC63-9569-4F5C-B62C-88CC3B2A1C01}"/>
              </a:ext>
            </a:extLst>
          </xdr:cNvPr>
          <xdr:cNvSpPr/>
        </xdr:nvSpPr>
        <xdr:spPr>
          <a:xfrm>
            <a:off x="2150434" y="7938192"/>
            <a:ext cx="1301956"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grpSp>
        <xdr:nvGrpSpPr>
          <xdr:cNvPr id="50" name="Group 49">
            <a:extLst>
              <a:ext uri="{FF2B5EF4-FFF2-40B4-BE49-F238E27FC236}">
                <a16:creationId xmlns:a16="http://schemas.microsoft.com/office/drawing/2014/main" id="{49FD870B-5090-4D0E-919D-DF149715CB64}"/>
              </a:ext>
            </a:extLst>
          </xdr:cNvPr>
          <xdr:cNvGrpSpPr/>
        </xdr:nvGrpSpPr>
        <xdr:grpSpPr>
          <a:xfrm>
            <a:off x="1918606" y="8201307"/>
            <a:ext cx="206591" cy="179031"/>
            <a:chOff x="10371365" y="5837464"/>
            <a:chExt cx="337457" cy="299357"/>
          </a:xfrm>
        </xdr:grpSpPr>
        <xdr:cxnSp macro="">
          <xdr:nvCxnSpPr>
            <xdr:cNvPr id="156" name="Straight Connector 155">
              <a:extLst>
                <a:ext uri="{FF2B5EF4-FFF2-40B4-BE49-F238E27FC236}">
                  <a16:creationId xmlns:a16="http://schemas.microsoft.com/office/drawing/2014/main" id="{AC79FABD-CFA4-47DD-829B-63D06CAA71AB}"/>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a:extLst>
                <a:ext uri="{FF2B5EF4-FFF2-40B4-BE49-F238E27FC236}">
                  <a16:creationId xmlns:a16="http://schemas.microsoft.com/office/drawing/2014/main" id="{87AC9DA5-C3A9-4D86-A3D9-4707517081C0}"/>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1" name="Rectangle 50">
            <a:extLst>
              <a:ext uri="{FF2B5EF4-FFF2-40B4-BE49-F238E27FC236}">
                <a16:creationId xmlns:a16="http://schemas.microsoft.com/office/drawing/2014/main" id="{57129EC0-1579-4619-B1E8-8F5C891ABD6B}"/>
              </a:ext>
            </a:extLst>
          </xdr:cNvPr>
          <xdr:cNvSpPr/>
        </xdr:nvSpPr>
        <xdr:spPr>
          <a:xfrm>
            <a:off x="3728860" y="7938192"/>
            <a:ext cx="1295153"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Ancillary</a:t>
            </a:r>
          </a:p>
          <a:p>
            <a:pPr marL="0" indent="0" algn="ctr"/>
            <a:r>
              <a:rPr lang="en-AU" sz="900" b="1">
                <a:solidFill>
                  <a:schemeClr val="tx1"/>
                </a:solidFill>
                <a:latin typeface="+mj-lt"/>
                <a:ea typeface="+mn-ea"/>
                <a:cs typeface="Arial" panose="020B0604020202020204" pitchFamily="34" charset="0"/>
              </a:rPr>
              <a:t>($)</a:t>
            </a:r>
          </a:p>
        </xdr:txBody>
      </xdr:sp>
      <xdr:grpSp>
        <xdr:nvGrpSpPr>
          <xdr:cNvPr id="52" name="Group 51">
            <a:extLst>
              <a:ext uri="{FF2B5EF4-FFF2-40B4-BE49-F238E27FC236}">
                <a16:creationId xmlns:a16="http://schemas.microsoft.com/office/drawing/2014/main" id="{5F0D8334-E586-461B-9448-938450F5F0C9}"/>
              </a:ext>
            </a:extLst>
          </xdr:cNvPr>
          <xdr:cNvGrpSpPr/>
        </xdr:nvGrpSpPr>
        <xdr:grpSpPr>
          <a:xfrm>
            <a:off x="3497033" y="8201307"/>
            <a:ext cx="199787" cy="179031"/>
            <a:chOff x="10371365" y="5837464"/>
            <a:chExt cx="337457" cy="299357"/>
          </a:xfrm>
        </xdr:grpSpPr>
        <xdr:cxnSp macro="">
          <xdr:nvCxnSpPr>
            <xdr:cNvPr id="154" name="Straight Connector 153">
              <a:extLst>
                <a:ext uri="{FF2B5EF4-FFF2-40B4-BE49-F238E27FC236}">
                  <a16:creationId xmlns:a16="http://schemas.microsoft.com/office/drawing/2014/main" id="{25508C10-9C92-4D99-AF85-840103D6133A}"/>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a:extLst>
                <a:ext uri="{FF2B5EF4-FFF2-40B4-BE49-F238E27FC236}">
                  <a16:creationId xmlns:a16="http://schemas.microsoft.com/office/drawing/2014/main" id="{03031A1D-DC9A-4F08-A6ED-D975691B0A89}"/>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3" name="Rectangle 52">
            <a:extLst>
              <a:ext uri="{FF2B5EF4-FFF2-40B4-BE49-F238E27FC236}">
                <a16:creationId xmlns:a16="http://schemas.microsoft.com/office/drawing/2014/main" id="{EF13050F-BB06-4627-A30F-4E6E5A5269D6}"/>
              </a:ext>
            </a:extLst>
          </xdr:cNvPr>
          <xdr:cNvSpPr/>
        </xdr:nvSpPr>
        <xdr:spPr>
          <a:xfrm>
            <a:off x="5327700" y="7938192"/>
            <a:ext cx="1301957"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grpSp>
        <xdr:nvGrpSpPr>
          <xdr:cNvPr id="54" name="Group 53">
            <a:extLst>
              <a:ext uri="{FF2B5EF4-FFF2-40B4-BE49-F238E27FC236}">
                <a16:creationId xmlns:a16="http://schemas.microsoft.com/office/drawing/2014/main" id="{744AB50D-BBC5-42DD-87CA-C03065A9E1BE}"/>
              </a:ext>
            </a:extLst>
          </xdr:cNvPr>
          <xdr:cNvGrpSpPr/>
        </xdr:nvGrpSpPr>
        <xdr:grpSpPr>
          <a:xfrm>
            <a:off x="5095873" y="8201307"/>
            <a:ext cx="199787" cy="179031"/>
            <a:chOff x="10371365" y="5837464"/>
            <a:chExt cx="337457" cy="299357"/>
          </a:xfrm>
        </xdr:grpSpPr>
        <xdr:cxnSp macro="">
          <xdr:nvCxnSpPr>
            <xdr:cNvPr id="152" name="Straight Connector 151">
              <a:extLst>
                <a:ext uri="{FF2B5EF4-FFF2-40B4-BE49-F238E27FC236}">
                  <a16:creationId xmlns:a16="http://schemas.microsoft.com/office/drawing/2014/main" id="{F29FFADA-E6DE-44FD-8600-1899B872E3CF}"/>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id="{FCEA54ED-CCDD-4D0A-8210-85A8AC651053}"/>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5" name="Rectangle 54">
            <a:extLst>
              <a:ext uri="{FF2B5EF4-FFF2-40B4-BE49-F238E27FC236}">
                <a16:creationId xmlns:a16="http://schemas.microsoft.com/office/drawing/2014/main" id="{BE5A7782-3F56-48F4-91F7-ADA4041E7ADE}"/>
              </a:ext>
            </a:extLst>
          </xdr:cNvPr>
          <xdr:cNvSpPr/>
        </xdr:nvSpPr>
        <xdr:spPr>
          <a:xfrm>
            <a:off x="6916756" y="7938192"/>
            <a:ext cx="1301957"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grpSp>
        <xdr:nvGrpSpPr>
          <xdr:cNvPr id="56" name="Group 55">
            <a:extLst>
              <a:ext uri="{FF2B5EF4-FFF2-40B4-BE49-F238E27FC236}">
                <a16:creationId xmlns:a16="http://schemas.microsoft.com/office/drawing/2014/main" id="{E3B6406E-9904-4190-A287-7DC0FEAC012C}"/>
              </a:ext>
            </a:extLst>
          </xdr:cNvPr>
          <xdr:cNvGrpSpPr/>
        </xdr:nvGrpSpPr>
        <xdr:grpSpPr>
          <a:xfrm>
            <a:off x="6684929" y="8201307"/>
            <a:ext cx="206591" cy="179031"/>
            <a:chOff x="10371365" y="5837464"/>
            <a:chExt cx="337457" cy="299357"/>
          </a:xfrm>
        </xdr:grpSpPr>
        <xdr:cxnSp macro="">
          <xdr:nvCxnSpPr>
            <xdr:cNvPr id="150" name="Straight Connector 149">
              <a:extLst>
                <a:ext uri="{FF2B5EF4-FFF2-40B4-BE49-F238E27FC236}">
                  <a16:creationId xmlns:a16="http://schemas.microsoft.com/office/drawing/2014/main" id="{984BEECE-4B61-4590-B9AA-535F28C5469C}"/>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A729A807-477F-46EF-80CC-A55324CC7D41}"/>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Group 56">
            <a:extLst>
              <a:ext uri="{FF2B5EF4-FFF2-40B4-BE49-F238E27FC236}">
                <a16:creationId xmlns:a16="http://schemas.microsoft.com/office/drawing/2014/main" id="{362365A3-1C3B-4FCE-A9AF-7B15396184E5}"/>
              </a:ext>
            </a:extLst>
          </xdr:cNvPr>
          <xdr:cNvGrpSpPr/>
        </xdr:nvGrpSpPr>
        <xdr:grpSpPr>
          <a:xfrm rot="2700000">
            <a:off x="8604056" y="8196643"/>
            <a:ext cx="192936" cy="185877"/>
            <a:chOff x="10371365" y="5837464"/>
            <a:chExt cx="337457" cy="299357"/>
          </a:xfrm>
        </xdr:grpSpPr>
        <xdr:cxnSp macro="">
          <xdr:nvCxnSpPr>
            <xdr:cNvPr id="148" name="Straight Connector 147">
              <a:extLst>
                <a:ext uri="{FF2B5EF4-FFF2-40B4-BE49-F238E27FC236}">
                  <a16:creationId xmlns:a16="http://schemas.microsoft.com/office/drawing/2014/main" id="{80C650D1-95DF-4F8C-893E-B284F1F5BBF3}"/>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Straight Connector 148">
              <a:extLst>
                <a:ext uri="{FF2B5EF4-FFF2-40B4-BE49-F238E27FC236}">
                  <a16:creationId xmlns:a16="http://schemas.microsoft.com/office/drawing/2014/main" id="{1C2814FF-D88A-46F5-B82B-36F68EF9126A}"/>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 name="Rectangle 57">
            <a:extLst>
              <a:ext uri="{FF2B5EF4-FFF2-40B4-BE49-F238E27FC236}">
                <a16:creationId xmlns:a16="http://schemas.microsoft.com/office/drawing/2014/main" id="{3EE40249-264E-4B69-94D6-D70B2D457E50}"/>
              </a:ext>
            </a:extLst>
          </xdr:cNvPr>
          <xdr:cNvSpPr/>
        </xdr:nvSpPr>
        <xdr:spPr>
          <a:xfrm>
            <a:off x="8933090" y="7652511"/>
            <a:ext cx="1428748"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sp macro="" textlink="">
        <xdr:nvSpPr>
          <xdr:cNvPr id="59" name="Rectangle 58">
            <a:extLst>
              <a:ext uri="{FF2B5EF4-FFF2-40B4-BE49-F238E27FC236}">
                <a16:creationId xmlns:a16="http://schemas.microsoft.com/office/drawing/2014/main" id="{024C6063-DDEF-47D7-9310-7238581E51D1}"/>
              </a:ext>
            </a:extLst>
          </xdr:cNvPr>
          <xdr:cNvSpPr/>
        </xdr:nvSpPr>
        <xdr:spPr>
          <a:xfrm>
            <a:off x="10824481" y="7652511"/>
            <a:ext cx="1419224"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grpSp>
        <xdr:nvGrpSpPr>
          <xdr:cNvPr id="60" name="Group 59">
            <a:extLst>
              <a:ext uri="{FF2B5EF4-FFF2-40B4-BE49-F238E27FC236}">
                <a16:creationId xmlns:a16="http://schemas.microsoft.com/office/drawing/2014/main" id="{DA9FEC97-7628-4F8A-9CDD-F5B9082F9D81}"/>
              </a:ext>
            </a:extLst>
          </xdr:cNvPr>
          <xdr:cNvGrpSpPr/>
        </xdr:nvGrpSpPr>
        <xdr:grpSpPr>
          <a:xfrm rot="2700000">
            <a:off x="10506286" y="8192117"/>
            <a:ext cx="202461" cy="195402"/>
            <a:chOff x="10371365" y="5837464"/>
            <a:chExt cx="337457" cy="299357"/>
          </a:xfrm>
        </xdr:grpSpPr>
        <xdr:cxnSp macro="">
          <xdr:nvCxnSpPr>
            <xdr:cNvPr id="146" name="Straight Connector 145">
              <a:extLst>
                <a:ext uri="{FF2B5EF4-FFF2-40B4-BE49-F238E27FC236}">
                  <a16:creationId xmlns:a16="http://schemas.microsoft.com/office/drawing/2014/main" id="{F4D18890-16E5-4FFA-BCD2-36815FE23FA2}"/>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a:extLst>
                <a:ext uri="{FF2B5EF4-FFF2-40B4-BE49-F238E27FC236}">
                  <a16:creationId xmlns:a16="http://schemas.microsoft.com/office/drawing/2014/main" id="{E1BEBF2A-4840-4047-A4EE-7FF7A3D9BAE3}"/>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12375695" y="8264685"/>
            <a:ext cx="24220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2808891" y="7653297"/>
            <a:ext cx="1450900" cy="1142725"/>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a:t>
            </a:r>
          </a:p>
        </xdr:txBody>
      </xdr:sp>
      <xdr:sp macro="" textlink="">
        <xdr:nvSpPr>
          <xdr:cNvPr id="63" name="Rectangle 62">
            <a:extLst>
              <a:ext uri="{FF2B5EF4-FFF2-40B4-BE49-F238E27FC236}">
                <a16:creationId xmlns:a16="http://schemas.microsoft.com/office/drawing/2014/main" id="{0A837E26-BE0D-4BFD-AAD0-0DD7D9A4B95F}"/>
              </a:ext>
            </a:extLst>
          </xdr:cNvPr>
          <xdr:cNvSpPr/>
        </xdr:nvSpPr>
        <xdr:spPr>
          <a:xfrm>
            <a:off x="10824481" y="9080918"/>
            <a:ext cx="1419224"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sp macro="" textlink="">
        <xdr:nvSpPr>
          <xdr:cNvPr id="64" name="Rectangle 63">
            <a:extLst>
              <a:ext uri="{FF2B5EF4-FFF2-40B4-BE49-F238E27FC236}">
                <a16:creationId xmlns:a16="http://schemas.microsoft.com/office/drawing/2014/main" id="{DC0CA793-CBE6-41EF-8E38-2CE1FCD090EA}"/>
              </a:ext>
            </a:extLst>
          </xdr:cNvPr>
          <xdr:cNvSpPr/>
        </xdr:nvSpPr>
        <xdr:spPr>
          <a:xfrm>
            <a:off x="8922064" y="9080918"/>
            <a:ext cx="1428748"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grpSp>
        <xdr:nvGrpSpPr>
          <xdr:cNvPr id="65" name="Group 64">
            <a:extLst>
              <a:ext uri="{FF2B5EF4-FFF2-40B4-BE49-F238E27FC236}">
                <a16:creationId xmlns:a16="http://schemas.microsoft.com/office/drawing/2014/main" id="{BBD9B1E8-C761-44D1-A52F-AB10BE73B424}"/>
              </a:ext>
            </a:extLst>
          </xdr:cNvPr>
          <xdr:cNvGrpSpPr/>
        </xdr:nvGrpSpPr>
        <xdr:grpSpPr>
          <a:xfrm rot="2700000">
            <a:off x="8613393" y="9620523"/>
            <a:ext cx="202462" cy="195402"/>
            <a:chOff x="10371365" y="5837464"/>
            <a:chExt cx="337457" cy="299357"/>
          </a:xfrm>
        </xdr:grpSpPr>
        <xdr:cxnSp macro="">
          <xdr:nvCxnSpPr>
            <xdr:cNvPr id="144" name="Straight Connector 143">
              <a:extLst>
                <a:ext uri="{FF2B5EF4-FFF2-40B4-BE49-F238E27FC236}">
                  <a16:creationId xmlns:a16="http://schemas.microsoft.com/office/drawing/2014/main" id="{C8209DF8-6614-4089-8AAA-AEBE57B1C29D}"/>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a:extLst>
                <a:ext uri="{FF2B5EF4-FFF2-40B4-BE49-F238E27FC236}">
                  <a16:creationId xmlns:a16="http://schemas.microsoft.com/office/drawing/2014/main" id="{3B69081B-1A8F-41A6-B35A-ED4B7B846E6B}"/>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12372820" y="9693091"/>
            <a:ext cx="251732"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2806016" y="9081704"/>
            <a:ext cx="1450900"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sp macro="" textlink="">
        <xdr:nvSpPr>
          <xdr:cNvPr id="68" name="Rectangle 67">
            <a:extLst>
              <a:ext uri="{FF2B5EF4-FFF2-40B4-BE49-F238E27FC236}">
                <a16:creationId xmlns:a16="http://schemas.microsoft.com/office/drawing/2014/main" id="{5EE9393B-E0C5-4BF4-A5EE-14EE9BBB7569}"/>
              </a:ext>
            </a:extLst>
          </xdr:cNvPr>
          <xdr:cNvSpPr/>
        </xdr:nvSpPr>
        <xdr:spPr>
          <a:xfrm>
            <a:off x="475902" y="9393812"/>
            <a:ext cx="1295153"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grpSp>
        <xdr:nvGrpSpPr>
          <xdr:cNvPr id="69" name="Group 68">
            <a:extLst>
              <a:ext uri="{FF2B5EF4-FFF2-40B4-BE49-F238E27FC236}">
                <a16:creationId xmlns:a16="http://schemas.microsoft.com/office/drawing/2014/main" id="{4E0E3E45-9B77-4058-9396-81DDDE0C60E6}"/>
              </a:ext>
            </a:extLst>
          </xdr:cNvPr>
          <xdr:cNvGrpSpPr/>
        </xdr:nvGrpSpPr>
        <xdr:grpSpPr>
          <a:xfrm>
            <a:off x="1857373" y="9656948"/>
            <a:ext cx="199787" cy="179033"/>
            <a:chOff x="10526947" y="5881302"/>
            <a:chExt cx="337457" cy="299357"/>
          </a:xfrm>
        </xdr:grpSpPr>
        <xdr:cxnSp macro="">
          <xdr:nvCxnSpPr>
            <xdr:cNvPr id="142" name="Straight Connector 141">
              <a:extLst>
                <a:ext uri="{FF2B5EF4-FFF2-40B4-BE49-F238E27FC236}">
                  <a16:creationId xmlns:a16="http://schemas.microsoft.com/office/drawing/2014/main" id="{E63A92D5-8AC2-482F-9CE5-AD57864C2F3F}"/>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a:extLst>
                <a:ext uri="{FF2B5EF4-FFF2-40B4-BE49-F238E27FC236}">
                  <a16:creationId xmlns:a16="http://schemas.microsoft.com/office/drawing/2014/main" id="{8AF7809B-47CC-42D6-8E3A-9E93BD58E44D}"/>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0" name="Rectangle 69">
            <a:extLst>
              <a:ext uri="{FF2B5EF4-FFF2-40B4-BE49-F238E27FC236}">
                <a16:creationId xmlns:a16="http://schemas.microsoft.com/office/drawing/2014/main" id="{48C01243-A91B-419E-B418-02D19279239F}"/>
              </a:ext>
            </a:extLst>
          </xdr:cNvPr>
          <xdr:cNvSpPr/>
        </xdr:nvSpPr>
        <xdr:spPr>
          <a:xfrm>
            <a:off x="360588" y="10509072"/>
            <a:ext cx="1419224"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($/year)</a:t>
            </a:r>
          </a:p>
        </xdr:txBody>
      </xdr:sp>
      <xdr:sp macro="" textlink="">
        <xdr:nvSpPr>
          <xdr:cNvPr id="71" name="Rectangle 70">
            <a:extLst>
              <a:ext uri="{FF2B5EF4-FFF2-40B4-BE49-F238E27FC236}">
                <a16:creationId xmlns:a16="http://schemas.microsoft.com/office/drawing/2014/main" id="{5AAAB500-6A74-43CD-995F-C5B6FA067F23}"/>
              </a:ext>
            </a:extLst>
          </xdr:cNvPr>
          <xdr:cNvSpPr/>
        </xdr:nvSpPr>
        <xdr:spPr>
          <a:xfrm>
            <a:off x="2544867" y="10803996"/>
            <a:ext cx="1419224" cy="70931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nvGrpSpPr>
          <xdr:cNvPr id="72" name="Group 71">
            <a:extLst>
              <a:ext uri="{FF2B5EF4-FFF2-40B4-BE49-F238E27FC236}">
                <a16:creationId xmlns:a16="http://schemas.microsoft.com/office/drawing/2014/main" id="{76CD4233-72F7-4D34-85C2-0AA7A25F9397}"/>
              </a:ext>
            </a:extLst>
          </xdr:cNvPr>
          <xdr:cNvGrpSpPr/>
        </xdr:nvGrpSpPr>
        <xdr:grpSpPr>
          <a:xfrm>
            <a:off x="1970560" y="10982636"/>
            <a:ext cx="199788" cy="179016"/>
            <a:chOff x="9878345" y="5551967"/>
            <a:chExt cx="337457" cy="299356"/>
          </a:xfrm>
        </xdr:grpSpPr>
        <xdr:cxnSp macro="">
          <xdr:nvCxnSpPr>
            <xdr:cNvPr id="140" name="Straight Connector 139">
              <a:extLst>
                <a:ext uri="{FF2B5EF4-FFF2-40B4-BE49-F238E27FC236}">
                  <a16:creationId xmlns:a16="http://schemas.microsoft.com/office/drawing/2014/main" id="{36EB885C-6DA7-4DBA-B0B0-BC59301692D0}"/>
                </a:ext>
              </a:extLst>
            </xdr:cNvPr>
            <xdr:cNvCxnSpPr/>
          </xdr:nvCxnSpPr>
          <xdr:spPr>
            <a:xfrm>
              <a:off x="10037989" y="5551967"/>
              <a:ext cx="0" cy="299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a:extLst>
                <a:ext uri="{FF2B5EF4-FFF2-40B4-BE49-F238E27FC236}">
                  <a16:creationId xmlns:a16="http://schemas.microsoft.com/office/drawing/2014/main" id="{B8AFE4D6-1873-4F07-9A35-C56E4D5077EA}"/>
                </a:ext>
              </a:extLst>
            </xdr:cNvPr>
            <xdr:cNvCxnSpPr/>
          </xdr:nvCxnSpPr>
          <xdr:spPr>
            <a:xfrm flipH="1">
              <a:off x="9878345" y="5701593"/>
              <a:ext cx="337457" cy="272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3" name="Rectangle 72">
            <a:extLst>
              <a:ext uri="{FF2B5EF4-FFF2-40B4-BE49-F238E27FC236}">
                <a16:creationId xmlns:a16="http://schemas.microsoft.com/office/drawing/2014/main" id="{F486F2F9-BA6F-47D2-9D95-DC6C00EB7481}"/>
              </a:ext>
            </a:extLst>
          </xdr:cNvPr>
          <xdr:cNvSpPr/>
        </xdr:nvSpPr>
        <xdr:spPr>
          <a:xfrm>
            <a:off x="4980548" y="10817597"/>
            <a:ext cx="1419223" cy="70931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grpSp>
        <xdr:nvGrpSpPr>
          <xdr:cNvPr id="74" name="Group 73">
            <a:extLst>
              <a:ext uri="{FF2B5EF4-FFF2-40B4-BE49-F238E27FC236}">
                <a16:creationId xmlns:a16="http://schemas.microsoft.com/office/drawing/2014/main" id="{8463D2B5-3C6E-4854-9ABD-3BAB8726D245}"/>
              </a:ext>
            </a:extLst>
          </xdr:cNvPr>
          <xdr:cNvGrpSpPr/>
        </xdr:nvGrpSpPr>
        <xdr:grpSpPr>
          <a:xfrm rot="2700000">
            <a:off x="4351846" y="11057836"/>
            <a:ext cx="202463" cy="179073"/>
            <a:chOff x="9554129" y="6304809"/>
            <a:chExt cx="337459" cy="299354"/>
          </a:xfrm>
        </xdr:grpSpPr>
        <xdr:cxnSp macro="">
          <xdr:nvCxnSpPr>
            <xdr:cNvPr id="138" name="Straight Connector 137">
              <a:extLst>
                <a:ext uri="{FF2B5EF4-FFF2-40B4-BE49-F238E27FC236}">
                  <a16:creationId xmlns:a16="http://schemas.microsoft.com/office/drawing/2014/main" id="{F43398ED-9087-47D5-BF43-F65E894E5ED1}"/>
                </a:ext>
              </a:extLst>
            </xdr:cNvPr>
            <xdr:cNvCxnSpPr/>
          </xdr:nvCxnSpPr>
          <xdr:spPr>
            <a:xfrm>
              <a:off x="9711774" y="6304809"/>
              <a:ext cx="0" cy="29935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a:extLst>
                <a:ext uri="{FF2B5EF4-FFF2-40B4-BE49-F238E27FC236}">
                  <a16:creationId xmlns:a16="http://schemas.microsoft.com/office/drawing/2014/main" id="{2E1E6271-0AB4-478F-B8C7-F9E081640A1C}"/>
                </a:ext>
              </a:extLst>
            </xdr:cNvPr>
            <xdr:cNvCxnSpPr/>
          </xdr:nvCxnSpPr>
          <xdr:spPr>
            <a:xfrm flipH="1">
              <a:off x="9554129" y="6451638"/>
              <a:ext cx="337459" cy="272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5" name="Straight Arrow Connector 74">
            <a:extLst>
              <a:ext uri="{FF2B5EF4-FFF2-40B4-BE49-F238E27FC236}">
                <a16:creationId xmlns:a16="http://schemas.microsoft.com/office/drawing/2014/main" id="{239C3F56-3240-4D3A-941B-BC919E404FDA}"/>
              </a:ext>
            </a:extLst>
          </xdr:cNvPr>
          <xdr:cNvCxnSpPr/>
        </xdr:nvCxnSpPr>
        <xdr:spPr>
          <a:xfrm>
            <a:off x="6664776" y="11107644"/>
            <a:ext cx="254453"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Rectangle 75">
            <a:extLst>
              <a:ext uri="{FF2B5EF4-FFF2-40B4-BE49-F238E27FC236}">
                <a16:creationId xmlns:a16="http://schemas.microsoft.com/office/drawing/2014/main" id="{D3A354B0-2D4B-4E0C-BFCB-0ACAA4B50329}"/>
              </a:ext>
            </a:extLst>
          </xdr:cNvPr>
          <xdr:cNvSpPr/>
        </xdr:nvSpPr>
        <xdr:spPr>
          <a:xfrm>
            <a:off x="7037623" y="10522677"/>
            <a:ext cx="1419224"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grpSp>
        <xdr:nvGrpSpPr>
          <xdr:cNvPr id="77" name="Group 76">
            <a:extLst>
              <a:ext uri="{FF2B5EF4-FFF2-40B4-BE49-F238E27FC236}">
                <a16:creationId xmlns:a16="http://schemas.microsoft.com/office/drawing/2014/main" id="{741F0D2A-ECDA-4AEA-B07D-B27AE68F9315}"/>
              </a:ext>
            </a:extLst>
          </xdr:cNvPr>
          <xdr:cNvGrpSpPr/>
        </xdr:nvGrpSpPr>
        <xdr:grpSpPr>
          <a:xfrm rot="2700000">
            <a:off x="10515812" y="9620523"/>
            <a:ext cx="202462" cy="195402"/>
            <a:chOff x="10371365" y="5837464"/>
            <a:chExt cx="337457" cy="299357"/>
          </a:xfrm>
        </xdr:grpSpPr>
        <xdr:cxnSp macro="">
          <xdr:nvCxnSpPr>
            <xdr:cNvPr id="136" name="Straight Connector 135">
              <a:extLst>
                <a:ext uri="{FF2B5EF4-FFF2-40B4-BE49-F238E27FC236}">
                  <a16:creationId xmlns:a16="http://schemas.microsoft.com/office/drawing/2014/main" id="{E6845CF3-5E63-491F-ABD9-B38A93BD670C}"/>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83C00AB4-A742-41B4-A612-32D6F2D82867}"/>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8" name="Rounded Rectangle 178">
            <a:extLst>
              <a:ext uri="{FF2B5EF4-FFF2-40B4-BE49-F238E27FC236}">
                <a16:creationId xmlns:a16="http://schemas.microsoft.com/office/drawing/2014/main" id="{E6BD7CCC-6B34-49E5-ADF6-129D1398CBAD}"/>
              </a:ext>
            </a:extLst>
          </xdr:cNvPr>
          <xdr:cNvSpPr/>
        </xdr:nvSpPr>
        <xdr:spPr>
          <a:xfrm>
            <a:off x="360589" y="6719205"/>
            <a:ext cx="4204608" cy="789295"/>
          </a:xfrm>
          <a:prstGeom prst="roundRect">
            <a:avLst>
              <a:gd name="adj" fmla="val 0"/>
            </a:avLst>
          </a:prstGeom>
          <a:solidFill>
            <a:sysClr val="window" lastClr="FFFFFF"/>
          </a:solidFill>
          <a:ln w="1270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45720" rIns="91440" bIns="91440" rtlCol="0" anchor="t"/>
          <a:lstStyle/>
          <a:p>
            <a:pPr algn="ctr"/>
            <a:r>
              <a:rPr lang="en-AU" sz="900" b="1">
                <a:solidFill>
                  <a:sysClr val="windowText" lastClr="000000"/>
                </a:solidFill>
                <a:latin typeface="+mj-lt"/>
              </a:rPr>
              <a:t>LEGEND</a:t>
            </a:r>
          </a:p>
          <a:p>
            <a:pPr algn="ctr"/>
            <a:endParaRPr lang="en-AU" sz="900" b="1">
              <a:solidFill>
                <a:sysClr val="windowText" lastClr="000000"/>
              </a:solidFill>
              <a:latin typeface="+mj-lt"/>
            </a:endParaRPr>
          </a:p>
        </xdr:txBody>
      </xdr:sp>
      <xdr:sp macro="" textlink="">
        <xdr:nvSpPr>
          <xdr:cNvPr id="79" name="TextBox 78">
            <a:extLst>
              <a:ext uri="{FF2B5EF4-FFF2-40B4-BE49-F238E27FC236}">
                <a16:creationId xmlns:a16="http://schemas.microsoft.com/office/drawing/2014/main" id="{17360402-689E-40FA-8049-D5B1B670D0F5}"/>
              </a:ext>
            </a:extLst>
          </xdr:cNvPr>
          <xdr:cNvSpPr txBox="1"/>
        </xdr:nvSpPr>
        <xdr:spPr>
          <a:xfrm>
            <a:off x="557893" y="6966827"/>
            <a:ext cx="1231090" cy="380496"/>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Inputs</a:t>
            </a:r>
          </a:p>
        </xdr:txBody>
      </xdr:sp>
      <xdr:sp macro="" textlink="">
        <xdr:nvSpPr>
          <xdr:cNvPr id="80" name="TextBox 79">
            <a:extLst>
              <a:ext uri="{FF2B5EF4-FFF2-40B4-BE49-F238E27FC236}">
                <a16:creationId xmlns:a16="http://schemas.microsoft.com/office/drawing/2014/main" id="{D96D7828-F6E3-4921-B242-F62E028552FD}"/>
              </a:ext>
            </a:extLst>
          </xdr:cNvPr>
          <xdr:cNvSpPr txBox="1"/>
        </xdr:nvSpPr>
        <xdr:spPr>
          <a:xfrm>
            <a:off x="1874790" y="6966728"/>
            <a:ext cx="1222334" cy="37780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Calculations</a:t>
            </a:r>
          </a:p>
        </xdr:txBody>
      </xdr:sp>
      <xdr:sp macro="" textlink="">
        <xdr:nvSpPr>
          <xdr:cNvPr id="120" name="TextBox 119">
            <a:extLst>
              <a:ext uri="{FF2B5EF4-FFF2-40B4-BE49-F238E27FC236}">
                <a16:creationId xmlns:a16="http://schemas.microsoft.com/office/drawing/2014/main" id="{61149ED6-FAA1-436D-987A-EE68E8E2C7E3}"/>
              </a:ext>
            </a:extLst>
          </xdr:cNvPr>
          <xdr:cNvSpPr txBox="1"/>
        </xdr:nvSpPr>
        <xdr:spPr>
          <a:xfrm>
            <a:off x="3171964" y="6970227"/>
            <a:ext cx="1222334" cy="37430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Outputs</a:t>
            </a:r>
          </a:p>
        </xdr:txBody>
      </xdr:sp>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2152132" y="9328167"/>
            <a:ext cx="4605576" cy="8403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sp macro="" textlink="">
        <xdr:nvSpPr>
          <xdr:cNvPr id="122" name="Rectangle 121">
            <a:extLst>
              <a:ext uri="{FF2B5EF4-FFF2-40B4-BE49-F238E27FC236}">
                <a16:creationId xmlns:a16="http://schemas.microsoft.com/office/drawing/2014/main" id="{7E0C1AFE-72A4-4346-A6A6-02ABB8B703BB}"/>
              </a:ext>
            </a:extLst>
          </xdr:cNvPr>
          <xdr:cNvSpPr/>
        </xdr:nvSpPr>
        <xdr:spPr>
          <a:xfrm>
            <a:off x="2215241" y="9389732"/>
            <a:ext cx="1311481"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sp macro="" textlink="">
        <xdr:nvSpPr>
          <xdr:cNvPr id="123" name="Rectangle 122">
            <a:extLst>
              <a:ext uri="{FF2B5EF4-FFF2-40B4-BE49-F238E27FC236}">
                <a16:creationId xmlns:a16="http://schemas.microsoft.com/office/drawing/2014/main" id="{39191141-DB64-4417-BA07-FB6DB5492625}"/>
              </a:ext>
            </a:extLst>
          </xdr:cNvPr>
          <xdr:cNvSpPr/>
        </xdr:nvSpPr>
        <xdr:spPr>
          <a:xfrm>
            <a:off x="3789775" y="9389732"/>
            <a:ext cx="1344211"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sp macro="" textlink="">
        <xdr:nvSpPr>
          <xdr:cNvPr id="125" name="Rectangle 124">
            <a:extLst>
              <a:ext uri="{FF2B5EF4-FFF2-40B4-BE49-F238E27FC236}">
                <a16:creationId xmlns:a16="http://schemas.microsoft.com/office/drawing/2014/main" id="{9EA64B14-EBE3-4427-8DC9-6A44536BE635}"/>
              </a:ext>
            </a:extLst>
          </xdr:cNvPr>
          <xdr:cNvSpPr/>
        </xdr:nvSpPr>
        <xdr:spPr>
          <a:xfrm>
            <a:off x="5392507" y="9389732"/>
            <a:ext cx="1304678"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Ancillary</a:t>
            </a:r>
          </a:p>
          <a:p>
            <a:pPr marL="0" indent="0" algn="ctr"/>
            <a:r>
              <a:rPr lang="en-AU" sz="900" b="1">
                <a:solidFill>
                  <a:schemeClr val="tx1"/>
                </a:solidFill>
                <a:latin typeface="+mj-lt"/>
                <a:ea typeface="+mn-ea"/>
                <a:cs typeface="Arial" panose="020B0604020202020204" pitchFamily="34" charset="0"/>
              </a:rPr>
              <a:t>($/kWh)</a:t>
            </a:r>
          </a:p>
        </xdr:txBody>
      </xdr:sp>
      <xdr:sp macro="" textlink="">
        <xdr:nvSpPr>
          <xdr:cNvPr id="126" name="Rectangle 125">
            <a:extLst>
              <a:ext uri="{FF2B5EF4-FFF2-40B4-BE49-F238E27FC236}">
                <a16:creationId xmlns:a16="http://schemas.microsoft.com/office/drawing/2014/main" id="{DEE7485D-98FD-4A33-A500-ACB93DDF8F30}"/>
              </a:ext>
            </a:extLst>
          </xdr:cNvPr>
          <xdr:cNvSpPr/>
        </xdr:nvSpPr>
        <xdr:spPr>
          <a:xfrm>
            <a:off x="7085204" y="9388928"/>
            <a:ext cx="1304678" cy="70467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grpSp>
        <xdr:nvGrpSpPr>
          <xdr:cNvPr id="127" name="Group 126">
            <a:extLst>
              <a:ext uri="{FF2B5EF4-FFF2-40B4-BE49-F238E27FC236}">
                <a16:creationId xmlns:a16="http://schemas.microsoft.com/office/drawing/2014/main" id="{742F6123-7F85-4347-80F0-F2237A34BAD0}"/>
              </a:ext>
            </a:extLst>
          </xdr:cNvPr>
          <xdr:cNvGrpSpPr/>
        </xdr:nvGrpSpPr>
        <xdr:grpSpPr>
          <a:xfrm>
            <a:off x="3567787" y="9663753"/>
            <a:ext cx="199787" cy="188558"/>
            <a:chOff x="10526947" y="5881302"/>
            <a:chExt cx="337457" cy="299357"/>
          </a:xfrm>
        </xdr:grpSpPr>
        <xdr:cxnSp macro="">
          <xdr:nvCxnSpPr>
            <xdr:cNvPr id="134" name="Straight Connector 133">
              <a:extLst>
                <a:ext uri="{FF2B5EF4-FFF2-40B4-BE49-F238E27FC236}">
                  <a16:creationId xmlns:a16="http://schemas.microsoft.com/office/drawing/2014/main" id="{7882F66D-D4E1-4C24-AC0F-7972BD41541B}"/>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EB41A4F8-D754-4D53-B3C8-C8C0C0FEB013}"/>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28" name="Group 127">
            <a:extLst>
              <a:ext uri="{FF2B5EF4-FFF2-40B4-BE49-F238E27FC236}">
                <a16:creationId xmlns:a16="http://schemas.microsoft.com/office/drawing/2014/main" id="{7E5D89B3-CD01-4B45-9657-03E48EC33B27}"/>
              </a:ext>
            </a:extLst>
          </xdr:cNvPr>
          <xdr:cNvGrpSpPr/>
        </xdr:nvGrpSpPr>
        <xdr:grpSpPr>
          <a:xfrm>
            <a:off x="5158006" y="9652869"/>
            <a:ext cx="199787" cy="188558"/>
            <a:chOff x="10526947" y="5881302"/>
            <a:chExt cx="337457" cy="299357"/>
          </a:xfrm>
        </xdr:grpSpPr>
        <xdr:cxnSp macro="">
          <xdr:nvCxnSpPr>
            <xdr:cNvPr id="132" name="Straight Connector 131">
              <a:extLst>
                <a:ext uri="{FF2B5EF4-FFF2-40B4-BE49-F238E27FC236}">
                  <a16:creationId xmlns:a16="http://schemas.microsoft.com/office/drawing/2014/main" id="{59E04D02-3145-46D8-9BAB-36D78F294C53}"/>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3" name="Straight Connector 132">
              <a:extLst>
                <a:ext uri="{FF2B5EF4-FFF2-40B4-BE49-F238E27FC236}">
                  <a16:creationId xmlns:a16="http://schemas.microsoft.com/office/drawing/2014/main" id="{43502183-21D4-4579-BBD8-AB7B92D3BB6A}"/>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29" name="Group 128">
            <a:extLst>
              <a:ext uri="{FF2B5EF4-FFF2-40B4-BE49-F238E27FC236}">
                <a16:creationId xmlns:a16="http://schemas.microsoft.com/office/drawing/2014/main" id="{A4FC719A-F453-4066-9FDA-0BEF9F094014}"/>
              </a:ext>
            </a:extLst>
          </xdr:cNvPr>
          <xdr:cNvGrpSpPr/>
        </xdr:nvGrpSpPr>
        <xdr:grpSpPr>
          <a:xfrm rot="2700000">
            <a:off x="6825333" y="9669199"/>
            <a:ext cx="199788" cy="179032"/>
            <a:chOff x="10526947" y="5881302"/>
            <a:chExt cx="337457" cy="299357"/>
          </a:xfrm>
        </xdr:grpSpPr>
        <xdr:cxnSp macro="">
          <xdr:nvCxnSpPr>
            <xdr:cNvPr id="130" name="Straight Connector 129">
              <a:extLst>
                <a:ext uri="{FF2B5EF4-FFF2-40B4-BE49-F238E27FC236}">
                  <a16:creationId xmlns:a16="http://schemas.microsoft.com/office/drawing/2014/main" id="{1AFDECB7-439C-4D02-A522-86B5EB913781}"/>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2A26D498-2B34-488A-8798-646CE4CDADE3}"/>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1068293</xdr:colOff>
      <xdr:row>24</xdr:row>
      <xdr:rowOff>104589</xdr:rowOff>
    </xdr:from>
    <xdr:to>
      <xdr:col>9</xdr:col>
      <xdr:colOff>1578845</xdr:colOff>
      <xdr:row>33</xdr:row>
      <xdr:rowOff>12986</xdr:rowOff>
    </xdr:to>
    <xdr:sp macro="" textlink="">
      <xdr:nvSpPr>
        <xdr:cNvPr id="117" name="TextBox 106">
          <a:extLst>
            <a:ext uri="{FF2B5EF4-FFF2-40B4-BE49-F238E27FC236}">
              <a16:creationId xmlns:a16="http://schemas.microsoft.com/office/drawing/2014/main" id="{6EC5CB2E-23B5-48F7-B256-E3E61DE2F7C0}"/>
            </a:ext>
          </a:extLst>
        </xdr:cNvPr>
        <xdr:cNvSpPr txBox="1"/>
      </xdr:nvSpPr>
      <xdr:spPr>
        <a:xfrm>
          <a:off x="12558058" y="5251824"/>
          <a:ext cx="4111375" cy="1589280"/>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compliant maximum bill amounts for all distribution zones,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compliant maximum annual bill amounts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VDO%202021%20-%20Calculation%20model%20-%20FDP%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UserGuide"/>
      <sheetName val="Information"/>
      <sheetName val="Change"/>
      <sheetName val="Data"/>
      <sheetName val="Gen_A"/>
      <sheetName val="Time_A"/>
      <sheetName val="Tariff_O_F"/>
      <sheetName val="Tariff_O_Dr"/>
      <sheetName val="Compare_O"/>
      <sheetName val="Calc_C_F"/>
      <sheetName val="Calc_C_Dr"/>
      <sheetName val="Inputs_A_F"/>
      <sheetName val="Inputs_A_Dr"/>
      <sheetName val="Compare_A"/>
      <sheetName val="F_Chk"/>
      <sheetName val="Dr_Chk"/>
      <sheetName val="Flags_C"/>
      <sheetName val="Chk_C"/>
      <sheetName val="Style_O"/>
    </sheetNames>
    <sheetDataSet>
      <sheetData sheetId="0"/>
      <sheetData sheetId="1"/>
      <sheetData sheetId="2"/>
      <sheetData sheetId="3"/>
      <sheetData sheetId="4"/>
      <sheetData sheetId="5"/>
      <sheetData sheetId="6">
        <row r="39">
          <cell r="J39">
            <v>1</v>
          </cell>
        </row>
        <row r="44">
          <cell r="J44">
            <v>100</v>
          </cell>
        </row>
        <row r="45">
          <cell r="J45">
            <v>1</v>
          </cell>
        </row>
      </sheetData>
      <sheetData sheetId="7"/>
      <sheetData sheetId="8">
        <row r="18">
          <cell r="N18">
            <v>1506.1112590761013</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Q123" totalsRowShown="0" tableBorderDxfId="376" totalsRowBorderDxfId="375" headerRowCellStyle="Table col heading" dataCellStyle="Table cell">
  <autoFilter ref="C10:Q123" xr:uid="{BAF93B36-1BDD-4BB0-B137-BEB6EBD950B8}"/>
  <tableColumns count="15">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374" dataCellStyle="Table cell"/>
    <tableColumn id="12" xr3:uid="{5E2B3B73-6771-45B4-82B8-0AA35BD8F705}" name="Customer type" dataDxfId="373" dataCellStyle="Table cell"/>
    <tableColumn id="6" xr3:uid="{DF24FCA2-F0DF-4144-8F1B-F3129138F4F5}" name="F-CurrentVDO_InputDate" dataDxfId="372" dataCellStyle="Hard-coded"/>
    <tableColumn id="7" xr3:uid="{FEEE9B98-F1B9-4BCE-9D75-0B157C256B9D}" name="F-CurrentVDO_Input" dataDxfId="371" dataCellStyle="Hard-coded"/>
    <tableColumn id="15" xr3:uid="{6D1A57CC-2A5F-4FB3-AF79-9C864D73D509}" name="VD-CurrentVDO_InputDate" dataDxfId="370" dataCellStyle="Hard-coded"/>
    <tableColumn id="5" xr3:uid="{6D90D13D-7691-408E-920D-28F33BBC643F}" name="VD-CurrentVDO_Input" dataDxfId="369" dataCellStyle="Hard-coded"/>
    <tableColumn id="8" xr3:uid="{BB001EDA-14C6-46F4-A3C8-E04970BC08B1}" name="VF-CurrentVDO_InputDate" dataDxfId="368" dataCellStyle="Input"/>
    <tableColumn id="9" xr3:uid="{302B1A04-0D91-4254-A1B4-2AB36404D5F0}" name="VF-CurrentVDO_Input" dataDxfId="367" dataCellStyle="Input"/>
    <tableColumn id="10" xr3:uid="{2436021E-5060-4C27-B7E4-385ED60FB6EE}" name="D-NextVDO_InputDate" dataDxfId="366" dataCellStyle="Input"/>
    <tableColumn id="11" xr3:uid="{43EE2DE0-3DFA-4DE9-ADDA-BFF46482A280}" name="D-NextVDO_Input" dataDxfId="365" dataCellStyle="Input"/>
    <tableColumn id="13" xr3:uid="{B112B93D-14AA-4188-8F83-F4632E3F87B4}" name="F-NextVDO_InputDate" dataDxfId="364" dataCellStyle="Input"/>
    <tableColumn id="14" xr3:uid="{A72BF82C-154B-4AC9-94D3-5ABCF1780432}" name="F-NextVDO_Input" dataDxfId="363" dataCellStyle="Input"/>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Anytime" displayName="Input_UsageAnytime" ref="C131:M149" totalsRowShown="0" headerRowDxfId="362" headerRowBorderDxfId="361" tableBorderDxfId="360" headerRowCellStyle="Table col heading">
  <tableColumns count="11">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Input_UsageAnytime[[#This Row],[Profile name]]&amp;" - "&amp;Input_UsageAnytime[[#This Row],[Usage type]]</calculatedColumnFormula>
    </tableColumn>
    <tableColumn id="4" xr3:uid="{C06CE59A-0662-40A9-B5E0-D7BDCA3E9812}" name="Unit" dataCellStyle="Table cell"/>
    <tableColumn id="8" xr3:uid="{16817664-CDEB-415C-99EE-275702065598}" name="Customer type" dataDxfId="359" dataCellStyle="Table cell"/>
    <tableColumn id="6" xr3:uid="{F4B24122-E533-4718-A2AE-9A2459EEEC0D}" name="[blank]" dataDxfId="358" dataCellStyle="Table cell"/>
    <tableColumn id="9" xr3:uid="{6CDD316C-3B29-4CEC-9CCD-D147749461C1}" name="F-CurrentVDO" dataDxfId="357" dataCellStyle="Hard-coded"/>
    <tableColumn id="5" xr3:uid="{C361A281-3CA0-4144-918C-AEA2C11D4EB2}" name="VD-CurrentVDO" dataDxfId="356" dataCellStyle="Input"/>
    <tableColumn id="10" xr3:uid="{2410741E-5CE5-456C-A356-652B30948C54}" name="VF-CurrentVDO" dataDxfId="355" dataCellStyle="Input"/>
    <tableColumn id="11" xr3:uid="{F7854B3F-CA63-497E-B7DD-24F6A26E4662}" name="D-NextVDO" dataDxfId="354" dataCellStyle="Input"/>
    <tableColumn id="12" xr3:uid="{CA8A5057-1374-4829-9D1E-D3E16BD46339}" name="F-NextVDO" dataDxfId="353" dataCellStyle="Input"/>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B569C-D70B-4CE6-8AA4-0F3E646AB2D6}" name="Input_UsageTOU" displayName="Input_UsageTOU" ref="C157:M169" totalsRowShown="0" headerRowDxfId="352" headerRowBorderDxfId="351" tableBorderDxfId="350" headerRowCellStyle="Table col heading">
  <tableColumns count="11">
    <tableColumn id="1" xr3:uid="{A29766B6-73D6-4EC0-A2B4-A6235E6F27FD}" name="Profile name" dataCellStyle="Table cell"/>
    <tableColumn id="2" xr3:uid="{5E5B8BD7-F077-4F56-A1F8-52FDAC097416}" name="Usage type" dataCellStyle="Table cell"/>
    <tableColumn id="3" xr3:uid="{E4013BFA-00F5-49FA-8BFE-48594003A676}" name="Ref" dataCellStyle="Table cell">
      <calculatedColumnFormula>Input_UsageTOU[[#This Row],[Profile name]]&amp;" - "&amp;Input_UsageTOU[[#This Row],[Usage type]]</calculatedColumnFormula>
    </tableColumn>
    <tableColumn id="4" xr3:uid="{9EFEC357-543D-4475-9645-B37C501DC7ED}" name="Unit" dataCellStyle="Table cell"/>
    <tableColumn id="8" xr3:uid="{59D8E867-566D-4B0D-8077-B30C116B0EFE}" name="Customer type" dataCellStyle="Table cell"/>
    <tableColumn id="5" xr3:uid="{630814D0-F085-49EF-A7D5-A988E4AE08DA}" name="[blank]" dataDxfId="349" dataCellStyle="Table cell"/>
    <tableColumn id="9" xr3:uid="{46F0C555-1463-4FA5-81F2-3DC55B30C513}" name="F-CurrentVDO" dataDxfId="348" dataCellStyle="Hard-coded"/>
    <tableColumn id="6" xr3:uid="{F290D268-60E0-4A78-8885-1A0899F2F821}" name="VD-CurrentVDO" dataDxfId="347" dataCellStyle="Input"/>
    <tableColumn id="10" xr3:uid="{70F13E44-BC0A-41CB-80D6-24BD12EEA335}" name="VF-CurrentVDO" dataDxfId="346" dataCellStyle="Input"/>
    <tableColumn id="11" xr3:uid="{43AD0C13-1EA2-4212-AB62-02F74FDE1270}" name="D-NextVDO" dataDxfId="345" dataCellStyle="Input"/>
    <tableColumn id="12" xr3:uid="{088B4B01-8236-48BE-AE7C-31A13BE8CF0B}" name="F-NextVDO" dataDxfId="344" dataCellStyle="Input"/>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s_actual" displayName="Inputs_actual" ref="C177:I184" totalsRowShown="0" headerRowDxfId="343" headerRowBorderDxfId="342" tableBorderDxfId="341" headerRowCellStyle="Table col heading">
  <tableColumns count="7">
    <tableColumn id="2" xr3:uid="{C2979B50-E72C-4905-B762-B1FBD0FC7D84}" name="Cost element" dataCellStyle="Table cell"/>
    <tableColumn id="1" xr3:uid="{7606E00A-72BB-46DC-B82D-8B19AE194ECC}" name="Cost item" dataDxfId="340"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339" dataCellStyle="Table cell"/>
    <tableColumn id="5" xr3:uid="{7C467E70-DBCE-4B3B-9E84-9672A5BB6AB5}" name="D-NextVDO_Input" dataDxfId="338" dataCellStyle="Input"/>
    <tableColumn id="6" xr3:uid="{B4F80362-EB75-43DD-B60D-B5C1D9FC2436}" name="F-NextVDO_Input" dataDxfId="337" dataCellStyle="Input"/>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3:D61" totalsRowShown="0" headerRowBorderDxfId="336" tableBorderDxfId="335">
  <tableColumns count="2">
    <tableColumn id="1" xr3:uid="{9AA9E4FD-AEA6-406E-B536-E0A3240360A5}" name="Period" dataDxfId="334" dataCellStyle="Table cell"/>
    <tableColumn id="3" xr3:uid="{9BE9725C-E6DE-44E0-8817-4E84A297FEDC}" name="Indice" dataDxfId="333" dataCellStyle="Input"/>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5" totalsRowShown="0" headerRowBorderDxfId="332" tableBorderDxfId="331">
  <tableColumns count="3">
    <tableColumn id="1" xr3:uid="{E8446AF5-A1A4-4342-A74F-83AC0A1E0759}" name="Decision paper" dataCellStyle="Table cell"/>
    <tableColumn id="2" xr3:uid="{59E16007-75E9-4AF1-B2EE-5F57503967A5}" name="Date" dataDxfId="330" dataCellStyle="Hard-coded"/>
    <tableColumn id="3" xr3:uid="{B00403BA-623F-461C-A57F-1A628BADCABC}" name="Indice" dataDxfId="329" dataCellStyle="Auto-populated">
      <calculatedColumnFormula>IFERROR(INDEX(CPI[Indice],MATCH(D8,CPI[Period],0),1),"-")</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2:H149" totalsRowShown="0" headerRowDxfId="328" headerRowBorderDxfId="327" tableBorderDxfId="326" headerRowCellStyle="Table col heading">
  <tableColumns count="6">
    <tableColumn id="1" xr3:uid="{8FC9CF68-E2DE-41D4-BB17-02577ACDFB50}" name="Cost item"/>
    <tableColumn id="3" xr3:uid="{FD52015C-7518-4114-9F0A-46942F5E409F}" name="Fixed/Variable" dataDxfId="325"/>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CellStyle="Table cell"/>
    <tableColumn id="4" xr3:uid="{471ED95C-B937-4145-872E-8E97F45D2329}" name="CPI increase" dataDxfId="324" dataCellStyle="Calculation">
      <calculatedColumnFormula>IFERROR(
($D$140-
INDEX(CPI[Indice],MATCH(
INDEX(#REF!,MATCH(Calc_Rates!$C143&amp;" - base",Input_ForRateCalc[Cost item],0),1),
CPI[Period],0),1))/
INDEX(CPI[Indice],MATCH(
INDEX(#REF!,MATCH(Calc_Rates!$C143&amp;" - base",Input_ForRateCalc[Cost item],0),1),
CPI[Period],0),1),"-")</calculatedColumnFormula>
    </tableColumn>
    <tableColumn id="5" xr3:uid="{6CF381C8-E2E9-44F3-9929-828496EBF384}" name="CPI uplift factor" dataDxfId="323" dataCellStyle="Calculation"/>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52:K155" totalsRowShown="0" headerRowDxfId="322" headerRowBorderDxfId="321" tableBorderDxfId="320"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CellStyle="Table cell"/>
    <tableColumn id="4" xr3:uid="{A55B248B-2052-4BF2-80F1-7509C3DD67E6}" name="Ausnet" dataDxfId="319"/>
    <tableColumn id="5" xr3:uid="{1749CA31-EE62-4522-9DA3-1918155FD04F}" name="Citipower" dataDxfId="318"/>
    <tableColumn id="6" xr3:uid="{62DBB3BA-5557-45EF-B606-6DC96D6BCBBC}" name="Jemena" dataDxfId="317"/>
    <tableColumn id="7" xr3:uid="{83176F9D-4300-42DB-984A-9DB31B5A2B44}" name="Powercor" dataDxfId="316"/>
    <tableColumn id="8" xr3:uid="{AE5C4CA6-96AC-4429-B02F-825691E879EF}" name="United Energy" dataDxfId="315"/>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58:K159" totalsRowShown="0" headerRowDxfId="314" headerRowBorderDxfId="313" tableBorderDxfId="312"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CellStyle="Table cell"/>
    <tableColumn id="4" xr3:uid="{1B8319C1-3354-4608-B1AD-CE352E76C44D}" name="Ausnet" dataDxfId="311" dataCellStyle="Calculation">
      <calculatedColumnFormula array="1">IFERROR(INDEX(Input_ForRateCalc[[F-CurrentVDO_InputDate]:[F-NextVDO_Input]],MATCH(Calc_ROM_1[[#This Row],[Cost item]:[Cost item]],Input_ForRateCalc[[Cost item]:[Cost item]],0),MATCH($D$5,Inputs!$H$8:$Q$8,0)),"-")</calculatedColumnFormula>
    </tableColumn>
    <tableColumn id="5" xr3:uid="{270B5FD7-0783-496C-8F8F-0ECCD0DCC481}" name="Citipower" dataDxfId="310" dataCellStyle="Internal link/lookup">
      <calculatedColumnFormula array="1">IFERROR(INDEX(Input_ForRateCalc[[F-CurrentVDO_InputDate]:[F-NextVDO_Input]],MATCH(Calc_ROM_1[[#This Row],[Cost item]:[Cost item]],Input_ForRateCalc[[Cost item]:[Cost item]],0),MATCH($D$5,Inputs!$H$8:$Q$8,0)),"-")</calculatedColumnFormula>
    </tableColumn>
    <tableColumn id="6" xr3:uid="{1D6B1230-694F-46EA-BB16-EBFCD5B62014}" name="Jemena" dataDxfId="309" dataCellStyle="Internal link/lookup">
      <calculatedColumnFormula array="1">IFERROR(INDEX(Input_ForRateCalc[[F-CurrentVDO_InputDate]:[F-NextVDO_Input]],MATCH(Calc_ROM_1[[#This Row],[Cost item]:[Cost item]],Input_ForRateCalc[[Cost item]:[Cost item]],0),MATCH($D$5,Inputs!$H$8:$Q$8,0)),"-")</calculatedColumnFormula>
    </tableColumn>
    <tableColumn id="7" xr3:uid="{242863D3-BF23-4634-9E5D-A7018A29171E}" name="Powercor" dataDxfId="308" dataCellStyle="Internal link/lookup">
      <calculatedColumnFormula array="1">IFERROR(INDEX(Input_ForRateCalc[[F-CurrentVDO_InputDate]:[F-NextVDO_Input]],MATCH(Calc_ROM_1[[#This Row],[Cost item]:[Cost item]],Input_ForRateCalc[[Cost item]:[Cost item]],0),MATCH($D$5,Inputs!$H$8:$Q$8,0)),"-")</calculatedColumnFormula>
    </tableColumn>
    <tableColumn id="8" xr3:uid="{5FC9542C-F72B-41E3-8A90-17BB18C5781A}" name="United Energy" dataDxfId="307" dataCellStyle="Internal link/lookup">
      <calculatedColumnFormula array="1">IFERROR(INDEX(Input_ForRateCalc[[F-CurrentVDO_InputDate]:[F-NextVDO_Input]],MATCH(Calc_ROM_1[[#This Row],[Cost item]:[Cost item]],Input_ForRateCalc[[Cost item]:[Cost item]],0),MATCH($D$5,Inputs!$H$8:$Q$8,0)),"-")</calculatedColumnFormula>
    </tableColumn>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63:K165" totalsRowShown="0" headerRowDxfId="306" headerRowBorderDxfId="305" tableBorderDxfId="304" totalsRowBorderDxfId="303"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302" dataCellStyle="Table cell"/>
    <tableColumn id="4" xr3:uid="{F96F63E4-C2DD-4B05-A841-31283247F646}" name="Ausnet" dataDxfId="301">
      <calculatedColumnFormula>IFERROR(
INDEX(Calc_CPI_1[CPI uplift factor],MATCH($C164,Calc_CPI_1[Cost item],0),1)+
INDEX(#REF!,MATCH(Calc_Rates!$C164,Input_ForRateCalc[Cost item],0),MATCH(Calc_Rates!$D$5,Inputs!$H$8:$Q$8,0)),"-")</calculatedColumnFormula>
    </tableColumn>
    <tableColumn id="5" xr3:uid="{10800705-822B-4A11-AEC0-B74310D50E53}" name="Citipower" dataDxfId="300" dataCellStyle="Calculation"/>
    <tableColumn id="6" xr3:uid="{F22E718A-40AB-4EDE-A90A-F8A05C1F401C}" name="Jemena" dataDxfId="299" dataCellStyle="Calculation"/>
    <tableColumn id="7" xr3:uid="{6892071D-DB57-4E65-AA1D-01B97E74119E}" name="Powercor" dataDxfId="298" dataCellStyle="Calculation"/>
    <tableColumn id="8" xr3:uid="{551F21FF-F88A-4814-8B08-9AF58152777E}" name="United Energy" dataDxfId="297" dataCellStyle="Calculation"/>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69:K176" totalsRowShown="0" headerRowDxfId="296" headerRowBorderDxfId="295" tableBorderDxfId="294" totalsRowBorderDxfId="293"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292" dataCellStyle="Table cell"/>
    <tableColumn id="4" xr3:uid="{3A43E5BC-9425-48FE-8CB0-4D55B7BD3E2C}" name="Ausnet" dataDxfId="291" dataCellStyle="Calculation">
      <calculatedColumnFormula>IFERROR(
IFERROR(INDEX(Calc_CPI_1[CPI uplift factor],MATCH($C170,Calc_CPI_1[Cost item],0),1),0)+
INDEX(#REF!,MATCH($C170,Input_ForRateCalc[Cost item],0),MATCH(Calc_Rates!$D$5,Inputs!$H$8:$Q$8,0)),"-")</calculatedColumnFormula>
    </tableColumn>
    <tableColumn id="5" xr3:uid="{A49331E6-A367-4F26-B05E-C557F54FF5E6}" name="Citipower" dataDxfId="290" dataCellStyle="Calculation"/>
    <tableColumn id="6" xr3:uid="{353E77CF-0ADF-4988-B8FC-04EE5A40696A}" name="Jemena" dataDxfId="289" dataCellStyle="Calculation"/>
    <tableColumn id="7" xr3:uid="{8CC9324E-F871-48A4-839B-9B611C6D71DE}" name="Powercor" dataDxfId="288" dataCellStyle="Calculation"/>
    <tableColumn id="8" xr3:uid="{3D5A3885-41F2-4263-88AB-98D0F239E959}" name="United Energy" dataDxfId="287" dataCellStyle="Calculatio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181:K186" totalsRowShown="0" headerRowDxfId="286" headerRowBorderDxfId="285" tableBorderDxfId="284" totalsRowBorderDxfId="283"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282" dataCellStyle="Table cell"/>
    <tableColumn id="4" xr3:uid="{2C923C50-9004-4F23-A843-61F46462C741}" name="Ausnet" dataDxfId="281">
      <calculatedColumnFormula>IFERROR(
IFERROR(INDEX(Calc_CPI_1[CPI uplift factor],MATCH($C182,Calc_CPI_1[Cost item],0),1),0)+
INDEX(#REF!,MATCH($C182&amp;" - "&amp;G$181,Input_ForRateCalc[Cost item],0),MATCH(Calc_Rates!$D$5,Inputs!$H$8:$Q$8,0)),"-")</calculatedColumnFormula>
    </tableColumn>
    <tableColumn id="5" xr3:uid="{44B5F431-564E-450E-BA21-D3F841DCC24C}" name="Citipower" dataDxfId="280"/>
    <tableColumn id="6" xr3:uid="{8B1A16F8-7E2C-4F24-91A7-E65029079EAB}" name="Jemena" dataDxfId="279"/>
    <tableColumn id="7" xr3:uid="{0BD42606-1294-49B4-B9B0-6637A6094781}" name="Powercor" dataDxfId="278"/>
    <tableColumn id="8" xr3:uid="{439ED9DE-5613-4EC5-A634-F87DAB4A0EDD}" name="United Energy" dataDxfId="277"/>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189:K200" totalsRowShown="0" headerRowDxfId="276" dataDxfId="274" headerRowBorderDxfId="275" tableBorderDxfId="273" totalsRowBorderDxfId="272"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271" dataCellStyle="Table cell"/>
    <tableColumn id="4" xr3:uid="{D0986C2A-52E3-43DD-B77B-F20491BF5E18}" name="Ausnet" dataDxfId="270" dataCellStyle="Calculation">
      <calculatedColumnFormula array="1">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calculatedColumnFormula>
    </tableColumn>
    <tableColumn id="5" xr3:uid="{FAD220BF-91B8-40CF-BEED-9FF89C64043D}" name="Citipower" dataDxfId="269" dataCellStyle="Calculation">
      <calculatedColumnFormula array="1">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calculatedColumnFormula>
    </tableColumn>
    <tableColumn id="6" xr3:uid="{173506C0-F051-4700-B94B-6E65F6DA88D9}" name="Jemena" dataDxfId="268" dataCellStyle="Calculation">
      <calculatedColumnFormula array="1">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calculatedColumnFormula>
    </tableColumn>
    <tableColumn id="7" xr3:uid="{EFD5A70F-CD3B-42A9-8883-15FA6ED5A35F}" name="Powercor" dataDxfId="267" dataCellStyle="Calculation">
      <calculatedColumnFormula array="1">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calculatedColumnFormula>
    </tableColumn>
    <tableColumn id="8" xr3:uid="{377FA89E-EB31-4B31-9E9A-342277E4DF21}" name="United Energy" dataDxfId="266" dataCellStyle="Calculation">
      <calculatedColumnFormula array="1">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calculatedColumnFormula>
    </tableColum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05:K208" totalsRowShown="0" headerRowDxfId="265" headerRowBorderDxfId="264" tableBorderDxfId="263"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11:K214" totalsRowShown="0" headerRowDxfId="262" headerRowBorderDxfId="261" tableBorderDxfId="260"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19:K222" totalsRowShown="0" headerRowDxfId="259" headerRowBorderDxfId="258" tableBorderDxfId="257"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256" dataCellStyle="Internal link/lookup"/>
    <tableColumn id="5" xr3:uid="{CB1D098F-76FA-4645-A017-A40B1C8931A0}" name="Citipower" dataDxfId="255" dataCellStyle="Internal link/lookup"/>
    <tableColumn id="6" xr3:uid="{6CB26880-0A29-48CB-8D27-40F6229EC6E1}" name="Jemena" dataDxfId="254" dataCellStyle="Internal link/lookup"/>
    <tableColumn id="7" xr3:uid="{37DC741F-B7B0-4F6D-8986-B2FED10372C0}" name="Powercor" dataDxfId="253" dataCellStyle="Internal link/lookup"/>
    <tableColumn id="8" xr3:uid="{146C5954-395B-4AF0-934E-F6F1F53FD175}" name="United Energy" dataDxfId="252" dataCellStyle="Internal link/lookup"/>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25:K228" totalsRowShown="0" headerRowDxfId="251" headerRowBorderDxfId="250" tableBorderDxfId="249"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248" dataCellStyle="Internal link/lookup"/>
    <tableColumn id="5" xr3:uid="{E3001C65-68EA-4A0B-A9EC-0AEF2E84FBD6}" name="Citipower" dataDxfId="247" dataCellStyle="Internal link/lookup"/>
    <tableColumn id="6" xr3:uid="{B118E905-DC3D-47F2-80F3-239BFB2E12CB}" name="Jemena" dataDxfId="246" dataCellStyle="Internal link/lookup"/>
    <tableColumn id="7" xr3:uid="{4C60D58B-60A7-46F1-93E5-005D19EAAD81}" name="Powercor" dataDxfId="245" dataCellStyle="Internal link/lookup"/>
    <tableColumn id="8" xr3:uid="{67A92AE4-113B-4F60-9A08-53B7D7BBE29B}" name="United Energy" dataDxfId="244" dataCellStyle="Internal link/lookup"/>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31:K234" totalsRowShown="0" headerRowDxfId="243" headerRowBorderDxfId="242" tableBorderDxfId="241"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240" dataCellStyle="Internal link/lookup"/>
    <tableColumn id="5" xr3:uid="{46DA8B4E-93BE-4D75-B964-43108072DBCA}" name="Citipower" dataDxfId="239" dataCellStyle="Internal link/lookup"/>
    <tableColumn id="6" xr3:uid="{B4FBE803-3A30-443C-AF14-4716F8DBA7B2}" name="Jemena" dataDxfId="238" dataCellStyle="Internal link/lookup"/>
    <tableColumn id="7" xr3:uid="{8791F4C9-6942-453C-8102-D4CBF1273CDC}" name="Powercor" dataDxfId="237" dataCellStyle="Internal link/lookup"/>
    <tableColumn id="8" xr3:uid="{103AD40C-04CA-4057-8483-C30B93760CD0}" name="United Energy" dataDxfId="236" dataCellStyle="Internal link/lookup"/>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37:K238" totalsRowShown="0" headerRowDxfId="235" headerRowBorderDxfId="234" tableBorderDxfId="233" totalsRowBorderDxfId="232" headerRowCellStyle="Table col heading" dataCellStyle="Table cell">
  <tableColumns count="9">
    <tableColumn id="1" xr3:uid="{AFD9488A-7C4B-4F8E-ACF9-A4E4B8E8B998}" name="Cost item" dataDxfId="231" dataCellStyle="Table cell"/>
    <tableColumn id="2" xr3:uid="{16DB71A9-711A-4502-B5BF-7F371CCC192E}" name="Fixed/Variable" dataDxfId="230" dataCellStyle="Table cell"/>
    <tableColumn id="3" xr3:uid="{A88541AF-CF21-4C19-AF86-DD65AAFDF70F}" name="Unit" dataDxfId="229" dataCellStyle="Table cell"/>
    <tableColumn id="9" xr3:uid="{CCD1209E-6309-4A32-8212-14B34B01109C}" name="Customer type" dataDxfId="228" dataCellStyle="Table cell"/>
    <tableColumn id="4" xr3:uid="{EFC77A58-5F76-488A-A85D-5ED51551F605}" name="Ausnet" dataDxfId="227" dataCellStyle="Calculation">
      <calculatedColumnFormula array="1">IFERROR(
(IFERROR(INDEX(Calc_CPI_1[[CPI uplift factor]:[CPI uplift factor]],MATCH($C238,Calc_CPI_1[[Cost item]:[Cost item]],0),1),0)+
INDEX(Input_ForRateCalc[[F-CurrentVDO_InputDate]:[F-NextVDO_Input]],MATCH(Calc_FiT_1[[#This Row],[Cost item]:[Cost item]],Input_ForRateCalc[[Cost item]:[Cost item]],0),MATCH($D$5,Inputs!$H$8:$Q$8,0))),"-")</calculatedColumnFormula>
    </tableColumn>
    <tableColumn id="5" xr3:uid="{1E393C59-41B6-47B9-8C7C-DF1243695081}" name="Citipower" dataDxfId="226" dataCellStyle="Calculation">
      <calculatedColumnFormula array="1">IFERROR(
(IFERROR(INDEX(Calc_CPI_1[[CPI uplift factor]:[CPI uplift factor]],MATCH($C238,Calc_CPI_1[[Cost item]:[Cost item]],0),1),0)+
INDEX(Input_ForRateCalc[[F-CurrentVDO_InputDate]:[F-NextVDO_Input]],MATCH(Calc_FiT_1[[#This Row],[Cost item]:[Cost item]],Input_ForRateCalc[[Cost item]:[Cost item]],0),MATCH($D$5,Inputs!$H$8:$Q$8,0))),"-")</calculatedColumnFormula>
    </tableColumn>
    <tableColumn id="6" xr3:uid="{435400A7-321A-40E3-A6FB-8DA29E3C56CF}" name="Jemena" dataDxfId="225" dataCellStyle="Calculation">
      <calculatedColumnFormula array="1">IFERROR(
(IFERROR(INDEX(Calc_CPI_1[[CPI uplift factor]:[CPI uplift factor]],MATCH($C238,Calc_CPI_1[[Cost item]:[Cost item]],0),1),0)+
INDEX(Input_ForRateCalc[[F-CurrentVDO_InputDate]:[F-NextVDO_Input]],MATCH(Calc_FiT_1[[#This Row],[Cost item]:[Cost item]],Input_ForRateCalc[[Cost item]:[Cost item]],0),MATCH($D$5,Inputs!$H$8:$Q$8,0))),"-")</calculatedColumnFormula>
    </tableColumn>
    <tableColumn id="7" xr3:uid="{E838E498-62F7-48EC-9A33-8E46B6F2846E}" name="Powercor" dataDxfId="224" dataCellStyle="Calculation">
      <calculatedColumnFormula array="1">IFERROR(
(IFERROR(INDEX(Calc_CPI_1[[CPI uplift factor]:[CPI uplift factor]],MATCH($C238,Calc_CPI_1[[Cost item]:[Cost item]],0),1),0)+
INDEX(Input_ForRateCalc[[F-CurrentVDO_InputDate]:[F-NextVDO_Input]],MATCH(Calc_FiT_1[[#This Row],[Cost item]:[Cost item]],Input_ForRateCalc[[Cost item]:[Cost item]],0),MATCH($D$5,Inputs!$H$8:$Q$8,0))),"-")</calculatedColumnFormula>
    </tableColumn>
    <tableColumn id="8" xr3:uid="{E4EAE11B-C0B1-474A-AFE2-08D9725A3A2F}" name="United Energy" dataDxfId="223" dataCellStyle="Calculation">
      <calculatedColumnFormula array="1">IFERROR(
(IFERROR(INDEX(Calc_CPI_1[[CPI uplift factor]:[CPI uplift factor]],MATCH($C238,Calc_CPI_1[[Cost item]:[Cost item]],0),1),0)+
INDEX(Input_ForRateCalc[[F-CurrentVDO_InputDate]:[F-NextVDO_Input]],MATCH(Calc_FiT_1[[#This Row],[Cost item]:[Cost item]],Input_ForRateCalc[[Cost item]:[Cost item]],0),MATCH($D$5,Inputs!$H$8:$Q$8,0))),"-")</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222" dataDxfId="220" headerRowBorderDxfId="221" tableBorderDxfId="219" totalsRowBorderDxfId="218"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217" dataCellStyle="Calculation"/>
    <tableColumn id="6" xr3:uid="{C7D51D1D-F5A3-45D2-97BF-2D2C3522663C}" name="Citipower" dataDxfId="216" dataCellStyle="Calculation"/>
    <tableColumn id="7" xr3:uid="{98520615-2498-4B69-9E0F-1D3D02C38A91}" name="Jemena" dataDxfId="215" dataCellStyle="Calculation"/>
    <tableColumn id="8" xr3:uid="{9D038724-BFD4-4AE0-9E93-A285F400301A}" name="Powercor" dataDxfId="214" dataCellStyle="Calculation"/>
    <tableColumn id="9" xr3:uid="{7A6F7E36-B9EF-452A-B7C5-DCD9FEE784F5}" name="United Energy" dataDxfId="213" dataCellStyle="Calculation"/>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212" dataDxfId="210" headerRowBorderDxfId="211" tableBorderDxfId="209" totalsRowBorderDxfId="208"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207" dataCellStyle="Calculation">
      <calculatedColumnFormula>SUMIFS(Calc_NetworkV_1[Ausnet],Calc_NetworkV_1[[Cost item]:[Cost item]],$C51,Calc_NetworkV_1[[Customer type]:[Customer type]],$F51)</calculatedColumnFormula>
    </tableColumn>
    <tableColumn id="6" xr3:uid="{E2C0AA12-7131-46DC-85F6-23D2DC886FB0}" name="Citipower" dataDxfId="206" dataCellStyle="Calculation">
      <calculatedColumnFormula>SUMIFS(Calc_NetworkV_1[Citipower],Calc_NetworkV_1[[Cost item]:[Cost item]],$C51,Calc_NetworkV_1[[Customer type]:[Customer type]],$F51)</calculatedColumnFormula>
    </tableColumn>
    <tableColumn id="7" xr3:uid="{EF4DD9F0-6C3E-41F9-B55E-8140D1AD8185}" name="Jemena" dataDxfId="205" dataCellStyle="Calculation">
      <calculatedColumnFormula>SUMIFS(Calc_NetworkV_1[Jemena],Calc_NetworkV_1[[Cost item]:[Cost item]],$C51,Calc_NetworkV_1[[Customer type]:[Customer type]],$F51)</calculatedColumnFormula>
    </tableColumn>
    <tableColumn id="8" xr3:uid="{947CFCA4-E7A4-4A08-847F-78F175CA3E8A}" name="Powercor" dataDxfId="204" dataCellStyle="Calculation">
      <calculatedColumnFormula>SUMIFS(Calc_NetworkV_1[Powercor],Calc_NetworkV_1[[Cost item]:[Cost item]],$C51,Calc_NetworkV_1[[Customer type]:[Customer type]],$F51)</calculatedColumnFormula>
    </tableColumn>
    <tableColumn id="9" xr3:uid="{B3FA65E5-67A9-4C54-BE06-6A8BC367B8D2}" name="United Energy" dataDxfId="203"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381:H388" totalsRowShown="0" headerRowDxfId="202" headerRowBorderDxfId="201" tableBorderDxfId="200" headerRowCellStyle="Table col heading">
  <tableColumns count="6">
    <tableColumn id="1" xr3:uid="{0392B365-335D-4A78-9B18-7271922DE1F6}" name="Cost item"/>
    <tableColumn id="3" xr3:uid="{048F43A9-A58B-455C-8B4D-B6DA137AECA7}" name="Fixed/Variable" dataDxfId="199"/>
    <tableColumn id="10" xr3:uid="{C0FE0C8C-F5D0-4BAB-8D99-F40D7F692479}" name="Unit" dataCellStyle="Table cell"/>
    <tableColumn id="11" xr3:uid="{73F71E33-E6A7-4E95-8250-4F73CE5393B0}" name="Customer type" dataCellStyle="Table cell"/>
    <tableColumn id="4" xr3:uid="{A927AA6D-A956-473D-9CBB-E2BEE704389A}" name="CPI increase" dataDxfId="198" dataCellStyle="Calculation">
      <calculatedColumnFormula>IFERROR(
($D$140-
INDEX(CPI[Indice],MATCH(
INDEX(#REF!,MATCH(Calc_Rates!$C382&amp;" - base",Input_ForRateCalc[Cost item],0),1),
CPI[Period],0),1))/
INDEX(CPI[Indice],MATCH(
INDEX(#REF!,MATCH(Calc_Rates!$C382&amp;" - base",Input_ForRateCalc[Cost item],0),1),
CPI[Period],0),1),"-")</calculatedColumnFormula>
    </tableColumn>
    <tableColumn id="5" xr3:uid="{0AF73545-2A78-4EA1-9B7D-36FA6144550A}" name="CPI uplift factor" dataDxfId="197" dataCellStyle="Calculation"/>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391:K394" totalsRowShown="0" headerRowDxfId="196" headerRowBorderDxfId="195" tableBorderDxfId="194"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CellStyle="Table cell"/>
    <tableColumn id="4" xr3:uid="{CB25BE8A-48BA-4885-8E65-317DB9BF37BB}" name="Ausnet" dataDxfId="193"/>
    <tableColumn id="5" xr3:uid="{0B2237C4-7DBE-4B58-8B34-036750CE9DF3}" name="Citipower" dataDxfId="192"/>
    <tableColumn id="6" xr3:uid="{E1C9F9AE-0936-4E2E-A598-882FD11E197E}" name="Jemena" dataDxfId="191"/>
    <tableColumn id="7" xr3:uid="{50A41108-5F62-4C52-92E2-598288A777B6}" name="Powercor" dataDxfId="190"/>
    <tableColumn id="8" xr3:uid="{5D722926-44FE-4315-8992-A62E3FA3705F}" name="United Energy" dataDxfId="189"/>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397:K398" totalsRowShown="0" headerRowDxfId="188" headerRowBorderDxfId="187" tableBorderDxfId="186"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CellStyle="Table cell"/>
    <tableColumn id="4" xr3:uid="{E687E301-7097-4D98-AEE6-E06378C143BE}" name="Ausnet" dataDxfId="185" dataCellStyle="Calculation">
      <calculatedColumnFormula array="1">IFERROR(INDEX(Input_ForRateCalc[[F-CurrentVDO_InputDate]:[F-NextVDO_Input]],MATCH(Calc_ROM_2[[#This Row],[Cost item]:[Cost item]],Input_ForRateCalc[[Cost item]:[Cost item]],0),MATCH($D$244,Inputs!$H$8:$Q$8,0)),"-")</calculatedColumnFormula>
    </tableColumn>
    <tableColumn id="5" xr3:uid="{1A564FEB-91D3-41D0-938B-AF81CFA2D721}" name="Citipower" dataDxfId="184" dataCellStyle="Internal link/lookup">
      <calculatedColumnFormula array="1">IFERROR(INDEX(Input_ForRateCalc[[F-CurrentVDO_InputDate]:[F-NextVDO_Input]],MATCH(Calc_ROM_2[[#This Row],[Cost item]:[Cost item]],Input_ForRateCalc[[Cost item]:[Cost item]],0),MATCH($D$244,Inputs!$H$8:$Q$8,0)),"-")</calculatedColumnFormula>
    </tableColumn>
    <tableColumn id="6" xr3:uid="{A4210194-9161-4D9A-B76B-92DB41A3D078}" name="Jemena" dataDxfId="183" dataCellStyle="Internal link/lookup">
      <calculatedColumnFormula array="1">IFERROR(INDEX(Input_ForRateCalc[[F-CurrentVDO_InputDate]:[F-NextVDO_Input]],MATCH(Calc_ROM_2[[#This Row],[Cost item]:[Cost item]],Input_ForRateCalc[[Cost item]:[Cost item]],0),MATCH($D$244,Inputs!$H$8:$Q$8,0)),"-")</calculatedColumnFormula>
    </tableColumn>
    <tableColumn id="7" xr3:uid="{C0C4DC3C-E147-4E1D-AC30-72D37EB7845B}" name="Powercor" dataDxfId="182" dataCellStyle="Internal link/lookup">
      <calculatedColumnFormula array="1">IFERROR(INDEX(Input_ForRateCalc[[F-CurrentVDO_InputDate]:[F-NextVDO_Input]],MATCH(Calc_ROM_2[[#This Row],[Cost item]:[Cost item]],Input_ForRateCalc[[Cost item]:[Cost item]],0),MATCH($D$244,Inputs!$H$8:$Q$8,0)),"-")</calculatedColumnFormula>
    </tableColumn>
    <tableColumn id="8" xr3:uid="{E4E7EB2A-0FA6-46E9-B531-356F9F153E84}" name="United Energy" dataDxfId="181" dataCellStyle="Internal link/lookup">
      <calculatedColumnFormula array="1">IFERROR(INDEX(Input_ForRateCalc[[F-CurrentVDO_InputDate]:[F-NextVDO_Input]],MATCH(Calc_ROM_2[[#This Row],[Cost item]:[Cost item]],Input_ForRateCalc[[Cost item]:[Cost item]],0),MATCH($D$244,Inputs!$H$8:$Q$8,0)),"-")</calculatedColumnFormula>
    </tableColumn>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02:K404" totalsRowShown="0" headerRowDxfId="180" headerRowBorderDxfId="179" tableBorderDxfId="178" totalsRowBorderDxfId="177"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176" dataCellStyle="Table cell"/>
    <tableColumn id="4" xr3:uid="{2CD61C95-A6E5-4E0F-9C24-3AEBDA5C897D}" name="Ausnet" dataDxfId="175" dataCellStyle="Calculation"/>
    <tableColumn id="5" xr3:uid="{4E050103-6C8B-4305-BD73-C70DDFA3DBF5}" name="Citipower" dataDxfId="174" dataCellStyle="Calculation"/>
    <tableColumn id="6" xr3:uid="{99907E92-AD35-4E5A-9AF4-6ADEACB6628B}" name="Jemena" dataDxfId="173" dataCellStyle="Calculation"/>
    <tableColumn id="7" xr3:uid="{85CED015-2903-4856-80DE-2EF0DF32CF22}" name="Powercor" dataDxfId="172" dataCellStyle="Calculation"/>
    <tableColumn id="8" xr3:uid="{E2C17A32-6146-4155-9533-31AA75FDB328}" name="United Energy" dataDxfId="171" dataCellStyle="Calculatio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08:K415" totalsRowShown="0" headerRowDxfId="170" headerRowBorderDxfId="169" tableBorderDxfId="168" totalsRowBorderDxfId="167"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166" dataCellStyle="Table cell"/>
    <tableColumn id="4" xr3:uid="{085016C6-CD9B-499F-9379-4BAE408451BD}" name="Ausnet" dataDxfId="165" dataCellStyle="Calculation"/>
    <tableColumn id="5" xr3:uid="{D67C074D-746D-4063-961D-3BEBB731C5BF}" name="Citipower" dataDxfId="164" dataCellStyle="Calculation"/>
    <tableColumn id="6" xr3:uid="{E2A0A5AD-48B1-4C7D-B517-722AFA356FB6}" name="Jemena" dataDxfId="163" dataCellStyle="Calculation"/>
    <tableColumn id="7" xr3:uid="{F78830B5-0220-404E-AF64-292E9739DDDA}" name="Powercor" dataDxfId="162" dataCellStyle="Calculation"/>
    <tableColumn id="8" xr3:uid="{79D9B0F6-4D30-4C42-89E5-7F30342FAA5E}" name="United Energy" dataDxfId="161" dataCellStyle="Calculation"/>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20:K425" totalsRowShown="0" headerRowDxfId="160" headerRowBorderDxfId="159" tableBorderDxfId="158" totalsRowBorderDxfId="157"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156" dataCellStyle="Table cell"/>
    <tableColumn id="4" xr3:uid="{E263191F-A889-48FA-AAEA-BCE459A10C20}" name="Ausnet" dataDxfId="155" dataCellStyle="Calculation"/>
    <tableColumn id="5" xr3:uid="{E6E4BB6F-BD70-4891-95C8-F6841E10AE1F}" name="Citipower" dataDxfId="154"/>
    <tableColumn id="6" xr3:uid="{74B2C5CE-E472-453B-BE1E-199DD74C52A8}" name="Jemena" dataDxfId="153"/>
    <tableColumn id="7" xr3:uid="{BB022CED-F0B8-48AE-86ED-16EA04ED82D4}" name="Powercor" dataDxfId="152"/>
    <tableColumn id="8" xr3:uid="{37BB4DBB-2AA0-4B3B-B81D-A3BEDA786117}" name="United Energy" dataDxfId="151"/>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28:K439" totalsRowShown="0" headerRowDxfId="150" dataDxfId="148" headerRowBorderDxfId="149" tableBorderDxfId="147" totalsRowBorderDxfId="146"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145" dataCellStyle="Table cell"/>
    <tableColumn id="4" xr3:uid="{036757F4-CC3E-4CFE-BEE6-59E663C8DD43}" name="Ausnet" dataDxfId="144" dataCellStyle="Calculation">
      <calculatedColumnFormula array="1">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calculatedColumnFormula>
    </tableColumn>
    <tableColumn id="5" xr3:uid="{AE94E996-3010-41EE-98D2-09418CBEF705}" name="Citipower" dataDxfId="143" dataCellStyle="Calculation">
      <calculatedColumnFormula array="1">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calculatedColumnFormula>
    </tableColumn>
    <tableColumn id="6" xr3:uid="{C3B601D0-315D-46AC-86AD-25A56993C77D}" name="Jemena" dataDxfId="142" dataCellStyle="Calculation">
      <calculatedColumnFormula array="1">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calculatedColumnFormula>
    </tableColumn>
    <tableColumn id="7" xr3:uid="{75D9B400-5B56-4251-876D-D3B2AD0EDE08}" name="Powercor" dataDxfId="141" dataCellStyle="Calculation">
      <calculatedColumnFormula array="1">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calculatedColumnFormula>
    </tableColumn>
    <tableColumn id="8" xr3:uid="{72E976D5-6CF4-4BF4-8596-EF5DDC69965F}" name="United Energy" dataDxfId="140" dataCellStyle="Calculation">
      <calculatedColumnFormula array="1">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calculatedColumnFormula>
    </tableColum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44:K447" totalsRowShown="0" headerRowDxfId="139" headerRowBorderDxfId="138" tableBorderDxfId="137"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CellStyle="Table cell"/>
    <tableColumn id="4" xr3:uid="{809DE305-D85D-4DA6-9F81-6D2F651C2EC0}" name="Ausnet"/>
    <tableColumn id="5" xr3:uid="{ED0D7F05-C22B-4EC1-8CDE-AF6D2FD6166E}" name="Citipower"/>
    <tableColumn id="6" xr3:uid="{B4B973FC-6C95-4B31-B9D7-8BFBB8D04D0F}" name="Jemena"/>
    <tableColumn id="7" xr3:uid="{52008CB4-E4CB-481A-A36B-0E4ECF3E2C84}" name="Powercor"/>
    <tableColumn id="8" xr3:uid="{5F24B15A-3CAE-4F6C-B56E-177E8642134E}" name="United Energy"/>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50:K453" totalsRowShown="0" headerRowDxfId="136" headerRowBorderDxfId="135" tableBorderDxfId="134"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CellStyle="Table cell"/>
    <tableColumn id="4" xr3:uid="{2D68E5B7-6558-44D7-A7DD-E465C5C7F977}" name="Ausnet"/>
    <tableColumn id="5" xr3:uid="{E0249D4F-24CE-4366-AD41-D943CD45AF8A}" name="Citipower"/>
    <tableColumn id="6" xr3:uid="{05111774-1FD7-46E5-904E-F77A51A63099}" name="Jemena"/>
    <tableColumn id="7" xr3:uid="{60E0B7A4-662F-4DCA-B8BD-3A1A03F20EC4}" name="Powercor"/>
    <tableColumn id="8" xr3:uid="{BC8EA099-7982-4976-92A9-37CF7F323A04}" name="United Energy"/>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458:K461" totalsRowShown="0" headerRowDxfId="133" headerRowBorderDxfId="132" tableBorderDxfId="131" headerRowCellStyle="Table col heading" dataCellStyle="Internal link/lookup">
  <tableColumns count="9">
    <tableColumn id="1" xr3:uid="{5EDF66C7-C7F9-42E7-B17E-0A2D1BB3D8EA}" name="Cost item" dataCellStyle="Table cell"/>
    <tableColumn id="2" xr3:uid="{1DD3DB1A-FA8C-40B9-96A5-CCF273541652}" name="Fixed/Variable" dataCellStyle="Table cell"/>
    <tableColumn id="3" xr3:uid="{F4DF5AAD-28C1-430F-A85B-FE98F6BCA66F}" name="Unit" dataCellStyle="Table cell"/>
    <tableColumn id="9" xr3:uid="{39F18777-7928-4E45-A6E5-4949449D9B17}" name="Customer type" dataCellStyle="Table cell"/>
    <tableColumn id="4" xr3:uid="{72BCCABF-61A1-496B-A1F1-313913406971}" name="Ausnet" dataDxfId="130" dataCellStyle="Internal link/lookup"/>
    <tableColumn id="5" xr3:uid="{3632AAF8-9994-487F-B2AE-D91E6898616F}" name="Citipower" dataDxfId="129" dataCellStyle="Internal link/lookup"/>
    <tableColumn id="6" xr3:uid="{2D670DF7-A7E1-4815-8D99-FEBF3D8719A9}" name="Jemena" dataDxfId="128" dataCellStyle="Internal link/lookup"/>
    <tableColumn id="7" xr3:uid="{F31CC8AE-80E4-4035-B43D-29D83AB0E44B}" name="Powercor" dataDxfId="127" dataCellStyle="Internal link/lookup"/>
    <tableColumn id="8" xr3:uid="{ABB21325-49FB-44E1-9BEE-EF0B2D015359}" name="United Energy" dataDxfId="126" dataCellStyle="Internal link/lookup"/>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464:K467" totalsRowShown="0" headerRowDxfId="125" headerRowBorderDxfId="124" tableBorderDxfId="123"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CellStyle="Table cell"/>
    <tableColumn id="4" xr3:uid="{D42DF87B-2F3A-445A-A591-A957064999AE}" name="Ausnet" dataDxfId="122" dataCellStyle="Internal link/lookup"/>
    <tableColumn id="5" xr3:uid="{0D536E01-9C54-40A5-872F-7AEC6B5E5964}" name="Citipower" dataDxfId="121" dataCellStyle="Internal link/lookup"/>
    <tableColumn id="6" xr3:uid="{61156598-626D-4F85-A017-2C9888B3AD91}" name="Jemena" dataDxfId="120" dataCellStyle="Internal link/lookup"/>
    <tableColumn id="7" xr3:uid="{4EE5EB45-9330-4B64-B7A3-C08F48938D41}" name="Powercor" dataDxfId="119" dataCellStyle="Internal link/lookup"/>
    <tableColumn id="8" xr3:uid="{99C9DEB0-D84E-402A-BBDC-1CDA9A808BD7}" name="United Energy" dataDxfId="118" dataCellStyle="Internal link/lookup"/>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470:K473" totalsRowShown="0" headerRowDxfId="117" headerRowBorderDxfId="116" tableBorderDxfId="115"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CellStyle="Table cell"/>
    <tableColumn id="4" xr3:uid="{5C3D7028-D35B-4243-9BD5-803DE0C1F090}" name="Ausnet" dataDxfId="114" dataCellStyle="Internal link/lookup"/>
    <tableColumn id="5" xr3:uid="{2A46EF8F-490F-41DC-BB79-D94A9890A10A}" name="Citipower" dataDxfId="113" dataCellStyle="Internal link/lookup"/>
    <tableColumn id="6" xr3:uid="{9CEE5387-7B05-4CC5-82B7-0186B5B65A5A}" name="Jemena" dataDxfId="112" dataCellStyle="Internal link/lookup"/>
    <tableColumn id="7" xr3:uid="{81F3FABF-D50E-455F-9DE6-D4EE60D73723}" name="Powercor" dataDxfId="111" dataCellStyle="Internal link/lookup"/>
    <tableColumn id="8" xr3:uid="{B347FCC2-B745-42AC-8178-54348C53A812}" name="United Energy" dataDxfId="110" dataCellStyle="Internal link/lookup"/>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476:K477" totalsRowShown="0" headerRowDxfId="109" headerRowBorderDxfId="108" tableBorderDxfId="107" totalsRowBorderDxfId="106" headerRowCellStyle="Table col heading" dataCellStyle="Table cell">
  <tableColumns count="9">
    <tableColumn id="1" xr3:uid="{87D3B033-452C-4EAA-8C49-35E3405C2143}" name="Cost item" dataDxfId="105" dataCellStyle="Table cell"/>
    <tableColumn id="2" xr3:uid="{88359BC3-F007-4EE1-9B81-A4C460102BB2}" name="Fixed/Variable" dataDxfId="104" dataCellStyle="Table cell"/>
    <tableColumn id="3" xr3:uid="{6626E15A-F702-4BE7-A73A-E6EA86DA6540}" name="Unit" dataDxfId="103" dataCellStyle="Table cell"/>
    <tableColumn id="9" xr3:uid="{375ED3D3-A6C3-4331-B4C7-7DB2F31B8B1F}" name="Customer type" dataDxfId="102" dataCellStyle="Table cell"/>
    <tableColumn id="4" xr3:uid="{36245F65-6230-4EA2-BF7F-0CC113135C97}" name="Ausnet" dataDxfId="101" dataCellStyle="Calculation">
      <calculatedColumnFormula array="1">IFERROR(
(IFERROR(INDEX(Calc_CPI_2[[CPI uplift factor]:[CPI uplift factor]],MATCH($C477,Calc_CPI_2[[Cost item]:[Cost item]],0),1),0)+
INDEX(Input_ForRateCalc[[F-CurrentVDO_InputDate]:[F-NextVDO_Input]],MATCH(Calc_FiT_2[[#This Row],[Cost item]:[Cost item]],Input_ForRateCalc[[Cost item]:[Cost item]],0),MATCH($D$244,Inputs!$H$8:$Q$8,0))),"-")</calculatedColumnFormula>
    </tableColumn>
    <tableColumn id="5" xr3:uid="{CA2D09F7-DE00-4523-8ABA-06C29613DAF0}" name="Citipower" dataDxfId="100" dataCellStyle="Calculation">
      <calculatedColumnFormula array="1">IFERROR(
(IFERROR(INDEX(Calc_CPI_2[[CPI uplift factor]:[CPI uplift factor]],MATCH($C477,Calc_CPI_2[[Cost item]:[Cost item]],0),1),0)+
INDEX(Input_ForRateCalc[[F-CurrentVDO_InputDate]:[F-NextVDO_Input]],MATCH(Calc_FiT_2[[#This Row],[Cost item]:[Cost item]],Input_ForRateCalc[[Cost item]:[Cost item]],0),MATCH($D$244,Inputs!$H$8:$Q$8,0))),"-")</calculatedColumnFormula>
    </tableColumn>
    <tableColumn id="6" xr3:uid="{2815AC9D-D500-4E33-A24F-57B0B3A74BA5}" name="Jemena" dataDxfId="99" dataCellStyle="Calculation">
      <calculatedColumnFormula array="1">IFERROR(
(IFERROR(INDEX(Calc_CPI_2[[CPI uplift factor]:[CPI uplift factor]],MATCH($C477,Calc_CPI_2[[Cost item]:[Cost item]],0),1),0)+
INDEX(Input_ForRateCalc[[F-CurrentVDO_InputDate]:[F-NextVDO_Input]],MATCH(Calc_FiT_2[[#This Row],[Cost item]:[Cost item]],Input_ForRateCalc[[Cost item]:[Cost item]],0),MATCH($D$244,Inputs!$H$8:$Q$8,0))),"-")</calculatedColumnFormula>
    </tableColumn>
    <tableColumn id="7" xr3:uid="{F06523DB-0763-4ABE-944B-6D5B8C4BAA9D}" name="Powercor" dataDxfId="98" dataCellStyle="Calculation">
      <calculatedColumnFormula array="1">IFERROR(
(IFERROR(INDEX(Calc_CPI_2[[CPI uplift factor]:[CPI uplift factor]],MATCH($C477,Calc_CPI_2[[Cost item]:[Cost item]],0),1),0)+
INDEX(Input_ForRateCalc[[F-CurrentVDO_InputDate]:[F-NextVDO_Input]],MATCH(Calc_FiT_2[[#This Row],[Cost item]:[Cost item]],Input_ForRateCalc[[Cost item]:[Cost item]],0),MATCH($D$244,Inputs!$H$8:$Q$8,0))),"-")</calculatedColumnFormula>
    </tableColumn>
    <tableColumn id="8" xr3:uid="{FE932EEE-12EB-40EF-9237-94951095FD12}" name="United Energy" dataDxfId="97" dataCellStyle="Calculation">
      <calculatedColumnFormula array="1">IFERROR(
(IFERROR(INDEX(Calc_CPI_2[[CPI uplift factor]:[CPI uplift factor]],MATCH($C477,Calc_CPI_2[[Cost item]:[Cost item]],0),1),0)+
INDEX(Input_ForRateCalc[[F-CurrentVDO_InputDate]:[F-NextVDO_Input]],MATCH(Calc_FiT_2[[#This Row],[Cost item]:[Cost item]],Input_ForRateCalc[[Cost item]:[Cost item]],0),MATCH($D$244,Inputs!$H$8:$Q$8,0))),"-")</calculatedColumnFormula>
    </tableColumn>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48:K252" totalsRowShown="0" headerRowDxfId="96" dataDxfId="94" headerRowBorderDxfId="95" tableBorderDxfId="93" totalsRowBorderDxfId="92"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91" dataCellStyle="Calculation"/>
    <tableColumn id="6" xr3:uid="{6CBEE716-3155-4B4C-AF50-A4352518DBD3}" name="Citipower" dataDxfId="90" dataCellStyle="Calculation"/>
    <tableColumn id="7" xr3:uid="{F520C065-E9F5-4EDB-8DA0-EBF051D23BA5}" name="Jemena" dataDxfId="89" dataCellStyle="Calculation"/>
    <tableColumn id="8" xr3:uid="{D9BCCDE5-85BC-4D9C-9B03-D4A1BA943D08}" name="Powercor" dataDxfId="88" dataCellStyle="Calculation"/>
    <tableColumn id="9" xr3:uid="{7F674C9A-9F59-4BC3-B55A-1EF91EB24F45}" name="United Energy" dataDxfId="87" dataCellStyle="Calculation"/>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289:K295" totalsRowShown="0" headerRowDxfId="86" dataDxfId="84" headerRowBorderDxfId="85" tableBorderDxfId="83" totalsRowBorderDxfId="82"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81" dataCellStyle="Calculation">
      <calculatedColumnFormula>SUMIFS(Calc_NetworkV_1[Ausnet],Calc_NetworkV_1[[Cost item]:[Cost item]],$C290,Calc_NetworkV_1[[Customer type]:[Customer type]],$F290)</calculatedColumnFormula>
    </tableColumn>
    <tableColumn id="6" xr3:uid="{847207F5-00A7-4B3E-AEB3-B65DA23D2D91}" name="Citipower" dataDxfId="80" dataCellStyle="Calculation">
      <calculatedColumnFormula>SUMIFS(Calc_NetworkV_1[Citipower],Calc_NetworkV_1[[Cost item]:[Cost item]],$C290,Calc_NetworkV_1[[Customer type]:[Customer type]],$F290)</calculatedColumnFormula>
    </tableColumn>
    <tableColumn id="7" xr3:uid="{0C1FD2BC-AE5F-4E00-AC3A-28398FA94E09}" name="Jemena" dataDxfId="79" dataCellStyle="Calculation">
      <calculatedColumnFormula>SUMIFS(Calc_NetworkV_1[Jemena],Calc_NetworkV_1[[Cost item]:[Cost item]],$C290,Calc_NetworkV_1[[Customer type]:[Customer type]],$F290)</calculatedColumnFormula>
    </tableColumn>
    <tableColumn id="8" xr3:uid="{E174452F-B3A9-4A57-BB2E-7C173F27A50E}" name="Powercor" dataDxfId="78" dataCellStyle="Calculation">
      <calculatedColumnFormula>SUMIFS(Calc_NetworkV_1[Powercor],Calc_NetworkV_1[[Cost item]:[Cost item]],$C290,Calc_NetworkV_1[[Customer type]:[Customer type]],$F290)</calculatedColumnFormula>
    </tableColumn>
    <tableColumn id="9" xr3:uid="{141CD577-64AA-4FBA-A116-0412EB02F72E}" name="United Energy" dataDxfId="77" dataCellStyle="Calculation">
      <calculatedColumnFormula>SUMIFS(Calc_NetworkV_1[United Energy],Calc_NetworkV_1[[Cost item]:[Cost item]],$C290,Calc_NetworkV_1[[Customer type]:[Customer type]],$F290)</calculatedColumnFormula>
    </tableColumn>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8:J16" totalsRowShown="0" headerRowDxfId="76" headerRowBorderDxfId="75" tableBorderDxfId="74" headerRowCellStyle="Table col heading" dataCellStyle="Internal link/lookup">
  <tableColumns count="8">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5" xr3:uid="{9CB4A5E8-F8B3-45A6-9942-EC4FC685C94A}" name="Ausnet" dataDxfId="73" dataCellStyle="Internal link/lookup">
      <calculatedColumnFormula>IF(SUMIFS(Calc_Rates!G$62:G$135,Calc_Rates!$C$62:$C$135,OP_Rates!$C9,Calc_Rates!$F$62:$F$135,OP_Rates!$E9)=0,"-",SUMIFS(Calc_Rates!G$62:G$135,Calc_Rates!$C$62:$C$135,OP_Rates!$C9,Calc_Rates!$F$62:$F$135,OP_Rates!$E9))</calculatedColumnFormula>
    </tableColumn>
    <tableColumn id="6" xr3:uid="{669EA234-B896-4973-A45B-9E0DF7CF06BA}" name="Citipower" dataDxfId="72" dataCellStyle="Internal link/lookup">
      <calculatedColumnFormula>IF(SUMIFS(Calc_Rates!H$62:H$135,Calc_Rates!$C$62:$C$135,OP_Rates!$C9,Calc_Rates!$F$62:$F$135,OP_Rates!$E9)=0,"-",SUMIFS(Calc_Rates!H$62:H$135,Calc_Rates!$C$62:$C$135,OP_Rates!$C9,Calc_Rates!$F$62:$F$135,OP_Rates!$E9))</calculatedColumnFormula>
    </tableColumn>
    <tableColumn id="7" xr3:uid="{B77A7A81-62E1-4C8C-AE91-1162A78C6068}" name="Jemena" dataDxfId="71" dataCellStyle="Internal link/lookup">
      <calculatedColumnFormula>IF(SUMIFS(Calc_Rates!I$62:I$135,Calc_Rates!$C$62:$C$135,OP_Rates!$C9,Calc_Rates!$F$62:$F$135,OP_Rates!$E9)=0,"-",SUMIFS(Calc_Rates!I$62:I$135,Calc_Rates!$C$62:$C$135,OP_Rates!$C9,Calc_Rates!$F$62:$F$135,OP_Rates!$E9))</calculatedColumnFormula>
    </tableColumn>
    <tableColumn id="8" xr3:uid="{A1C2027B-3C88-4875-88CB-ACD29E96093E}" name="Powercor" dataDxfId="70" dataCellStyle="Internal link/lookup">
      <calculatedColumnFormula>IF(SUMIFS(Calc_Rates!J$62:J$135,Calc_Rates!$C$62:$C$135,OP_Rates!$C9,Calc_Rates!$F$62:$F$135,OP_Rates!$E9)=0,"-",SUMIFS(Calc_Rates!J$62:J$135,Calc_Rates!$C$62:$C$135,OP_Rates!$C9,Calc_Rates!$F$62:$F$135,OP_Rates!$E9))</calculatedColumnFormula>
    </tableColumn>
    <tableColumn id="9" xr3:uid="{FD9385BF-8187-449D-8F2C-5C88233245B6}" name="United Energy" dataDxfId="69" dataCellStyle="Internal link/lookup">
      <calculatedColumnFormula>IF(SUMIFS(Calc_Rates!K$62:K$135,Calc_Rates!$C$62:$C$135,OP_Rates!$C9,Calc_Rates!$F$62:$F$135,OP_Rates!$E9)=0,"-",SUMIFS(Calc_Rates!K$62:K$135,Calc_Rates!$C$62:$C$135,OP_Rates!$C9,Calc_Rates!$F$62:$F$135,OP_Rates!$E9))</calculatedColumnFormula>
    </tableColumn>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L8:S16" totalsRowShown="0" headerRowDxfId="68" headerRowBorderDxfId="67" tableBorderDxfId="66" headerRowCellStyle="Table col heading" dataCellStyle="Internal link/lookup">
  <tableColumns count="8">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5" xr3:uid="{F1DF3EB2-65A6-4DE4-95FA-10252DB899BE}" name="Ausnet" dataDxfId="65" dataCellStyle="Internal link/lookup">
      <calculatedColumnFormula>IF(SUMIFS(Calc_Rates!G$62:G$135,Calc_Rates!$C$62:$C$135,OP_Rates!$L9,Calc_Rates!$F$62:$F$135,OP_Rates!$N9)=0,"-",SUMIFS(Calc_Rates!G$62:G$135,Calc_Rates!$C$62:$C$135,OP_Rates!$L9,Calc_Rates!$F$62:$F$135,OP_Rates!$N9))</calculatedColumnFormula>
    </tableColumn>
    <tableColumn id="6" xr3:uid="{D03672B6-E990-42AC-A5B0-852970523C84}" name="Citipower" dataDxfId="64" dataCellStyle="Internal link/lookup">
      <calculatedColumnFormula>IF(SUMIFS(Calc_Rates!H$62:H$135,Calc_Rates!$C$62:$C$135,OP_Rates!$L9,Calc_Rates!$F$62:$F$135,OP_Rates!$N9)=0,"-",SUMIFS(Calc_Rates!H$62:H$135,Calc_Rates!$C$62:$C$135,OP_Rates!$L9,Calc_Rates!$F$62:$F$135,OP_Rates!$N9))</calculatedColumnFormula>
    </tableColumn>
    <tableColumn id="7" xr3:uid="{0963EA57-64B0-42D0-8E54-91364C6BB07D}" name="Jemena" dataDxfId="63" dataCellStyle="Internal link/lookup">
      <calculatedColumnFormula>IF(SUMIFS(Calc_Rates!I$62:I$135,Calc_Rates!$C$62:$C$135,OP_Rates!$L9,Calc_Rates!$F$62:$F$135,OP_Rates!$N9)=0,"-",SUMIFS(Calc_Rates!I$62:I$135,Calc_Rates!$C$62:$C$135,OP_Rates!$L9,Calc_Rates!$F$62:$F$135,OP_Rates!$N9))</calculatedColumnFormula>
    </tableColumn>
    <tableColumn id="8" xr3:uid="{FA086775-EDB3-437E-98E2-743CF43E2CD6}" name="Powercor" dataDxfId="62" dataCellStyle="Internal link/lookup">
      <calculatedColumnFormula>IF(SUMIFS(Calc_Rates!J$62:J$135,Calc_Rates!$C$62:$C$135,OP_Rates!$L9,Calc_Rates!$F$62:$F$135,OP_Rates!$N9)=0,"-",SUMIFS(Calc_Rates!J$62:J$135,Calc_Rates!$C$62:$C$135,OP_Rates!$L9,Calc_Rates!$F$62:$F$135,OP_Rates!$N9))</calculatedColumnFormula>
    </tableColumn>
    <tableColumn id="9" xr3:uid="{BD89ACA8-91CC-445D-A6A8-D18D25F8F791}" name="United Energy" dataDxfId="61" dataCellStyle="Internal link/lookup">
      <calculatedColumnFormula>IF(SUMIFS(Calc_Rates!K$62:K$135,Calc_Rates!$C$62:$C$135,OP_Rates!$L9,Calc_Rates!$F$62:$F$135,OP_Rates!$N9)=0,"-",SUMIFS(Calc_Rates!K$62:K$135,Calc_Rates!$C$62:$C$135,OP_Rates!$L9,Calc_Rates!$F$62:$F$135,OP_Rates!$N9))</calculatedColumnFormula>
    </tableColumn>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33:J41" totalsRowShown="0" headerRowDxfId="60" headerRowBorderDxfId="59" tableBorderDxfId="58" headerRowCellStyle="Table col heading" dataCellStyle="Internal link/lookup">
  <tableColumns count="8">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5" xr3:uid="{A01E3015-10DD-4402-9C8C-004F533C0307}" name="Ausnet" dataDxfId="57" dataCellStyle="Internal link/lookup">
      <calculatedColumnFormula>IF(SUMIFS(Calc_Rates!G$62:G$135,Calc_Rates!$C$62:$C$135,OP_Rates!$C34,Calc_Rates!$F$62:$F$135,OP_Rates!$E34)=0,"-",SUMIFS(Calc_Rates!G$62:G$135,Calc_Rates!$C$62:$C$135,OP_Rates!$C34,Calc_Rates!$F$62:$F$135,OP_Rates!$E34))</calculatedColumnFormula>
    </tableColumn>
    <tableColumn id="6" xr3:uid="{DCD1340B-8D59-43A1-99C0-DAB67D15E969}" name="Citipower" dataDxfId="56" dataCellStyle="Internal link/lookup">
      <calculatedColumnFormula>IF(SUMIFS(Calc_Rates!H$62:H$135,Calc_Rates!$C$62:$C$135,OP_Rates!$C34,Calc_Rates!$F$62:$F$135,OP_Rates!$E34)=0,"-",SUMIFS(Calc_Rates!H$62:H$135,Calc_Rates!$C$62:$C$135,OP_Rates!$C34,Calc_Rates!$F$62:$F$135,OP_Rates!$E34))</calculatedColumnFormula>
    </tableColumn>
    <tableColumn id="7" xr3:uid="{B04CCA25-39DB-491F-BEA7-EFA7273E728A}" name="Jemena" dataDxfId="55" dataCellStyle="Internal link/lookup">
      <calculatedColumnFormula>IF(SUMIFS(Calc_Rates!I$62:I$135,Calc_Rates!$C$62:$C$135,OP_Rates!$C34,Calc_Rates!$F$62:$F$135,OP_Rates!$E34)=0,"-",SUMIFS(Calc_Rates!I$62:I$135,Calc_Rates!$C$62:$C$135,OP_Rates!$C34,Calc_Rates!$F$62:$F$135,OP_Rates!$E34))</calculatedColumnFormula>
    </tableColumn>
    <tableColumn id="8" xr3:uid="{C71DCC1C-CCB0-40E6-96E6-F5CDADD8B122}" name="Powercor" dataDxfId="54" dataCellStyle="Internal link/lookup">
      <calculatedColumnFormula>IF(SUMIFS(Calc_Rates!J$62:J$135,Calc_Rates!$C$62:$C$135,OP_Rates!$C34,Calc_Rates!$F$62:$F$135,OP_Rates!$E34)=0,"-",SUMIFS(Calc_Rates!J$62:J$135,Calc_Rates!$C$62:$C$135,OP_Rates!$C34,Calc_Rates!$F$62:$F$135,OP_Rates!$E34))</calculatedColumnFormula>
    </tableColumn>
    <tableColumn id="9" xr3:uid="{0B2E8CE8-F4F9-4846-83C4-FD2DFABC3C97}" name="United Energy" dataDxfId="53" dataCellStyle="Internal link/lookup">
      <calculatedColumnFormula>IF(SUMIFS(Calc_Rates!K$62:K$135,Calc_Rates!$C$62:$C$135,OP_Rates!$C34,Calc_Rates!$F$62:$F$135,OP_Rates!$E34)=0,"-",SUMIFS(Calc_Rates!K$62:K$135,Calc_Rates!$C$62:$C$135,OP_Rates!$C34,Calc_Rates!$F$62:$F$135,OP_Rates!$E34))</calculatedColumnFormula>
    </tableColumn>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L33:S41" totalsRowShown="0" headerRowDxfId="52" headerRowBorderDxfId="51" tableBorderDxfId="50" headerRowCellStyle="Table col heading" dataCellStyle="Internal link/lookup">
  <tableColumns count="8">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5" xr3:uid="{E1BD715C-539D-44A0-B07A-26372BFE7814}" name="Ausnet" dataDxfId="49" dataCellStyle="Internal link/lookup">
      <calculatedColumnFormula>IF(SUMIFS(Calc_Rates!G$62:G$135,Calc_Rates!$C$62:$C$135,OP_Rates!$L34,Calc_Rates!$F$62:$F$135,OP_Rates!$N34)=0,"-",SUMIFS(Calc_Rates!G$62:G$135,Calc_Rates!$C$62:$C$135,OP_Rates!$L34,Calc_Rates!$F$62:$F$135,OP_Rates!$N34))</calculatedColumnFormula>
    </tableColumn>
    <tableColumn id="6" xr3:uid="{DD804863-CB84-4F97-A3F4-DA8AA3710A39}" name="Citipower" dataDxfId="48" dataCellStyle="Internal link/lookup"/>
    <tableColumn id="7" xr3:uid="{C21B25A8-D01D-48E4-9F05-9CE92DF68805}" name="Jemena" dataDxfId="47" dataCellStyle="Internal link/lookup"/>
    <tableColumn id="8" xr3:uid="{29D436D3-A10E-420D-BA0A-B4F3748975DA}" name="Powercor" dataDxfId="46" dataCellStyle="Internal link/lookup"/>
    <tableColumn id="9" xr3:uid="{1952C4E9-7E24-444C-A20B-0F52828AE40D}" name="United Energy" dataDxfId="45" dataCellStyle="Internal link/lookup"/>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9:I12" totalsRowShown="0" headerRowDxfId="44" headerRowBorderDxfId="43" tableBorderDxfId="42" totalsRowBorderDxfId="41" headerRowCellStyle="Table col heading">
  <tableColumns count="7">
    <tableColumn id="1" xr3:uid="{84FEBB47-56AD-49B3-9311-BA71F8AEC495}" name="Customer type"/>
    <tableColumn id="2" xr3:uid="{AC9F98FB-8140-41C9-84B7-22980FC208CE}" name="Usage profile"/>
    <tableColumn id="3" xr3:uid="{A389BDD1-8970-442A-9855-389673EB38C0}" name="Ausnet">
      <calculatedColumnFormula>IFERROR(
IF($D$7="VDO 2021 - Final",
ROUNDUP(
(INDEX(OP_Rates_RES_1[[Ausnet]:[United Energy]],MATCH("Anytime - supply charge",OP_Rates_RES_1[Rate name],0),MATCH(OP_CMAB!E$9,OP_Rates_RES_1[[#Headers],[Ausnet]:[United Energy]],0))*DiY)+
(IFERROR((INDEX(OP_Rates_RES_1[[Ausnet]:[United Energy]],MATCH("Anytime - Block 1 charge",OP_Rates_RES_1[Rate name],0),MATCH(OP_CMAB!E$9,OP_Rates_RES_1[[#Headers],[Ausnet]:[United Energy]],0))*
INDEX(Input_UsageAnytime[[F-CurrentVDO]:[F-NextVDO]],MATCH(OP_CMAB!$D10&amp;" - Block 1",Input_UsageAnytime[Ref],0),MATCH(OP_CMAB!$D$7,Inputs!$I$129:$M$129,0))),0)+
IFERROR((INDEX(OP_Rates_RES_1[[Ausnet]:[United Energy]],MATCH("Anytime - Balance charge",OP_Rates_RES_1[Rate name],0),MATCH(OP_CMAB!E$9,OP_Rates_RES_1[[#Headers],[Ausnet]:[United Energy]],0))*
INDEX(Input_UsageAnytime[[F-CurrentVDO]:[F-NextVDO]],MATCH(OP_CMAB!$D10&amp;" - Balance",Input_UsageAnytime[Ref],0),MATCH(OP_CMAB!$D$7,Inputs!$I$129:$M$129,0))),0)+
IFERROR((INDEX(OP_Rates_RES_1[[Ausnet]:[United Energy]],MATCH("Anytime - Single rate charge",OP_Rates_RES_1[Rate name],0),MATCH(OP_CMAB!E$9,OP_Rates_RES_1[[#Headers],[Ausnet]:[United Energy]],0))*
INDEX(Input_UsageAnytime[[F-CurrentVDO]:[F-NextVDO]],MATCH(OP_CMAB!$D10&amp;" - Annual",Input_UsageAnytime[Ref],0),MATCH(OP_CMAB!$D$7,Inputs!$I$129:$M$129,0))),0)),0),
ROUNDUP(
(INDEX(OP_Rates_RES_1[[Ausnet]:[United Energy]],MATCH("TOU - supply charge",OP_Rates_RES_1[Rate name],0),MATCH(OP_CMAB!E$9,OP_Rates_RES_1[[#Headers],[Ausnet]:[United Energy]],0))*DiY)+
(INDEX(OP_Rates_RES_1[[Ausnet]:[United Energy]],MATCH("TOU - Peak charge",OP_Rates_RES_1[Rate name],0),MATCH(OP_CMAB!E$9,OP_Rates_RES_1[[#Headers],[Ausnet]:[United Energy]],0))*
INDEX(Input_UsageTOU[[F-CurrentVDO]:[F-NextVDO]],MATCH($D10&amp;" - Peak",Input_UsageTOU[Ref],0),MATCH($D$7,Inputs!$I$155:$M$155,0)))+
IFERROR((INDEX(OP_Rates_RES_1[[Ausnet]:[United Energy]],MATCH("TOU - Shoulder charge",OP_Rates_RES_1[Rate name],0),MATCH(OP_CMAB!E$9,OP_Rates_RES_1[[#Headers],[Ausnet]:[United Energy]],0))*
INDEX(Input_UsageTOU[[F-CurrentVDO]:[F-NextVDO]],MATCH($D10&amp;" - Shoulder",Input_UsageTOU[Ref],0),MATCH($D$7,Inputs!$I$155:$M$155,0))),0)+
(INDEX(OP_Rates_RES_1[[Ausnet]:[United Energy]],MATCH("TOU - Off peak charge",OP_Rates_RES_1[Rate name],0),MATCH(OP_CMAB!E$9,OP_Rates_RES_1[[#Headers],[Ausnet]:[United Energy]],0))*
INDEX(Input_UsageTOU[[F-CurrentVDO]:[F-NextVDO]],MATCH($D10&amp;" - Off-peak",Input_UsageTOU[Ref],0),MATCH($D$7,Inputs!$I$155:$M$155,0))),0)),"-")</calculatedColumnFormula>
    </tableColumn>
    <tableColumn id="4" xr3:uid="{BA39D082-53B0-4996-8C75-52452724B87F}" name="Citipower">
      <calculatedColumnFormula>IFERROR(
IF($D$7="VDO 2021 - Final",
ROUNDUP(
(INDEX(OP_Rates_RES_1[[Ausnet]:[United Energy]],MATCH("Anytime - supply charge",OP_Rates_RES_1[Rate name],0),MATCH(OP_CMAB!F$9,OP_Rates_RES_1[[#Headers],[Ausnet]:[United Energy]],0))*DiY)+
(IFERROR((INDEX(OP_Rates_RES_1[[Ausnet]:[United Energy]],MATCH("Anytime - Block 1 charge",OP_Rates_RES_1[Rate name],0),MATCH(OP_CMAB!F$9,OP_Rates_RES_1[[#Headers],[Ausnet]:[United Energy]],0))*
INDEX(Input_UsageAnytime[[F-CurrentVDO]:[F-NextVDO]],MATCH(OP_CMAB!$D10&amp;" - Block 1",Input_UsageAnytime[Ref],0),MATCH(OP_CMAB!$D$7,Inputs!$I$129:$M$129,0))),0)+
IFERROR((INDEX(OP_Rates_RES_1[[Ausnet]:[United Energy]],MATCH("Anytime - Balance charge",OP_Rates_RES_1[Rate name],0),MATCH(OP_CMAB!F$9,OP_Rates_RES_1[[#Headers],[Ausnet]:[United Energy]],0))*
INDEX(Input_UsageAnytime[[F-CurrentVDO]:[F-NextVDO]],MATCH(OP_CMAB!$D10&amp;" - Balance",Input_UsageAnytime[Ref],0),MATCH(OP_CMAB!$D$7,Inputs!$I$129:$M$129,0))),0)+
IFERROR((INDEX(OP_Rates_RES_1[[Ausnet]:[United Energy]],MATCH("Anytime - Single rate charge",OP_Rates_RES_1[Rate name],0),MATCH(OP_CMAB!F$9,OP_Rates_RES_1[[#Headers],[Ausnet]:[United Energy]],0))*
INDEX(Input_UsageAnytime[[F-CurrentVDO]:[F-NextVDO]],MATCH(OP_CMAB!$D10&amp;" - Annual",Input_UsageAnytime[Ref],0),MATCH(OP_CMAB!$D$7,Inputs!$I$129:$M$129,0))),0)),0),
ROUNDUP(
(INDEX(OP_Rates_RES_1[[Ausnet]:[United Energy]],MATCH("TOU - supply charge",OP_Rates_RES_1[Rate name],0),MATCH(OP_CMAB!F$9,OP_Rates_RES_1[[#Headers],[Ausnet]:[United Energy]],0))*DiY)+
(INDEX(OP_Rates_RES_1[[Ausnet]:[United Energy]],MATCH("TOU - Peak charge",OP_Rates_RES_1[Rate name],0),MATCH(OP_CMAB!F$9,OP_Rates_RES_1[[#Headers],[Ausnet]:[United Energy]],0))*
INDEX(Input_UsageTOU[[F-CurrentVDO]:[F-NextVDO]],MATCH($D10&amp;" - Peak",Input_UsageTOU[Ref],0),MATCH($D$7,Inputs!$I$155:$M$155,0)))+
IFERROR((INDEX(OP_Rates_RES_1[[Ausnet]:[United Energy]],MATCH("TOU - Shoulder charge",OP_Rates_RES_1[Rate name],0),MATCH(OP_CMAB!F$9,OP_Rates_RES_1[[#Headers],[Ausnet]:[United Energy]],0))*
INDEX(Input_UsageTOU[[F-CurrentVDO]:[F-NextVDO]],MATCH($D10&amp;" - Shoulder",Input_UsageTOU[Ref],0),MATCH($D$7,Inputs!$I$155:$M$155,0))),0)+
(INDEX(OP_Rates_RES_1[[Ausnet]:[United Energy]],MATCH("TOU - Off peak charge",OP_Rates_RES_1[Rate name],0),MATCH(OP_CMAB!F$9,OP_Rates_RES_1[[#Headers],[Ausnet]:[United Energy]],0))*
INDEX(Input_UsageTOU[[F-CurrentVDO]:[F-NextVDO]],MATCH($D10&amp;" - Off-peak",Input_UsageTOU[Ref],0),MATCH($D$7,Inputs!$I$155:$M$155,0))),0)),"-")</calculatedColumnFormula>
    </tableColumn>
    <tableColumn id="5" xr3:uid="{282AD3F8-3333-43B4-86C8-A1CA8ED95F00}" name="Jemena">
      <calculatedColumnFormula>IFERROR(
IF($D$7="VDO 2021 - Final",
ROUNDUP(
(INDEX(OP_Rates_RES_1[[Ausnet]:[United Energy]],MATCH("Anytime - supply charge",OP_Rates_RES_1[Rate name],0),MATCH(OP_CMAB!G$9,OP_Rates_RES_1[[#Headers],[Ausnet]:[United Energy]],0))*DiY)+
(IFERROR((INDEX(OP_Rates_RES_1[[Ausnet]:[United Energy]],MATCH("Anytime - Block 1 charge",OP_Rates_RES_1[Rate name],0),MATCH(OP_CMAB!G$9,OP_Rates_RES_1[[#Headers],[Ausnet]:[United Energy]],0))*
INDEX(Input_UsageAnytime[[F-CurrentVDO]:[F-NextVDO]],MATCH(OP_CMAB!$D10&amp;" - Block 1",Input_UsageAnytime[Ref],0),MATCH(OP_CMAB!$D$7,Inputs!$I$129:$M$129,0))),0)+
IFERROR((INDEX(OP_Rates_RES_1[[Ausnet]:[United Energy]],MATCH("Anytime - Balance charge",OP_Rates_RES_1[Rate name],0),MATCH(OP_CMAB!G$9,OP_Rates_RES_1[[#Headers],[Ausnet]:[United Energy]],0))*
INDEX(Input_UsageAnytime[[F-CurrentVDO]:[F-NextVDO]],MATCH(OP_CMAB!$D10&amp;" - Balance",Input_UsageAnytime[Ref],0),MATCH(OP_CMAB!$D$7,Inputs!$I$129:$M$129,0))),0)+
IFERROR((INDEX(OP_Rates_RES_1[[Ausnet]:[United Energy]],MATCH("Anytime - Single rate charge",OP_Rates_RES_1[Rate name],0),MATCH(OP_CMAB!G$9,OP_Rates_RES_1[[#Headers],[Ausnet]:[United Energy]],0))*
INDEX(Input_UsageAnytime[[F-CurrentVDO]:[F-NextVDO]],MATCH(OP_CMAB!$D10&amp;" - Annual",Input_UsageAnytime[Ref],0),MATCH(OP_CMAB!$D$7,Inputs!$I$129:$M$129,0))),0)),0),
ROUNDUP(
(INDEX(OP_Rates_RES_1[[Ausnet]:[United Energy]],MATCH("TOU - supply charge",OP_Rates_RES_1[Rate name],0),MATCH(OP_CMAB!G$9,OP_Rates_RES_1[[#Headers],[Ausnet]:[United Energy]],0))*DiY)+
(INDEX(OP_Rates_RES_1[[Ausnet]:[United Energy]],MATCH("TOU - Peak charge",OP_Rates_RES_1[Rate name],0),MATCH(OP_CMAB!G$9,OP_Rates_RES_1[[#Headers],[Ausnet]:[United Energy]],0))*
INDEX(Input_UsageTOU[[F-CurrentVDO]:[F-NextVDO]],MATCH($D10&amp;" - Peak",Input_UsageTOU[Ref],0),MATCH($D$7,Inputs!$I$155:$M$155,0)))+
IFERROR((INDEX(OP_Rates_RES_1[[Ausnet]:[United Energy]],MATCH("TOU - Shoulder charge",OP_Rates_RES_1[Rate name],0),MATCH(OP_CMAB!G$9,OP_Rates_RES_1[[#Headers],[Ausnet]:[United Energy]],0))*
INDEX(Input_UsageTOU[[F-CurrentVDO]:[F-NextVDO]],MATCH($D10&amp;" - Shoulder",Input_UsageTOU[Ref],0),MATCH($D$7,Inputs!$I$155:$M$155,0))),0)+
(INDEX(OP_Rates_RES_1[[Ausnet]:[United Energy]],MATCH("TOU - Off peak charge",OP_Rates_RES_1[Rate name],0),MATCH(OP_CMAB!G$9,OP_Rates_RES_1[[#Headers],[Ausnet]:[United Energy]],0))*
INDEX(Input_UsageTOU[[F-CurrentVDO]:[F-NextVDO]],MATCH($D10&amp;" - Off-peak",Input_UsageTOU[Ref],0),MATCH($D$7,Inputs!$I$155:$M$155,0))),0)),"-")</calculatedColumnFormula>
    </tableColumn>
    <tableColumn id="6" xr3:uid="{8787BD47-D93F-4B34-86AA-1295F8CA6ECE}" name="Powercor">
      <calculatedColumnFormula>IFERROR(
IF($D$7="VDO 2021 - Final",
ROUNDUP(
(INDEX(OP_Rates_RES_1[[Ausnet]:[United Energy]],MATCH("Anytime - supply charge",OP_Rates_RES_1[Rate name],0),MATCH(OP_CMAB!H$9,OP_Rates_RES_1[[#Headers],[Ausnet]:[United Energy]],0))*DiY)+
(IFERROR((INDEX(OP_Rates_RES_1[[Ausnet]:[United Energy]],MATCH("Anytime - Block 1 charge",OP_Rates_RES_1[Rate name],0),MATCH(OP_CMAB!H$9,OP_Rates_RES_1[[#Headers],[Ausnet]:[United Energy]],0))*
INDEX(Input_UsageAnytime[[F-CurrentVDO]:[F-NextVDO]],MATCH(OP_CMAB!$D10&amp;" - Block 1",Input_UsageAnytime[Ref],0),MATCH(OP_CMAB!$D$7,Inputs!$I$129:$M$129,0))),0)+
IFERROR((INDEX(OP_Rates_RES_1[[Ausnet]:[United Energy]],MATCH("Anytime - Balance charge",OP_Rates_RES_1[Rate name],0),MATCH(OP_CMAB!H$9,OP_Rates_RES_1[[#Headers],[Ausnet]:[United Energy]],0))*
INDEX(Input_UsageAnytime[[F-CurrentVDO]:[F-NextVDO]],MATCH(OP_CMAB!$D10&amp;" - Balance",Input_UsageAnytime[Ref],0),MATCH(OP_CMAB!$D$7,Inputs!$I$129:$M$129,0))),0)+
IFERROR((INDEX(OP_Rates_RES_1[[Ausnet]:[United Energy]],MATCH("Anytime - Single rate charge",OP_Rates_RES_1[Rate name],0),MATCH(OP_CMAB!H$9,OP_Rates_RES_1[[#Headers],[Ausnet]:[United Energy]],0))*
INDEX(Input_UsageAnytime[[F-CurrentVDO]:[F-NextVDO]],MATCH(OP_CMAB!$D10&amp;" - Annual",Input_UsageAnytime[Ref],0),MATCH(OP_CMAB!$D$7,Inputs!$I$129:$M$129,0))),0)),0),
ROUNDUP(
(INDEX(OP_Rates_RES_1[[Ausnet]:[United Energy]],MATCH("TOU - supply charge",OP_Rates_RES_1[Rate name],0),MATCH(OP_CMAB!H$9,OP_Rates_RES_1[[#Headers],[Ausnet]:[United Energy]],0))*DiY)+
(INDEX(OP_Rates_RES_1[[Ausnet]:[United Energy]],MATCH("TOU - Peak charge",OP_Rates_RES_1[Rate name],0),MATCH(OP_CMAB!H$9,OP_Rates_RES_1[[#Headers],[Ausnet]:[United Energy]],0))*
INDEX(Input_UsageTOU[[F-CurrentVDO]:[F-NextVDO]],MATCH($D10&amp;" - Peak",Input_UsageTOU[Ref],0),MATCH($D$7,Inputs!$I$155:$M$155,0)))+
IFERROR((INDEX(OP_Rates_RES_1[[Ausnet]:[United Energy]],MATCH("TOU - Shoulder charge",OP_Rates_RES_1[Rate name],0),MATCH(OP_CMAB!H$9,OP_Rates_RES_1[[#Headers],[Ausnet]:[United Energy]],0))*
INDEX(Input_UsageTOU[[F-CurrentVDO]:[F-NextVDO]],MATCH($D10&amp;" - Shoulder",Input_UsageTOU[Ref],0),MATCH($D$7,Inputs!$I$155:$M$155,0))),0)+
(INDEX(OP_Rates_RES_1[[Ausnet]:[United Energy]],MATCH("TOU - Off peak charge",OP_Rates_RES_1[Rate name],0),MATCH(OP_CMAB!H$9,OP_Rates_RES_1[[#Headers],[Ausnet]:[United Energy]],0))*
INDEX(Input_UsageTOU[[F-CurrentVDO]:[F-NextVDO]],MATCH($D10&amp;" - Off-peak",Input_UsageTOU[Ref],0),MATCH($D$7,Inputs!$I$155:$M$155,0))),0)),"-")</calculatedColumnFormula>
    </tableColumn>
    <tableColumn id="7" xr3:uid="{6DCB4D75-0C84-4A70-9F7B-3AA3F67D07AB}" name="United Energy">
      <calculatedColumnFormula>IFERROR(
IF($D$7="VDO 2021 - Final",
ROUNDUP(
(INDEX(OP_Rates_RES_1[[Ausnet]:[United Energy]],MATCH("Anytime - supply charge",OP_Rates_RES_1[Rate name],0),MATCH(OP_CMAB!I$9,OP_Rates_RES_1[[#Headers],[Ausnet]:[United Energy]],0))*DiY)+
(IFERROR((INDEX(OP_Rates_RES_1[[Ausnet]:[United Energy]],MATCH("Anytime - Block 1 charge",OP_Rates_RES_1[Rate name],0),MATCH(OP_CMAB!I$9,OP_Rates_RES_1[[#Headers],[Ausnet]:[United Energy]],0))*
INDEX(Input_UsageAnytime[[F-CurrentVDO]:[F-NextVDO]],MATCH(OP_CMAB!$D10&amp;" - Block 1",Input_UsageAnytime[Ref],0),MATCH(OP_CMAB!$D$7,Inputs!$I$129:$M$129,0))),0)+
IFERROR((INDEX(OP_Rates_RES_1[[Ausnet]:[United Energy]],MATCH("Anytime - Balance charge",OP_Rates_RES_1[Rate name],0),MATCH(OP_CMAB!I$9,OP_Rates_RES_1[[#Headers],[Ausnet]:[United Energy]],0))*
INDEX(Input_UsageAnytime[[F-CurrentVDO]:[F-NextVDO]],MATCH(OP_CMAB!$D10&amp;" - Balance",Input_UsageAnytime[Ref],0),MATCH(OP_CMAB!$D$7,Inputs!$I$129:$M$129,0))),0)+
IFERROR((INDEX(OP_Rates_RES_1[[Ausnet]:[United Energy]],MATCH("Anytime - Single rate charge",OP_Rates_RES_1[Rate name],0),MATCH(OP_CMAB!I$9,OP_Rates_RES_1[[#Headers],[Ausnet]:[United Energy]],0))*
INDEX(Input_UsageAnytime[[F-CurrentVDO]:[F-NextVDO]],MATCH(OP_CMAB!$D10&amp;" - Annual",Input_UsageAnytime[Ref],0),MATCH(OP_CMAB!$D$7,Inputs!$I$129:$M$129,0))),0)),0),
ROUNDUP(
(INDEX(OP_Rates_RES_1[[Ausnet]:[United Energy]],MATCH("TOU - supply charge",OP_Rates_RES_1[Rate name],0),MATCH(OP_CMAB!I$9,OP_Rates_RES_1[[#Headers],[Ausnet]:[United Energy]],0))*DiY)+
(INDEX(OP_Rates_RES_1[[Ausnet]:[United Energy]],MATCH("TOU - Peak charge",OP_Rates_RES_1[Rate name],0),MATCH(OP_CMAB!I$9,OP_Rates_RES_1[[#Headers],[Ausnet]:[United Energy]],0))*
INDEX(Input_UsageTOU[[F-CurrentVDO]:[F-NextVDO]],MATCH($D10&amp;" - Peak",Input_UsageTOU[Ref],0),MATCH($D$7,Inputs!$I$155:$M$155,0)))+
IFERROR((INDEX(OP_Rates_RES_1[[Ausnet]:[United Energy]],MATCH("TOU - Shoulder charge",OP_Rates_RES_1[Rate name],0),MATCH(OP_CMAB!I$9,OP_Rates_RES_1[[#Headers],[Ausnet]:[United Energy]],0))*
INDEX(Input_UsageTOU[[F-CurrentVDO]:[F-NextVDO]],MATCH($D10&amp;" - Shoulder",Input_UsageTOU[Ref],0),MATCH($D$7,Inputs!$I$155:$M$155,0))),0)+
(INDEX(OP_Rates_RES_1[[Ausnet]:[United Energy]],MATCH("TOU - Off peak charge",OP_Rates_RES_1[Rate name],0),MATCH(OP_CMAB!I$9,OP_Rates_RES_1[[#Headers],[Ausnet]:[United Energy]],0))*
INDEX(Input_UsageTOU[[F-CurrentVDO]:[F-NextVDO]],MATCH($D10&amp;" - Off-peak",Input_UsageTOU[Ref],0),MATCH($D$7,Inputs!$I$155:$M$155,0))),0)),"-")</calculatedColumnFormula>
    </tableColumn>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9:Q12" totalsRowShown="0" headerRowDxfId="40" headerRowBorderDxfId="39" tableBorderDxfId="38" totalsRowBorderDxfId="37" headerRowCellStyle="Table col heading">
  <tableColumns count="7">
    <tableColumn id="1" xr3:uid="{CFE1BF38-F8D5-417C-B8B8-055440189F48}" name="Customer type"/>
    <tableColumn id="2" xr3:uid="{A1BFB354-68E7-422C-A85D-4EE75E8C112A}" name="Usage profile"/>
    <tableColumn id="3" xr3:uid="{5FC92D0D-723D-4278-A68D-731B046067B9}" name="Ausnet">
      <calculatedColumnFormula>IFERROR(
IF($D$7="VDO 2021 - Final",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INDEX(Input_UsageAnytime[[F-CurrentVDO]:[F-NextVDO]],MATCH(OP_CMAB!$L10&amp;" - Block 1",Input_UsageAnytime[Ref],0),MATCH(OP_CMAB!$D$7,Inputs!$I$129:$M$129,0))),0)+
IFERROR((INDEX(OP_Rates_SME_1[[Ausnet]:[United Energy]],MATCH("Anytime - Balance charge",OP_Rates_SME_1[Rate name],0),MATCH(OP_CMAB!M$9,OP_Rates_SME_1[[#Headers],[Ausnet]:[United Energy]],0))*
INDEX(Input_UsageAnytime[[F-CurrentVDO]:[F-NextVDO]],MATCH(OP_CMAB!$L10&amp;" - Balance",Input_UsageAnytime[Ref],0),MATCH(OP_CMAB!$D$7,Inputs!$I$129:$M$129,0))),0)+
IFERROR((INDEX(OP_Rates_SME_1[[Ausnet]:[United Energy]],MATCH("Anytime - Single rate charge",OP_Rates_SME_1[Rate name],0),MATCH(OP_CMAB!M$9,OP_Rates_SME_1[[#Headers],[Ausnet]:[United Energy]],0))*
INDEX(Input_UsageAnytime[[F-CurrentVDO]:[F-NextVDO]],MATCH(OP_CMAB!$L10&amp;" - Annual",Input_UsageAnytime[Ref],0),MATCH(OP_CMAB!$D$7,Inputs!$I$129:$M$129,0))),0)),0),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INDEX(Input_UsageTOU[[F-CurrentVDO]:[F-NextVDO]],MATCH($L10&amp;" - Peak",Input_UsageTOU[Ref],0),MATCH($D$7,Inputs!$I$155:$M$155,0)))+
IFERROR((INDEX(OP_Rates_SME_1[[Ausnet]:[United Energy]],MATCH("TOU - Shoulder charge",OP_Rates_SME_1[Rate name],0),MATCH(OP_CMAB!M$9,OP_Rates_SME_1[[#Headers],[Ausnet]:[United Energy]],0))*
INDEX(Input_UsageTOU[[F-CurrentVDO]:[F-NextVDO]],MATCH($L10&amp;" - Shoulder",Input_UsageTOU[Ref],0),MATCH($D$7,Inputs!$I$155:$M$155,0))),0)+
(INDEX(OP_Rates_SME_1[[Ausnet]:[United Energy]],MATCH("TOU - Off peak charge",OP_Rates_SME_1[Rate name],0),MATCH(OP_CMAB!M$9,OP_Rates_SME_1[[#Headers],[Ausnet]:[United Energy]],0))*
INDEX(Input_UsageTOU[[F-CurrentVDO]:[F-NextVDO]],MATCH($L10&amp;" - Off-peak",Input_UsageTOU[Ref],0),MATCH($D$7,Inputs!$I$155:$M$155,0))),0)),"-")</calculatedColumnFormula>
    </tableColumn>
    <tableColumn id="4" xr3:uid="{A854BB72-10CE-41A2-BD33-3B9D4B05B42C}" name="Citipower">
      <calculatedColumnFormula>IFERROR(
IF($D$7="VDO 2021 - Final",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INDEX(Input_UsageAnytime[[F-CurrentVDO]:[F-NextVDO]],MATCH(OP_CMAB!$L10&amp;" - Block 1",Input_UsageAnytime[Ref],0),MATCH(OP_CMAB!$D$7,Inputs!$I$129:$M$129,0))),0)+
IFERROR((INDEX(OP_Rates_SME_1[[Ausnet]:[United Energy]],MATCH("Anytime - Balance charge",OP_Rates_SME_1[Rate name],0),MATCH(OP_CMAB!N$9,OP_Rates_SME_1[[#Headers],[Ausnet]:[United Energy]],0))*
INDEX(Input_UsageAnytime[[F-CurrentVDO]:[F-NextVDO]],MATCH(OP_CMAB!$L10&amp;" - Balance",Input_UsageAnytime[Ref],0),MATCH(OP_CMAB!$D$7,Inputs!$I$129:$M$129,0))),0)+
IFERROR((INDEX(OP_Rates_SME_1[[Ausnet]:[United Energy]],MATCH("Anytime - Single rate charge",OP_Rates_SME_1[Rate name],0),MATCH(OP_CMAB!N$9,OP_Rates_SME_1[[#Headers],[Ausnet]:[United Energy]],0))*
INDEX(Input_UsageAnytime[[F-CurrentVDO]:[F-NextVDO]],MATCH(OP_CMAB!$L10&amp;" - Annual",Input_UsageAnytime[Ref],0),MATCH(OP_CMAB!$D$7,Inputs!$I$129:$M$129,0))),0)),0),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INDEX(Input_UsageTOU[[F-CurrentVDO]:[F-NextVDO]],MATCH($L10&amp;" - Peak",Input_UsageTOU[Ref],0),MATCH($D$7,Inputs!$I$155:$M$155,0)))+
IFERROR((INDEX(OP_Rates_SME_1[[Ausnet]:[United Energy]],MATCH("TOU - Shoulder charge",OP_Rates_SME_1[Rate name],0),MATCH(OP_CMAB!N$9,OP_Rates_SME_1[[#Headers],[Ausnet]:[United Energy]],0))*
INDEX(Input_UsageTOU[[F-CurrentVDO]:[F-NextVDO]],MATCH($L10&amp;" - Shoulder",Input_UsageTOU[Ref],0),MATCH($D$7,Inputs!$I$155:$M$155,0))),0)+
(INDEX(OP_Rates_SME_1[[Ausnet]:[United Energy]],MATCH("TOU - Off peak charge",OP_Rates_SME_1[Rate name],0),MATCH(OP_CMAB!N$9,OP_Rates_SME_1[[#Headers],[Ausnet]:[United Energy]],0))*
INDEX(Input_UsageTOU[[F-CurrentVDO]:[F-NextVDO]],MATCH($L10&amp;" - Off-peak",Input_UsageTOU[Ref],0),MATCH($D$7,Inputs!$I$155:$M$155,0))),0)),"-")</calculatedColumnFormula>
    </tableColumn>
    <tableColumn id="5" xr3:uid="{37F3AA68-E85C-4177-B19E-9471B53A7CC8}" name="Jemena">
      <calculatedColumnFormula>IFERROR(
IF($D$7="VDO 2021 - Final",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INDEX(Input_UsageAnytime[[F-CurrentVDO]:[F-NextVDO]],MATCH(OP_CMAB!$L10&amp;" - Block 1",Input_UsageAnytime[Ref],0),MATCH(OP_CMAB!$D$7,Inputs!$I$129:$M$129,0))),0)+
IFERROR((INDEX(OP_Rates_SME_1[[Ausnet]:[United Energy]],MATCH("Anytime - Balance charge",OP_Rates_SME_1[Rate name],0),MATCH(OP_CMAB!O$9,OP_Rates_SME_1[[#Headers],[Ausnet]:[United Energy]],0))*
INDEX(Input_UsageAnytime[[F-CurrentVDO]:[F-NextVDO]],MATCH(OP_CMAB!$L10&amp;" - Balance",Input_UsageAnytime[Ref],0),MATCH(OP_CMAB!$D$7,Inputs!$I$129:$M$129,0))),0)+
IFERROR((INDEX(OP_Rates_SME_1[[Ausnet]:[United Energy]],MATCH("Anytime - Single rate charge",OP_Rates_SME_1[Rate name],0),MATCH(OP_CMAB!O$9,OP_Rates_SME_1[[#Headers],[Ausnet]:[United Energy]],0))*
INDEX(Input_UsageAnytime[[F-CurrentVDO]:[F-NextVDO]],MATCH(OP_CMAB!$L10&amp;" - Annual",Input_UsageAnytime[Ref],0),MATCH(OP_CMAB!$D$7,Inputs!$I$129:$M$129,0))),0)),0),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INDEX(Input_UsageTOU[[F-CurrentVDO]:[F-NextVDO]],MATCH($L10&amp;" - Peak",Input_UsageTOU[Ref],0),MATCH($D$7,Inputs!$I$155:$M$155,0)))+
IFERROR((INDEX(OP_Rates_SME_1[[Ausnet]:[United Energy]],MATCH("TOU - Shoulder charge",OP_Rates_SME_1[Rate name],0),MATCH(OP_CMAB!O$9,OP_Rates_SME_1[[#Headers],[Ausnet]:[United Energy]],0))*
INDEX(Input_UsageTOU[[F-CurrentVDO]:[F-NextVDO]],MATCH($L10&amp;" - Shoulder",Input_UsageTOU[Ref],0),MATCH($D$7,Inputs!$I$155:$M$155,0))),0)+
(INDEX(OP_Rates_SME_1[[Ausnet]:[United Energy]],MATCH("TOU - Off peak charge",OP_Rates_SME_1[Rate name],0),MATCH(OP_CMAB!O$9,OP_Rates_SME_1[[#Headers],[Ausnet]:[United Energy]],0))*
INDEX(Input_UsageTOU[[F-CurrentVDO]:[F-NextVDO]],MATCH($L10&amp;" - Off-peak",Input_UsageTOU[Ref],0),MATCH($D$7,Inputs!$I$155:$M$155,0))),0)),"-")</calculatedColumnFormula>
    </tableColumn>
    <tableColumn id="6" xr3:uid="{CC163AC0-D0FC-4725-AB96-3480C0535BF2}" name="Powercor">
      <calculatedColumnFormula>IFERROR(
IF($D$7="VDO 2021 - Final",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INDEX(Input_UsageAnytime[[F-CurrentVDO]:[F-NextVDO]],MATCH(OP_CMAB!$L10&amp;" - Block 1",Input_UsageAnytime[Ref],0),MATCH(OP_CMAB!$D$7,Inputs!$I$129:$M$129,0))),0)+
IFERROR((INDEX(OP_Rates_SME_1[[Ausnet]:[United Energy]],MATCH("Anytime - Balance charge",OP_Rates_SME_1[Rate name],0),MATCH(OP_CMAB!P$9,OP_Rates_SME_1[[#Headers],[Ausnet]:[United Energy]],0))*
INDEX(Input_UsageAnytime[[F-CurrentVDO]:[F-NextVDO]],MATCH(OP_CMAB!$L10&amp;" - Balance",Input_UsageAnytime[Ref],0),MATCH(OP_CMAB!$D$7,Inputs!$I$129:$M$129,0))),0)+
IFERROR((INDEX(OP_Rates_SME_1[[Ausnet]:[United Energy]],MATCH("Anytime - Single rate charge",OP_Rates_SME_1[Rate name],0),MATCH(OP_CMAB!P$9,OP_Rates_SME_1[[#Headers],[Ausnet]:[United Energy]],0))*
INDEX(Input_UsageAnytime[[F-CurrentVDO]:[F-NextVDO]],MATCH(OP_CMAB!$L10&amp;" - Annual",Input_UsageAnytime[Ref],0),MATCH(OP_CMAB!$D$7,Inputs!$I$129:$M$129,0))),0)),0),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INDEX(Input_UsageTOU[[F-CurrentVDO]:[F-NextVDO]],MATCH($L10&amp;" - Peak",Input_UsageTOU[Ref],0),MATCH($D$7,Inputs!$I$155:$M$155,0)))+
IFERROR((INDEX(OP_Rates_SME_1[[Ausnet]:[United Energy]],MATCH("TOU - Shoulder charge",OP_Rates_SME_1[Rate name],0),MATCH(OP_CMAB!P$9,OP_Rates_SME_1[[#Headers],[Ausnet]:[United Energy]],0))*
INDEX(Input_UsageTOU[[F-CurrentVDO]:[F-NextVDO]],MATCH($L10&amp;" - Shoulder",Input_UsageTOU[Ref],0),MATCH($D$7,Inputs!$I$155:$M$155,0))),0)+
(INDEX(OP_Rates_SME_1[[Ausnet]:[United Energy]],MATCH("TOU - Off peak charge",OP_Rates_SME_1[Rate name],0),MATCH(OP_CMAB!P$9,OP_Rates_SME_1[[#Headers],[Ausnet]:[United Energy]],0))*
INDEX(Input_UsageTOU[[F-CurrentVDO]:[F-NextVDO]],MATCH($L10&amp;" - Off-peak",Input_UsageTOU[Ref],0),MATCH($D$7,Inputs!$I$155:$M$155,0))),0)),"-")</calculatedColumnFormula>
    </tableColumn>
    <tableColumn id="7" xr3:uid="{9EF53383-EDFC-4887-B9C3-5A5731D858F0}" name="United Energy">
      <calculatedColumnFormula>IFERROR(
IF($D$7="VDO 2021 - Final",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INDEX(Input_UsageAnytime[[F-CurrentVDO]:[F-NextVDO]],MATCH(OP_CMAB!$L10&amp;" - Block 1",Input_UsageAnytime[Ref],0),MATCH(OP_CMAB!$D$7,Inputs!$I$129:$M$129,0))),0)+
IFERROR((INDEX(OP_Rates_SME_1[[Ausnet]:[United Energy]],MATCH("Anytime - Balance charge",OP_Rates_SME_1[Rate name],0),MATCH(OP_CMAB!Q$9,OP_Rates_SME_1[[#Headers],[Ausnet]:[United Energy]],0))*
INDEX(Input_UsageAnytime[[F-CurrentVDO]:[F-NextVDO]],MATCH(OP_CMAB!$L10&amp;" - Balance",Input_UsageAnytime[Ref],0),MATCH(OP_CMAB!$D$7,Inputs!$I$129:$M$129,0))),0)+
IFERROR((INDEX(OP_Rates_SME_1[[Ausnet]:[United Energy]],MATCH("Anytime - Single rate charge",OP_Rates_SME_1[Rate name],0),MATCH(OP_CMAB!Q$9,OP_Rates_SME_1[[#Headers],[Ausnet]:[United Energy]],0))*
INDEX(Input_UsageAnytime[[F-CurrentVDO]:[F-NextVDO]],MATCH(OP_CMAB!$L10&amp;" - Annual",Input_UsageAnytime[Ref],0),MATCH(OP_CMAB!$D$7,Inputs!$I$129:$M$129,0))),0)),0),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INDEX(Input_UsageTOU[[F-CurrentVDO]:[F-NextVDO]],MATCH($L10&amp;" - Peak",Input_UsageTOU[Ref],0),MATCH($D$7,Inputs!$I$155:$M$155,0)))+
IFERROR((INDEX(OP_Rates_SME_1[[Ausnet]:[United Energy]],MATCH("TOU - Shoulder charge",OP_Rates_SME_1[Rate name],0),MATCH(OP_CMAB!Q$9,OP_Rates_SME_1[[#Headers],[Ausnet]:[United Energy]],0))*
INDEX(Input_UsageTOU[[F-CurrentVDO]:[F-NextVDO]],MATCH($L10&amp;" - Shoulder",Input_UsageTOU[Ref],0),MATCH($D$7,Inputs!$I$155:$M$155,0))),0)+
(INDEX(OP_Rates_SME_1[[Ausnet]:[United Energy]],MATCH("TOU - Off peak charge",OP_Rates_SME_1[Rate name],0),MATCH(OP_CMAB!Q$9,OP_Rates_SME_1[[#Headers],[Ausnet]:[United Energy]],0))*
INDEX(Input_UsageTOU[[F-CurrentVDO]:[F-NextVDO]],MATCH($L10&amp;" - Off-peak",Input_UsageTOU[Ref],0),MATCH($D$7,Inputs!$I$155:$M$155,0))),0)),"-")</calculatedColumnFormula>
    </tableColumn>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2:I25" totalsRowShown="0" headerRowDxfId="36" headerRowBorderDxfId="35" tableBorderDxfId="34" totalsRowBorderDxfId="33"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IF($D$20="VDO 2021 - Final",
ROUNDUP(
(INDEX(OP_Rates_RES_2[[Ausnet]:[United Energy]],MATCH("Anytime - supply charge",OP_Rates_RES_2[Rate name],0),MATCH(OP_CMAB!E$22,OP_Rates_RES_2[[#Headers],[Ausnet]:[United Energy]],0))*DiY)+
(IFERROR((INDEX(OP_Rates_RES_2[[Ausnet]:[United Energy]],MATCH("Anytime - Block 1 charge",OP_Rates_RES_2[Rate name],0),MATCH(OP_CMAB!E$22,OP_Rates_RES_2[[#Headers],[Ausnet]:[United Energy]],0))*
INDEX(Input_UsageAnytime[[F-CurrentVDO]:[F-NextVDO]],MATCH(OP_CMAB!$D23&amp;" - Block 1",Input_UsageAnytime[Ref],0),MATCH(OP_CMAB!$D$20,Inputs!$I$129:$M$129,0))),0)+
IFERROR((INDEX(OP_Rates_RES_2[[Ausnet]:[United Energy]],MATCH("Anytime - Balance charge",OP_Rates_RES_2[Rate name],0),MATCH(OP_CMAB!E$22,OP_Rates_RES_2[[#Headers],[Ausnet]:[United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name],0),MATCH(OP_CMAB!E$22,OP_Rates_RES_2[[#Headers],[Ausnet]:[United Energy]],0))*
INDEX(Input_UsageAnytime[[F-CurrentVDO]:[F-NextVDO]],MATCH(OP_CMAB!$D23&amp;" - Annual",Input_UsageAnytime[Ref],0),MATCH(OP_CMAB!$D$20,Inputs!$I$129:$M$129,0))),0)),0),
ROUNDUP(
(INDEX(OP_Rates_RES_2[[Ausnet]:[United Energy]],MATCH("TOU - supply charge",OP_Rates_RES_2[Rate name],0),MATCH(OP_CMAB!E$22,OP_Rates_RES_2[[#Headers],[Ausnet]:[United Energy]],0))*DiY)+
(INDEX(OP_Rates_RES_2[[Ausnet]:[United Energy]],MATCH("TOU - Peak charge",OP_Rates_RES_2[Rate name],0),MATCH(OP_CMAB!E$22,OP_Rates_RES_2[[#Headers],[Ausnet]:[United Energy]],0))*
INDEX(Input_UsageTOU[[F-CurrentVDO]:[F-NextVDO]],MATCH($D23&amp;" - Peak",Input_UsageTOU[Ref],0),MATCH($D$20,Inputs!$I$155:$M$155,0)))+
IFERROR((INDEX(OP_Rates_RES_2[[Ausnet]:[United Energy]],MATCH("TOU - Shoulder charge",OP_Rates_RES_2[Rate name],0),MATCH(OP_CMAB!E$22,OP_Rates_RES_2[[#Headers],[Ausnet]:[United Energy]],0))*
INDEX(Input_UsageTOU[[F-CurrentVDO]:[F-NextVDO]],MATCH($D23&amp;" - Shoulder",Input_UsageTOU[Ref],0),MATCH($D$20,Inputs!$I$155:$M$155,0))),0)+
(INDEX(OP_Rates_RES_2[[Ausnet]:[United Energy]],MATCH("TOU - Off peak charge",OP_Rates_RES_2[Rate name],0),MATCH(OP_CMAB!E$22,OP_Rates_RES_2[[#Headers],[Ausnet]:[United Energy]],0))*
INDEX(Input_UsageTOU[[F-CurrentVDO]:[F-NextVDO]],MATCH($D23&amp;" - Off-peak",Input_UsageTOU[Ref],0),MATCH($D$20,Inputs!$I$155:$M$155,0))),0)),"-")</calculatedColumnFormula>
    </tableColumn>
    <tableColumn id="4" xr3:uid="{0D5F9249-2086-4CEA-909D-1923653A76C1}" name="Citipower">
      <calculatedColumnFormula>IFERROR(
IF($D$20="VDO 2021 - Final",
ROUNDUP(
(INDEX(OP_Rates_RES_2[[Ausnet]:[United Energy]],MATCH("Anytime - supply charge",OP_Rates_RES_2[Rate name],0),MATCH(OP_CMAB!F$22,OP_Rates_RES_2[[#Headers],[Ausnet]:[United Energy]],0))*DiY)+
(IFERROR((INDEX(OP_Rates_RES_2[[Ausnet]:[United Energy]],MATCH("Anytime - Block 1 charge",OP_Rates_RES_2[Rate name],0),MATCH(OP_CMAB!F$22,OP_Rates_RES_2[[#Headers],[Ausnet]:[United Energy]],0))*
INDEX(Input_UsageAnytime[[F-CurrentVDO]:[F-NextVDO]],MATCH(OP_CMAB!$D23&amp;" - Block 1",Input_UsageAnytime[Ref],0),MATCH(OP_CMAB!$D$20,Inputs!$I$129:$M$129,0))),0)+
IFERROR((INDEX(OP_Rates_RES_2[[Ausnet]:[United Energy]],MATCH("Anytime - Balance charge",OP_Rates_RES_2[Rate name],0),MATCH(OP_CMAB!F$22,OP_Rates_RES_2[[#Headers],[Ausnet]:[United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name],0),MATCH(OP_CMAB!F$22,OP_Rates_RES_2[[#Headers],[Ausnet]:[United Energy]],0))*
INDEX(Input_UsageAnytime[[F-CurrentVDO]:[F-NextVDO]],MATCH(OP_CMAB!$D23&amp;" - Annual",Input_UsageAnytime[Ref],0),MATCH(OP_CMAB!$D$20,Inputs!$I$129:$M$129,0))),0)),0),
ROUNDUP(
(INDEX(OP_Rates_RES_2[[Ausnet]:[United Energy]],MATCH("TOU - supply charge",OP_Rates_RES_2[Rate name],0),MATCH(OP_CMAB!F$22,OP_Rates_RES_2[[#Headers],[Ausnet]:[United Energy]],0))*DiY)+
(INDEX(OP_Rates_RES_2[[Ausnet]:[United Energy]],MATCH("TOU - Peak charge",OP_Rates_RES_2[Rate name],0),MATCH(OP_CMAB!F$22,OP_Rates_RES_2[[#Headers],[Ausnet]:[United Energy]],0))*
INDEX(Input_UsageTOU[[F-CurrentVDO]:[F-NextVDO]],MATCH($D23&amp;" - Peak",Input_UsageTOU[Ref],0),MATCH($D$20,Inputs!$I$155:$M$155,0)))+
IFERROR((INDEX(OP_Rates_RES_2[[Ausnet]:[United Energy]],MATCH("TOU - Shoulder charge",OP_Rates_RES_2[Rate name],0),MATCH(OP_CMAB!F$22,OP_Rates_RES_2[[#Headers],[Ausnet]:[United Energy]],0))*
INDEX(Input_UsageTOU[[F-CurrentVDO]:[F-NextVDO]],MATCH($D23&amp;" - Shoulder",Input_UsageTOU[Ref],0),MATCH($D$20,Inputs!$I$155:$M$155,0))),0)+
(INDEX(OP_Rates_RES_2[[Ausnet]:[United Energy]],MATCH("TOU - Off peak charge",OP_Rates_RES_2[Rate name],0),MATCH(OP_CMAB!F$22,OP_Rates_RES_2[[#Headers],[Ausnet]:[United Energy]],0))*
INDEX(Input_UsageTOU[[F-CurrentVDO]:[F-NextVDO]],MATCH($D23&amp;" - Off-peak",Input_UsageTOU[Ref],0),MATCH($D$20,Inputs!$I$155:$M$155,0))),0)),"-")</calculatedColumnFormula>
    </tableColumn>
    <tableColumn id="5" xr3:uid="{FE2A9689-6847-47AC-BEEF-E289A5A229B5}" name="Jemena">
      <calculatedColumnFormula>IFERROR(
IF($D$20="VDO 2021 - Final",
ROUNDUP(
(INDEX(OP_Rates_RES_2[[Ausnet]:[United Energy]],MATCH("Anytime - supply charge",OP_Rates_RES_2[Rate name],0),MATCH(OP_CMAB!G$22,OP_Rates_RES_2[[#Headers],[Ausnet]:[United Energy]],0))*DiY)+
(IFERROR((INDEX(OP_Rates_RES_2[[Ausnet]:[United Energy]],MATCH("Anytime - Block 1 charge",OP_Rates_RES_2[Rate name],0),MATCH(OP_CMAB!G$22,OP_Rates_RES_2[[#Headers],[Ausnet]:[United Energy]],0))*
INDEX(Input_UsageAnytime[[F-CurrentVDO]:[F-NextVDO]],MATCH(OP_CMAB!$D23&amp;" - Block 1",Input_UsageAnytime[Ref],0),MATCH(OP_CMAB!$D$20,Inputs!$I$129:$M$129,0))),0)+
IFERROR((INDEX(OP_Rates_RES_2[[Ausnet]:[United Energy]],MATCH("Anytime - Balance charge",OP_Rates_RES_2[Rate name],0),MATCH(OP_CMAB!G$22,OP_Rates_RES_2[[#Headers],[Ausnet]:[United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name],0),MATCH(OP_CMAB!G$22,OP_Rates_RES_2[[#Headers],[Ausnet]:[United Energy]],0))*
INDEX(Input_UsageAnytime[[F-CurrentVDO]:[F-NextVDO]],MATCH(OP_CMAB!$D23&amp;" - Annual",Input_UsageAnytime[Ref],0),MATCH(OP_CMAB!$D$20,Inputs!$I$129:$M$129,0))),0)),0),
ROUNDUP(
(INDEX(OP_Rates_RES_2[[Ausnet]:[United Energy]],MATCH("TOU - supply charge",OP_Rates_RES_2[Rate name],0),MATCH(OP_CMAB!G$22,OP_Rates_RES_2[[#Headers],[Ausnet]:[United Energy]],0))*DiY)+
(INDEX(OP_Rates_RES_2[[Ausnet]:[United Energy]],MATCH("TOU - Peak charge",OP_Rates_RES_2[Rate name],0),MATCH(OP_CMAB!G$22,OP_Rates_RES_2[[#Headers],[Ausnet]:[United Energy]],0))*
INDEX(Input_UsageTOU[[F-CurrentVDO]:[F-NextVDO]],MATCH($D23&amp;" - Peak",Input_UsageTOU[Ref],0),MATCH($D$20,Inputs!$I$155:$M$155,0)))+
IFERROR((INDEX(OP_Rates_RES_2[[Ausnet]:[United Energy]],MATCH("TOU - Shoulder charge",OP_Rates_RES_2[Rate name],0),MATCH(OP_CMAB!G$22,OP_Rates_RES_2[[#Headers],[Ausnet]:[United Energy]],0))*
INDEX(Input_UsageTOU[[F-CurrentVDO]:[F-NextVDO]],MATCH($D23&amp;" - Shoulder",Input_UsageTOU[Ref],0),MATCH($D$20,Inputs!$I$155:$M$155,0))),0)+
(INDEX(OP_Rates_RES_2[[Ausnet]:[United Energy]],MATCH("TOU - Off peak charge",OP_Rates_RES_2[Rate name],0),MATCH(OP_CMAB!G$22,OP_Rates_RES_2[[#Headers],[Ausnet]:[United Energy]],0))*
INDEX(Input_UsageTOU[[F-CurrentVDO]:[F-NextVDO]],MATCH($D23&amp;" - Off-peak",Input_UsageTOU[Ref],0),MATCH($D$20,Inputs!$I$155:$M$155,0))),0)),"-")</calculatedColumnFormula>
    </tableColumn>
    <tableColumn id="6" xr3:uid="{A6AD0D20-3ABA-4057-BAA3-35F27065C0F2}" name="Powercor">
      <calculatedColumnFormula>IFERROR(
IF($D$20="VDO 2021 - Final",
ROUNDUP(
(INDEX(OP_Rates_RES_2[[Ausnet]:[United Energy]],MATCH("Anytime - supply charge",OP_Rates_RES_2[Rate name],0),MATCH(OP_CMAB!H$22,OP_Rates_RES_2[[#Headers],[Ausnet]:[United Energy]],0))*DiY)+
(IFERROR((INDEX(OP_Rates_RES_2[[Ausnet]:[United Energy]],MATCH("Anytime - Block 1 charge",OP_Rates_RES_2[Rate name],0),MATCH(OP_CMAB!H$22,OP_Rates_RES_2[[#Headers],[Ausnet]:[United Energy]],0))*
INDEX(Input_UsageAnytime[[F-CurrentVDO]:[F-NextVDO]],MATCH(OP_CMAB!$D23&amp;" - Block 1",Input_UsageAnytime[Ref],0),MATCH(OP_CMAB!$D$20,Inputs!$I$129:$M$129,0))),0)+
IFERROR((INDEX(OP_Rates_RES_2[[Ausnet]:[United Energy]],MATCH("Anytime - Balance charge",OP_Rates_RES_2[Rate name],0),MATCH(OP_CMAB!H$22,OP_Rates_RES_2[[#Headers],[Ausnet]:[United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name],0),MATCH(OP_CMAB!H$22,OP_Rates_RES_2[[#Headers],[Ausnet]:[United Energy]],0))*
INDEX(Input_UsageAnytime[[F-CurrentVDO]:[F-NextVDO]],MATCH(OP_CMAB!$D23&amp;" - Annual",Input_UsageAnytime[Ref],0),MATCH(OP_CMAB!$D$20,Inputs!$I$129:$M$129,0))),0)),0),
ROUNDUP(
(INDEX(OP_Rates_RES_2[[Ausnet]:[United Energy]],MATCH("TOU - supply charge",OP_Rates_RES_2[Rate name],0),MATCH(OP_CMAB!H$22,OP_Rates_RES_2[[#Headers],[Ausnet]:[United Energy]],0))*DiY)+
(INDEX(OP_Rates_RES_2[[Ausnet]:[United Energy]],MATCH("TOU - Peak charge",OP_Rates_RES_2[Rate name],0),MATCH(OP_CMAB!H$22,OP_Rates_RES_2[[#Headers],[Ausnet]:[United Energy]],0))*
INDEX(Input_UsageTOU[[F-CurrentVDO]:[F-NextVDO]],MATCH($D23&amp;" - Peak",Input_UsageTOU[Ref],0),MATCH($D$20,Inputs!$I$155:$M$155,0)))+
IFERROR((INDEX(OP_Rates_RES_2[[Ausnet]:[United Energy]],MATCH("TOU - Shoulder charge",OP_Rates_RES_2[Rate name],0),MATCH(OP_CMAB!H$22,OP_Rates_RES_2[[#Headers],[Ausnet]:[United Energy]],0))*
INDEX(Input_UsageTOU[[F-CurrentVDO]:[F-NextVDO]],MATCH($D23&amp;" - Shoulder",Input_UsageTOU[Ref],0),MATCH($D$20,Inputs!$I$155:$M$155,0))),0)+
(INDEX(OP_Rates_RES_2[[Ausnet]:[United Energy]],MATCH("TOU - Off peak charge",OP_Rates_RES_2[Rate name],0),MATCH(OP_CMAB!H$22,OP_Rates_RES_2[[#Headers],[Ausnet]:[United Energy]],0))*
INDEX(Input_UsageTOU[[F-CurrentVDO]:[F-NextVDO]],MATCH($D23&amp;" - Off-peak",Input_UsageTOU[Ref],0),MATCH($D$20,Inputs!$I$155:$M$155,0))),0)),"-")</calculatedColumnFormula>
    </tableColumn>
    <tableColumn id="7" xr3:uid="{B2B5B815-02E0-4F29-934A-9D7CE200BE7C}" name="United Energy">
      <calculatedColumnFormula>IFERROR(
IF($D$20="VDO 2021 - Final",
ROUNDUP(
(INDEX(OP_Rates_RES_2[[Ausnet]:[United Energy]],MATCH("Anytime - supply charge",OP_Rates_RES_2[Rate name],0),MATCH(OP_CMAB!I$22,OP_Rates_RES_2[[#Headers],[Ausnet]:[United Energy]],0))*DiY)+
(IFERROR((INDEX(OP_Rates_RES_2[[Ausnet]:[United Energy]],MATCH("Anytime - Block 1 charge",OP_Rates_RES_2[Rate name],0),MATCH(OP_CMAB!I$22,OP_Rates_RES_2[[#Headers],[Ausnet]:[United Energy]],0))*
INDEX(Input_UsageAnytime[[F-CurrentVDO]:[F-NextVDO]],MATCH(OP_CMAB!$D23&amp;" - Block 1",Input_UsageAnytime[Ref],0),MATCH(OP_CMAB!$D$20,Inputs!$I$129:$M$129,0))),0)+
IFERROR((INDEX(OP_Rates_RES_2[[Ausnet]:[United Energy]],MATCH("Anytime - Balance charge",OP_Rates_RES_2[Rate name],0),MATCH(OP_CMAB!I$22,OP_Rates_RES_2[[#Headers],[Ausnet]:[United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name],0),MATCH(OP_CMAB!I$22,OP_Rates_RES_2[[#Headers],[Ausnet]:[United Energy]],0))*
INDEX(Input_UsageAnytime[[F-CurrentVDO]:[F-NextVDO]],MATCH(OP_CMAB!$D23&amp;" - Annual",Input_UsageAnytime[Ref],0),MATCH(OP_CMAB!$D$20,Inputs!$I$129:$M$129,0))),0)),0),
ROUNDUP(
(INDEX(OP_Rates_RES_2[[Ausnet]:[United Energy]],MATCH("TOU - supply charge",OP_Rates_RES_2[Rate name],0),MATCH(OP_CMAB!I$22,OP_Rates_RES_2[[#Headers],[Ausnet]:[United Energy]],0))*DiY)+
(INDEX(OP_Rates_RES_2[[Ausnet]:[United Energy]],MATCH("TOU - Peak charge",OP_Rates_RES_2[Rate name],0),MATCH(OP_CMAB!I$22,OP_Rates_RES_2[[#Headers],[Ausnet]:[United Energy]],0))*
INDEX(Input_UsageTOU[[F-CurrentVDO]:[F-NextVDO]],MATCH($D23&amp;" - Peak",Input_UsageTOU[Ref],0),MATCH($D$20,Inputs!$I$155:$M$155,0)))+
IFERROR((INDEX(OP_Rates_RES_2[[Ausnet]:[United Energy]],MATCH("TOU - Shoulder charge",OP_Rates_RES_2[Rate name],0),MATCH(OP_CMAB!I$22,OP_Rates_RES_2[[#Headers],[Ausnet]:[United Energy]],0))*
INDEX(Input_UsageTOU[[F-CurrentVDO]:[F-NextVDO]],MATCH($D23&amp;" - Shoulder",Input_UsageTOU[Ref],0),MATCH($D$20,Inputs!$I$155:$M$155,0))),0)+
(INDEX(OP_Rates_RES_2[[Ausnet]:[United Energy]],MATCH("TOU - Off peak charge",OP_Rates_RES_2[Rate name],0),MATCH(OP_CMAB!I$22,OP_Rates_RES_2[[#Headers],[Ausnet]:[United Energy]],0))*
INDEX(Input_UsageTOU[[F-CurrentVDO]:[F-NextVDO]],MATCH($D23&amp;" - Off-peak",Input_UsageTOU[Ref],0),MATCH($D$20,Inputs!$I$155:$M$155,0))),0)),"-")</calculatedColumnFormula>
    </tableColumn>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2:Q25" totalsRowShown="0" headerRowDxfId="32" headerRowBorderDxfId="31" tableBorderDxfId="30" totalsRowBorderDxfId="29" headerRowCellStyle="Table col heading">
  <tableColumns count="7">
    <tableColumn id="1" xr3:uid="{EB6D28E3-1A73-4D41-A3B3-303EF3024DE7}" name="Customer type"/>
    <tableColumn id="2" xr3:uid="{CA13CB67-97D3-4228-93C6-A787A23F3C77}" name="Usage profile"/>
    <tableColumn id="3" xr3:uid="{BFA9E2A1-209A-4C28-9214-5A6338FB6F5D}" name="Ausnet">
      <calculatedColumnFormula>IFERROR(
IF($D$20="VDO 2021 - Final",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INDEX(Input_UsageAnytime[[F-CurrentVDO]:[F-NextVDO]],MATCH(OP_CMAB!$L23&amp;" - Block 1",Input_UsageAnytime[Ref],0),MATCH(OP_CMAB!$D$20,Inputs!$I$129:$M$129,0))),0)+
IFERROR((INDEX(OP_Rates_SME_2[[Ausnet]:[United Energy]],MATCH("Anytime - Balance charge",OP_Rates_SME_2[Rate name],0),MATCH(OP_CMAB!M$22,OP_Rates_SME_2[[#Headers],[Ausnet]:[United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INDEX(Input_UsageAnytime[[F-CurrentVDO]:[F-NextVDO]],MATCH(OP_CMAB!$L23&amp;" - Annual",Input_UsageAnytime[Ref],0),MATCH(OP_CMAB!$D$20,Inputs!$I$129:$M$129,0))),0)),0),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INDEX(Input_UsageTOU[[F-CurrentVDO]:[F-NextVDO]],MATCH($L23&amp;" - Peak",Input_UsageTOU[Ref],0),MATCH($D$20,Inputs!$I$155:$M$155,0)))+
IFERROR((INDEX(OP_Rates_SME_2[[Ausnet]:[United Energy]],MATCH("TOU - Shoulder charge",OP_Rates_SME_2[Rate name],0),MATCH(OP_CMAB!M$22,OP_Rates_SME_2[[#Headers],[Ausnet]:[United Energy]],0))*
INDEX(Input_UsageTOU[[F-CurrentVDO]:[F-NextVDO]],MATCH($L23&amp;" - Shoulder",Input_UsageTOU[Ref],0),MATCH($D$20,Inputs!$I$155:$M$155,0))),0)+
(INDEX(OP_Rates_SME_2[[Ausnet]:[United Energy]],MATCH("TOU - Off peak charge",OP_Rates_SME_2[Rate name],0),MATCH(OP_CMAB!M$22,OP_Rates_SME_2[[#Headers],[Ausnet]:[United Energy]],0))*
INDEX(Input_UsageTOU[[F-CurrentVDO]:[F-NextVDO]],MATCH($L23&amp;" - Off-peak",Input_UsageTOU[Ref],0),MATCH($D$20,Inputs!$I$155:$M$155,0))),0)),"-")</calculatedColumnFormula>
    </tableColumn>
    <tableColumn id="4" xr3:uid="{F0FD9595-8EE1-48EF-9F82-FA7DBD8C7508}" name="Citipower">
      <calculatedColumnFormula>IFERROR(
IF($D$20="VDO 2021 - Final",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INDEX(Input_UsageAnytime[[F-CurrentVDO]:[F-NextVDO]],MATCH(OP_CMAB!$L23&amp;" - Block 1",Input_UsageAnytime[Ref],0),MATCH(OP_CMAB!$D$20,Inputs!$I$129:$M$129,0))),0)+
IFERROR((INDEX(OP_Rates_SME_2[[Ausnet]:[United Energy]],MATCH("Anytime - Balance charge",OP_Rates_SME_2[Rate name],0),MATCH(OP_CMAB!N$22,OP_Rates_SME_2[[#Headers],[Ausnet]:[United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INDEX(Input_UsageAnytime[[F-CurrentVDO]:[F-NextVDO]],MATCH(OP_CMAB!$L23&amp;" - Annual",Input_UsageAnytime[Ref],0),MATCH(OP_CMAB!$D$20,Inputs!$I$129:$M$129,0))),0)),0),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INDEX(Input_UsageTOU[[F-CurrentVDO]:[F-NextVDO]],MATCH($L23&amp;" - Peak",Input_UsageTOU[Ref],0),MATCH($D$20,Inputs!$I$155:$M$155,0)))+
IFERROR((INDEX(OP_Rates_SME_2[[Ausnet]:[United Energy]],MATCH("TOU - Shoulder charge",OP_Rates_SME_2[Rate name],0),MATCH(OP_CMAB!N$22,OP_Rates_SME_2[[#Headers],[Ausnet]:[United Energy]],0))*
INDEX(Input_UsageTOU[[F-CurrentVDO]:[F-NextVDO]],MATCH($L23&amp;" - Shoulder",Input_UsageTOU[Ref],0),MATCH($D$20,Inputs!$I$155:$M$155,0))),0)+
(INDEX(OP_Rates_SME_2[[Ausnet]:[United Energy]],MATCH("TOU - Off peak charge",OP_Rates_SME_2[Rate name],0),MATCH(OP_CMAB!N$22,OP_Rates_SME_2[[#Headers],[Ausnet]:[United Energy]],0))*
INDEX(Input_UsageTOU[[F-CurrentVDO]:[F-NextVDO]],MATCH($L23&amp;" - Off-peak",Input_UsageTOU[Ref],0),MATCH($D$20,Inputs!$I$155:$M$155,0))),0)),"-")</calculatedColumnFormula>
    </tableColumn>
    <tableColumn id="5" xr3:uid="{A1C73988-CF22-4DE8-B89F-4E0985EF1E42}" name="Jemena">
      <calculatedColumnFormula>IFERROR(
IF($D$20="VDO 2021 - Final",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INDEX(Input_UsageAnytime[[F-CurrentVDO]:[F-NextVDO]],MATCH(OP_CMAB!$L23&amp;" - Block 1",Input_UsageAnytime[Ref],0),MATCH(OP_CMAB!$D$20,Inputs!$I$129:$M$129,0))),0)+
IFERROR((INDEX(OP_Rates_SME_2[[Ausnet]:[United Energy]],MATCH("Anytime - Balance charge",OP_Rates_SME_2[Rate name],0),MATCH(OP_CMAB!O$22,OP_Rates_SME_2[[#Headers],[Ausnet]:[United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INDEX(Input_UsageAnytime[[F-CurrentVDO]:[F-NextVDO]],MATCH(OP_CMAB!$L23&amp;" - Annual",Input_UsageAnytime[Ref],0),MATCH(OP_CMAB!$D$20,Inputs!$I$129:$M$129,0))),0)),0),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INDEX(Input_UsageTOU[[F-CurrentVDO]:[F-NextVDO]],MATCH($L23&amp;" - Peak",Input_UsageTOU[Ref],0),MATCH($D$20,Inputs!$I$155:$M$155,0)))+
IFERROR((INDEX(OP_Rates_SME_2[[Ausnet]:[United Energy]],MATCH("TOU - Shoulder charge",OP_Rates_SME_2[Rate name],0),MATCH(OP_CMAB!O$22,OP_Rates_SME_2[[#Headers],[Ausnet]:[United Energy]],0))*
INDEX(Input_UsageTOU[[F-CurrentVDO]:[F-NextVDO]],MATCH($L23&amp;" - Shoulder",Input_UsageTOU[Ref],0),MATCH($D$20,Inputs!$I$155:$M$155,0))),0)+
(INDEX(OP_Rates_SME_2[[Ausnet]:[United Energy]],MATCH("TOU - Off peak charge",OP_Rates_SME_2[Rate name],0),MATCH(OP_CMAB!O$22,OP_Rates_SME_2[[#Headers],[Ausnet]:[United Energy]],0))*
INDEX(Input_UsageTOU[[F-CurrentVDO]:[F-NextVDO]],MATCH($L23&amp;" - Off-peak",Input_UsageTOU[Ref],0),MATCH($D$20,Inputs!$I$155:$M$155,0))),0)),"-")</calculatedColumnFormula>
    </tableColumn>
    <tableColumn id="6" xr3:uid="{E32519FF-66CE-4885-AE63-4D241C844B94}" name="Powercor">
      <calculatedColumnFormula>IFERROR(
IF($D$20="VDO 2021 - Final",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INDEX(Input_UsageAnytime[[F-CurrentVDO]:[F-NextVDO]],MATCH(OP_CMAB!$L23&amp;" - Block 1",Input_UsageAnytime[Ref],0),MATCH(OP_CMAB!$D$20,Inputs!$I$129:$M$129,0))),0)+
IFERROR((INDEX(OP_Rates_SME_2[[Ausnet]:[United Energy]],MATCH("Anytime - Balance charge",OP_Rates_SME_2[Rate name],0),MATCH(OP_CMAB!P$22,OP_Rates_SME_2[[#Headers],[Ausnet]:[United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INDEX(Input_UsageAnytime[[F-CurrentVDO]:[F-NextVDO]],MATCH(OP_CMAB!$L23&amp;" - Annual",Input_UsageAnytime[Ref],0),MATCH(OP_CMAB!$D$20,Inputs!$I$129:$M$129,0))),0)),0),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INDEX(Input_UsageTOU[[F-CurrentVDO]:[F-NextVDO]],MATCH($L23&amp;" - Peak",Input_UsageTOU[Ref],0),MATCH($D$20,Inputs!$I$155:$M$155,0)))+
IFERROR((INDEX(OP_Rates_SME_2[[Ausnet]:[United Energy]],MATCH("TOU - Shoulder charge",OP_Rates_SME_2[Rate name],0),MATCH(OP_CMAB!P$22,OP_Rates_SME_2[[#Headers],[Ausnet]:[United Energy]],0))*
INDEX(Input_UsageTOU[[F-CurrentVDO]:[F-NextVDO]],MATCH($L23&amp;" - Shoulder",Input_UsageTOU[Ref],0),MATCH($D$20,Inputs!$I$155:$M$155,0))),0)+
(INDEX(OP_Rates_SME_2[[Ausnet]:[United Energy]],MATCH("TOU - Off peak charge",OP_Rates_SME_2[Rate name],0),MATCH(OP_CMAB!P$22,OP_Rates_SME_2[[#Headers],[Ausnet]:[United Energy]],0))*
INDEX(Input_UsageTOU[[F-CurrentVDO]:[F-NextVDO]],MATCH($L23&amp;" - Off-peak",Input_UsageTOU[Ref],0),MATCH($D$20,Inputs!$I$155:$M$155,0))),0)),"-")</calculatedColumnFormula>
    </tableColumn>
    <tableColumn id="7" xr3:uid="{D4FA680B-83F1-49AE-83A4-2615571ED201}" name="United Energy">
      <calculatedColumnFormula>IFERROR(
IF($D$20="VDO 2021 - Final",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INDEX(Input_UsageAnytime[[F-CurrentVDO]:[F-NextVDO]],MATCH(OP_CMAB!$L23&amp;" - Block 1",Input_UsageAnytime[Ref],0),MATCH(OP_CMAB!$D$20,Inputs!$I$129:$M$129,0))),0)+
IFERROR((INDEX(OP_Rates_SME_2[[Ausnet]:[United Energy]],MATCH("Anytime - Balance charge",OP_Rates_SME_2[Rate name],0),MATCH(OP_CMAB!Q$22,OP_Rates_SME_2[[#Headers],[Ausnet]:[United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INDEX(Input_UsageAnytime[[F-CurrentVDO]:[F-NextVDO]],MATCH(OP_CMAB!$L23&amp;" - Annual",Input_UsageAnytime[Ref],0),MATCH(OP_CMAB!$D$20,Inputs!$I$129:$M$129,0))),0)),0),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INDEX(Input_UsageTOU[[F-CurrentVDO]:[F-NextVDO]],MATCH($L23&amp;" - Peak",Input_UsageTOU[Ref],0),MATCH($D$20,Inputs!$I$155:$M$155,0)))+
IFERROR((INDEX(OP_Rates_SME_2[[Ausnet]:[United Energy]],MATCH("TOU - Shoulder charge",OP_Rates_SME_2[Rate name],0),MATCH(OP_CMAB!Q$22,OP_Rates_SME_2[[#Headers],[Ausnet]:[United Energy]],0))*
INDEX(Input_UsageTOU[[F-CurrentVDO]:[F-NextVDO]],MATCH($L23&amp;" - Shoulder",Input_UsageTOU[Ref],0),MATCH($D$20,Inputs!$I$155:$M$155,0))),0)+
(INDEX(OP_Rates_SME_2[[Ausnet]:[United Energy]],MATCH("TOU - Off peak charge",OP_Rates_SME_2[Rate name],0),MATCH(OP_CMAB!Q$22,OP_Rates_SME_2[[#Headers],[Ausnet]:[United Energy]],0))*
INDEX(Input_UsageTOU[[F-CurrentVDO]:[F-NextVDO]],MATCH($L23&amp;" - Off-peak",Input_UsageTOU[Ref],0),MATCH($D$20,Inputs!$I$155:$M$155,0))),0)),"-")</calculatedColumnFormula>
    </tableColumn>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18" totalsRowShown="0" dataDxfId="27" headerRowBorderDxfId="28" tableBorderDxfId="26" totalsRowBorderDxfId="25" headerRowCellStyle="Table col heading" dataCellStyle="Hard-coded">
  <tableColumns count="1">
    <tableColumn id="1" xr3:uid="{9C6E56E0-72A9-4D72-9F61-583216BE24AD}" name="Units" dataDxfId="24" dataCellStyle="Hard-coded"/>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22" headerRowBorderDxfId="23" tableBorderDxfId="21" totalsRowBorderDxfId="20" headerRowCellStyle="Table col heading" dataCellStyle="Hard-coded">
  <tableColumns count="1">
    <tableColumn id="1" xr3:uid="{6E304742-6DCB-4D36-AA6E-D41E67A17680}" name="Fixed/Variable" dataDxfId="19" dataCellStyle="Hard-coded"/>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17" headerRowBorderDxfId="18" tableBorderDxfId="16" totalsRowBorderDxfId="15" headerRowCellStyle="Table col heading" dataCellStyle="Hard-coded">
  <tableColumns count="1">
    <tableColumn id="1" xr3:uid="{E4257759-0421-4BCD-A015-75722E8DBCF3}" name="Customer type" dataDxfId="14" dataCellStyle="Hard-coded"/>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4E2C13-AB39-4E55-BF00-537BD955FF56}" name="RateCheck_VDO2021F" displayName="RateCheck_VDO2021F" ref="C25:H38" totalsRowShown="0" headerRowDxfId="13" dataDxfId="11" headerRowBorderDxfId="12" tableBorderDxfId="10" headerRowCellStyle="Table col heading" dataCellStyle="Hard-coded">
  <tableColumns count="6">
    <tableColumn id="1" xr3:uid="{954CA8C7-DCA5-4214-B453-E3EA5EFC0397}" name="Rate" dataCellStyle="Table cell"/>
    <tableColumn id="3" xr3:uid="{B5B5C9C8-4877-4263-B8AE-FE45F3B68DBC}" name="Ausnet" dataDxfId="9" dataCellStyle="Hard-coded"/>
    <tableColumn id="4" xr3:uid="{EE605F25-1750-458F-801E-0914EE0179A6}" name="Citipower" dataDxfId="8" dataCellStyle="Hard-coded"/>
    <tableColumn id="5" xr3:uid="{F52402BD-584A-40D2-ABB7-A65654466E21}" name="Jemena" dataDxfId="7" dataCellStyle="Hard-coded"/>
    <tableColumn id="6" xr3:uid="{56410595-734B-4A5F-AE6B-12BFEEFC2E1E}" name="Powercor" dataDxfId="6" dataCellStyle="Hard-coded"/>
    <tableColumn id="7" xr3:uid="{0EF249CE-159C-491B-9904-231D97C050D8}" name="United Energy" dataDxfId="5" dataCellStyle="Hard-coded"/>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3" headerRowBorderDxfId="4" tableBorderDxfId="2" totalsRowBorderDxfId="1" headerRowCellStyle="Table col heading" dataCellStyle="Hard-coded">
  <autoFilter ref="I7:I13" xr:uid="{C360791E-1C8C-48A7-B83A-F08229D11B5E}"/>
  <tableColumns count="1">
    <tableColumn id="1" xr3:uid="{D93DFBC2-B77B-456C-A30C-DC8C8723D2BF}" name="Usage profiles"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29" Type="http://schemas.openxmlformats.org/officeDocument/2006/relationships/table" Target="../tables/table34.xml"/><Relationship Id="rId1" Type="http://schemas.openxmlformats.org/officeDocument/2006/relationships/printerSettings" Target="../printerSettings/printerSettings4.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table" Target="../tables/table37.xml"/><Relationship Id="rId4" Type="http://schemas.openxmlformats.org/officeDocument/2006/relationships/table" Target="../tables/table4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table" Target="../tables/table41.xml"/><Relationship Id="rId4" Type="http://schemas.openxmlformats.org/officeDocument/2006/relationships/table" Target="../tables/table4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table" Target="../tables/table45.xml"/><Relationship Id="rId5" Type="http://schemas.openxmlformats.org/officeDocument/2006/relationships/table" Target="../tables/table49.xml"/><Relationship Id="rId4" Type="http://schemas.openxmlformats.org/officeDocument/2006/relationships/table" Target="../tables/table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rgb="FF7F7F7F"/>
  </sheetPr>
  <dimension ref="B1:B29"/>
  <sheetViews>
    <sheetView showGridLines="0" tabSelected="1" workbookViewId="0">
      <selection activeCell="B1" sqref="B1"/>
    </sheetView>
  </sheetViews>
  <sheetFormatPr defaultRowHeight="14.5" x14ac:dyDescent="0.35"/>
  <cols>
    <col min="2" max="2" width="200.7265625" customWidth="1"/>
  </cols>
  <sheetData>
    <row r="1" spans="2:2" ht="28.5" x14ac:dyDescent="0.35">
      <c r="B1" s="33" t="s">
        <v>0</v>
      </c>
    </row>
    <row r="3" spans="2:2" ht="28.5" x14ac:dyDescent="0.35">
      <c r="B3" s="33" t="s">
        <v>1</v>
      </c>
    </row>
    <row r="5" spans="2:2" x14ac:dyDescent="0.35">
      <c r="B5" s="109" t="s">
        <v>430</v>
      </c>
    </row>
    <row r="6" spans="2:2" x14ac:dyDescent="0.35">
      <c r="B6" s="109"/>
    </row>
    <row r="7" spans="2:2" x14ac:dyDescent="0.35">
      <c r="B7" s="109"/>
    </row>
    <row r="8" spans="2:2" x14ac:dyDescent="0.35">
      <c r="B8" s="109"/>
    </row>
    <row r="9" spans="2:2" x14ac:dyDescent="0.35">
      <c r="B9" s="109"/>
    </row>
    <row r="10" spans="2:2" x14ac:dyDescent="0.35">
      <c r="B10" s="109"/>
    </row>
    <row r="11" spans="2:2" x14ac:dyDescent="0.35">
      <c r="B11" s="109"/>
    </row>
    <row r="12" spans="2:2" x14ac:dyDescent="0.35">
      <c r="B12" s="109"/>
    </row>
    <row r="13" spans="2:2" x14ac:dyDescent="0.35">
      <c r="B13" s="109"/>
    </row>
    <row r="14" spans="2:2" x14ac:dyDescent="0.35">
      <c r="B14" s="109"/>
    </row>
    <row r="15" spans="2:2" x14ac:dyDescent="0.35">
      <c r="B15" s="109"/>
    </row>
    <row r="16" spans="2:2" x14ac:dyDescent="0.35">
      <c r="B16" s="109"/>
    </row>
    <row r="17" spans="2:2" x14ac:dyDescent="0.35">
      <c r="B17" s="109"/>
    </row>
    <row r="18" spans="2:2" x14ac:dyDescent="0.35">
      <c r="B18" s="109"/>
    </row>
    <row r="19" spans="2:2" x14ac:dyDescent="0.35">
      <c r="B19" s="109"/>
    </row>
    <row r="20" spans="2:2" x14ac:dyDescent="0.35">
      <c r="B20" s="109"/>
    </row>
    <row r="21" spans="2:2" x14ac:dyDescent="0.35">
      <c r="B21" s="109"/>
    </row>
    <row r="22" spans="2:2" x14ac:dyDescent="0.35">
      <c r="B22" s="109"/>
    </row>
    <row r="23" spans="2:2" x14ac:dyDescent="0.35">
      <c r="B23" s="109"/>
    </row>
    <row r="24" spans="2:2" x14ac:dyDescent="0.35">
      <c r="B24" s="109"/>
    </row>
    <row r="25" spans="2:2" x14ac:dyDescent="0.35">
      <c r="B25" s="109"/>
    </row>
    <row r="26" spans="2:2" x14ac:dyDescent="0.35">
      <c r="B26" s="109"/>
    </row>
    <row r="27" spans="2:2" x14ac:dyDescent="0.35">
      <c r="B27" s="109"/>
    </row>
    <row r="28" spans="2:2" x14ac:dyDescent="0.35">
      <c r="B28" s="109"/>
    </row>
    <row r="29" spans="2:2" x14ac:dyDescent="0.35">
      <c r="B29" s="109"/>
    </row>
  </sheetData>
  <mergeCells count="1">
    <mergeCell ref="B5: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sheetPr>
  <dimension ref="A1:FV21"/>
  <sheetViews>
    <sheetView showGridLines="0" zoomScaleNormal="100" workbookViewId="0">
      <pane ySplit="2" topLeftCell="A3" activePane="bottomLeft" state="frozen"/>
      <selection pane="bottomLeft" activeCell="D6" sqref="D6"/>
    </sheetView>
  </sheetViews>
  <sheetFormatPr defaultColWidth="9.1796875" defaultRowHeight="14.5" zeroHeight="1" x14ac:dyDescent="0.35"/>
  <cols>
    <col min="1" max="1" width="5.7265625" style="18" customWidth="1"/>
    <col min="2" max="2" width="25.7265625" style="5" customWidth="1"/>
    <col min="3" max="3" width="50.7265625" style="5" customWidth="1"/>
    <col min="4" max="4" width="25.7265625" style="5" customWidth="1"/>
    <col min="5" max="5" width="75.7265625" style="5" customWidth="1"/>
    <col min="6" max="178" width="5.7265625" style="5" customWidth="1"/>
  </cols>
  <sheetData>
    <row r="1" spans="1:178" ht="25" customHeight="1" x14ac:dyDescent="0.35">
      <c r="A1" s="27"/>
      <c r="B1" s="22" t="str">
        <f>Disclaimer!$B$1</f>
        <v>VDO calculation model</v>
      </c>
      <c r="C1" s="22"/>
      <c r="D1" s="22"/>
      <c r="E1" s="22"/>
    </row>
    <row r="2" spans="1:178" ht="25" customHeight="1" x14ac:dyDescent="0.35">
      <c r="A2" s="24">
        <f ca="1">_xlfn.SHEET()</f>
        <v>2</v>
      </c>
      <c r="B2" s="23" t="s">
        <v>2</v>
      </c>
      <c r="C2" s="23"/>
      <c r="D2" s="23"/>
      <c r="E2" s="23"/>
    </row>
    <row r="3" spans="1:178" ht="25" customHeight="1" x14ac:dyDescent="0.35">
      <c r="A3" s="28"/>
      <c r="B3" s="4" t="s">
        <v>3</v>
      </c>
      <c r="C3" s="4" t="s">
        <v>4</v>
      </c>
      <c r="D3" s="4" t="s">
        <v>5</v>
      </c>
      <c r="E3" s="4" t="s">
        <v>6</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row>
    <row r="4" spans="1:178" ht="30" customHeight="1" x14ac:dyDescent="0.35">
      <c r="A4" s="29"/>
      <c r="B4" s="10">
        <v>1</v>
      </c>
      <c r="C4" s="10" t="s">
        <v>7</v>
      </c>
      <c r="D4" s="106" t="s">
        <v>7</v>
      </c>
      <c r="E4" s="10" t="s">
        <v>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row>
    <row r="5" spans="1:178" ht="30" customHeight="1" x14ac:dyDescent="0.35">
      <c r="A5" s="29"/>
      <c r="B5" s="10">
        <f ca="1">A2</f>
        <v>2</v>
      </c>
      <c r="C5" s="10" t="s">
        <v>2</v>
      </c>
      <c r="D5" s="12" t="s">
        <v>431</v>
      </c>
      <c r="E5" s="10"/>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row>
    <row r="6" spans="1:178" ht="30" customHeight="1" x14ac:dyDescent="0.35">
      <c r="A6" s="29"/>
      <c r="B6" s="10">
        <f ca="1">'User Guide'!B3</f>
        <v>3</v>
      </c>
      <c r="C6" s="10" t="s">
        <v>10</v>
      </c>
      <c r="D6" s="106" t="s">
        <v>21</v>
      </c>
      <c r="E6" s="10" t="s">
        <v>11</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row>
    <row r="7" spans="1:178" ht="30" customHeight="1" x14ac:dyDescent="0.35">
      <c r="A7" s="29"/>
      <c r="B7" s="10">
        <f ca="1">Information!B3</f>
        <v>4</v>
      </c>
      <c r="C7" s="10" t="s">
        <v>12</v>
      </c>
      <c r="D7" s="98" t="s">
        <v>12</v>
      </c>
      <c r="E7" s="10" t="s">
        <v>13</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row>
    <row r="8" spans="1:178" ht="30" hidden="1" customHeight="1" x14ac:dyDescent="0.35">
      <c r="A8" s="29"/>
      <c r="B8" s="10">
        <f ca="1">Sources!B3</f>
        <v>5</v>
      </c>
      <c r="C8" s="10" t="s">
        <v>14</v>
      </c>
      <c r="D8" s="17"/>
      <c r="E8" s="10" t="s">
        <v>15</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row>
    <row r="9" spans="1:178" ht="30" customHeight="1" x14ac:dyDescent="0.35">
      <c r="A9" s="29"/>
      <c r="B9" s="10">
        <f ca="1">'General Assumptions'!B3</f>
        <v>7</v>
      </c>
      <c r="C9" s="10" t="s">
        <v>16</v>
      </c>
      <c r="D9" s="106" t="s">
        <v>233</v>
      </c>
      <c r="E9" s="10" t="s">
        <v>17</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row>
    <row r="10" spans="1:178" ht="30" customHeight="1" x14ac:dyDescent="0.35">
      <c r="A10" s="29"/>
      <c r="B10" s="10">
        <v>1</v>
      </c>
      <c r="C10" s="10" t="s">
        <v>251</v>
      </c>
      <c r="D10" s="98" t="s">
        <v>251</v>
      </c>
      <c r="E10" s="1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row>
    <row r="11" spans="1:178" ht="30" customHeight="1" x14ac:dyDescent="0.35">
      <c r="A11" s="29"/>
      <c r="B11" s="10">
        <v>2</v>
      </c>
      <c r="C11" s="10" t="s">
        <v>386</v>
      </c>
      <c r="D11" s="98" t="s">
        <v>386</v>
      </c>
      <c r="E11" s="10"/>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row>
    <row r="12" spans="1:178" ht="30" customHeight="1" x14ac:dyDescent="0.35">
      <c r="A12" s="29"/>
      <c r="B12" s="10">
        <v>3</v>
      </c>
      <c r="C12" s="10" t="s">
        <v>387</v>
      </c>
      <c r="D12" s="98" t="s">
        <v>387</v>
      </c>
      <c r="E12" s="10"/>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row>
    <row r="13" spans="1:178" ht="30" customHeight="1" x14ac:dyDescent="0.35">
      <c r="A13" s="29"/>
      <c r="B13" s="10">
        <v>4</v>
      </c>
      <c r="C13" s="10" t="s">
        <v>428</v>
      </c>
      <c r="D13" s="98" t="s">
        <v>428</v>
      </c>
      <c r="E13" s="10"/>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row>
    <row r="14" spans="1:178" ht="30" customHeight="1" x14ac:dyDescent="0.35">
      <c r="A14" s="29"/>
      <c r="B14" s="10"/>
      <c r="C14" s="10"/>
      <c r="D14" s="13"/>
      <c r="E14" s="10"/>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row>
    <row r="15" spans="1:178" x14ac:dyDescent="0.35"/>
    <row r="16" spans="1:178" x14ac:dyDescent="0.35"/>
    <row r="17" x14ac:dyDescent="0.35"/>
    <row r="18" x14ac:dyDescent="0.35"/>
    <row r="19" x14ac:dyDescent="0.35"/>
    <row r="20" x14ac:dyDescent="0.35"/>
    <row r="21" x14ac:dyDescent="0.35"/>
  </sheetData>
  <hyperlinks>
    <hyperlink ref="D4" location="Disclaimer!A1" display="Disclaimer" xr:uid="{245F2E6B-86F5-4A91-898A-7E97594772DE}"/>
    <hyperlink ref="D6" location="'User Guide'!A1" display="User Guide" xr:uid="{0496EA21-8EEB-4DE6-AC58-F9092CDA2DB5}"/>
    <hyperlink ref="D7" location="Information!A1" display="Information" xr:uid="{28F02DCA-1089-40F3-8459-8A90F6492F75}"/>
    <hyperlink ref="D9" location="'General Assumptions'!A1" display="General Assumptions" xr:uid="{FB9652FE-7525-4E06-BD3D-B516FE44D139}"/>
    <hyperlink ref="D10" location="'CPI'!A1" display="CPI" xr:uid="{92AAB916-6062-43B1-82E7-4D916E738C57}"/>
    <hyperlink ref="D11" location="Calc_Rates!A1" display="Calc_Rates" xr:uid="{6CA0368A-80B7-4962-BEBE-699AE00CDA25}"/>
    <hyperlink ref="D12" location="OP_Rates!A1" display="OP_Rates" xr:uid="{733CBB84-295D-4C5D-9D2F-198236B43B3E}"/>
    <hyperlink ref="D13" location="OP_CMAB!A1" display="OP_CMAB" xr:uid="{D5F3F484-CF03-42C3-AC67-8D31F6503DC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sheetPr>
  <dimension ref="A1:Z77"/>
  <sheetViews>
    <sheetView showGridLines="0" topLeftCell="B1" zoomScaleNormal="100" workbookViewId="0">
      <pane ySplit="3" topLeftCell="A4" activePane="bottomLeft" state="frozen"/>
      <selection pane="bottomLeft"/>
    </sheetView>
  </sheetViews>
  <sheetFormatPr defaultColWidth="9.1796875" defaultRowHeight="14.5" outlineLevelCol="1" x14ac:dyDescent="0.35"/>
  <cols>
    <col min="1" max="1" width="100.7265625" hidden="1" customWidth="1" outlineLevel="1"/>
    <col min="2" max="2" width="10.7265625" style="7" customWidth="1" collapsed="1"/>
    <col min="3" max="3" width="50.7265625" customWidth="1"/>
    <col min="4" max="26" width="25.7265625" customWidth="1"/>
  </cols>
  <sheetData>
    <row r="1" spans="1:26" ht="15" customHeight="1" x14ac:dyDescent="0.35">
      <c r="A1" s="2" t="s">
        <v>19</v>
      </c>
      <c r="B1" s="19"/>
      <c r="C1" s="20"/>
      <c r="D1" s="20"/>
      <c r="E1" s="20"/>
      <c r="F1" s="20"/>
      <c r="G1" s="20"/>
      <c r="H1" s="20"/>
      <c r="I1" s="20"/>
      <c r="J1" s="20"/>
      <c r="K1" s="20"/>
      <c r="L1" s="20"/>
      <c r="M1" s="20"/>
      <c r="N1" s="20"/>
      <c r="O1" s="20"/>
      <c r="P1" s="20"/>
      <c r="Q1" s="20"/>
      <c r="R1" s="20"/>
      <c r="S1" s="20"/>
      <c r="T1" s="20"/>
      <c r="U1" s="20"/>
      <c r="V1" s="20"/>
      <c r="W1" s="20"/>
      <c r="X1" s="20"/>
      <c r="Y1" s="20"/>
      <c r="Z1" s="20"/>
    </row>
    <row r="2" spans="1:26" s="5" customFormat="1" ht="50.15" customHeight="1" x14ac:dyDescent="0.35">
      <c r="A2" s="110" t="s">
        <v>20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5" customFormat="1" ht="30" customHeight="1" x14ac:dyDescent="0.35">
      <c r="A3" s="110"/>
      <c r="B3" s="24">
        <f ca="1">_xlfn.SHEET()</f>
        <v>3</v>
      </c>
      <c r="C3" s="23" t="s">
        <v>21</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2" t="s">
        <v>22</v>
      </c>
      <c r="B5" s="8">
        <f ca="1">MAX(B$3:B4)+0.1</f>
        <v>3.1</v>
      </c>
      <c r="C5" s="25" t="s">
        <v>23</v>
      </c>
      <c r="D5" s="25"/>
      <c r="E5" s="25"/>
      <c r="F5" s="25"/>
      <c r="G5" s="25"/>
      <c r="H5" s="25"/>
      <c r="I5" s="25"/>
      <c r="J5" s="25"/>
      <c r="K5" s="25"/>
      <c r="L5" s="25"/>
      <c r="M5" s="25"/>
      <c r="N5" s="25"/>
      <c r="O5" s="25"/>
      <c r="P5" s="25"/>
      <c r="Q5" s="25"/>
      <c r="R5" s="25"/>
      <c r="S5" s="25"/>
      <c r="T5" s="25"/>
      <c r="U5" s="25"/>
      <c r="V5" s="25"/>
      <c r="W5" s="25"/>
      <c r="X5" s="25"/>
      <c r="Y5" s="25"/>
      <c r="Z5" s="25"/>
    </row>
    <row r="6" spans="1:26" x14ac:dyDescent="0.35">
      <c r="B6"/>
    </row>
    <row r="7" spans="1:26" x14ac:dyDescent="0.35">
      <c r="B7"/>
    </row>
    <row r="8" spans="1:26" x14ac:dyDescent="0.35">
      <c r="B8"/>
    </row>
    <row r="9" spans="1:26" x14ac:dyDescent="0.35">
      <c r="B9"/>
    </row>
    <row r="10" spans="1:26" x14ac:dyDescent="0.35">
      <c r="B10"/>
    </row>
    <row r="11" spans="1:26" x14ac:dyDescent="0.35">
      <c r="B11"/>
    </row>
    <row r="12" spans="1:26" x14ac:dyDescent="0.35">
      <c r="B12"/>
    </row>
    <row r="13" spans="1:26" x14ac:dyDescent="0.35">
      <c r="B13"/>
    </row>
    <row r="14" spans="1:26" x14ac:dyDescent="0.35">
      <c r="B14"/>
    </row>
    <row r="15" spans="1:26" x14ac:dyDescent="0.35">
      <c r="B15"/>
    </row>
    <row r="16" spans="1:26" x14ac:dyDescent="0.35">
      <c r="B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spans="1:26" x14ac:dyDescent="0.35">
      <c r="B33"/>
    </row>
    <row r="34" spans="1:26" x14ac:dyDescent="0.35">
      <c r="B34"/>
    </row>
    <row r="35" spans="1:26" x14ac:dyDescent="0.35">
      <c r="B35"/>
    </row>
    <row r="36" spans="1:26" x14ac:dyDescent="0.35">
      <c r="B36"/>
    </row>
    <row r="37" spans="1:26" x14ac:dyDescent="0.35">
      <c r="B37"/>
    </row>
    <row r="38" spans="1:26" x14ac:dyDescent="0.35">
      <c r="B38"/>
    </row>
    <row r="39" spans="1:26" ht="16" thickBot="1" x14ac:dyDescent="0.4">
      <c r="A39" s="2" t="s">
        <v>22</v>
      </c>
      <c r="B39" s="8">
        <f ca="1">MAX(B$3:B38)+0.1</f>
        <v>3.2</v>
      </c>
      <c r="C39" s="25" t="s">
        <v>24</v>
      </c>
      <c r="D39" s="25"/>
      <c r="E39" s="25"/>
      <c r="F39" s="25"/>
      <c r="G39" s="25"/>
      <c r="H39" s="25"/>
      <c r="I39" s="25"/>
      <c r="J39" s="25"/>
      <c r="K39" s="25"/>
      <c r="L39" s="25"/>
      <c r="M39" s="25"/>
      <c r="N39" s="25"/>
      <c r="O39" s="25"/>
      <c r="P39" s="25"/>
      <c r="Q39" s="25"/>
      <c r="R39" s="25"/>
      <c r="S39" s="25"/>
      <c r="T39" s="25"/>
      <c r="U39" s="25"/>
      <c r="V39" s="25"/>
      <c r="W39" s="25"/>
      <c r="X39" s="25"/>
      <c r="Y39" s="25"/>
      <c r="Z39" s="25"/>
    </row>
    <row r="40" spans="1:26" x14ac:dyDescent="0.35">
      <c r="B40"/>
    </row>
    <row r="41" spans="1:26" x14ac:dyDescent="0.35">
      <c r="B41"/>
    </row>
    <row r="42" spans="1:26" x14ac:dyDescent="0.35">
      <c r="B42"/>
    </row>
    <row r="43" spans="1:26" x14ac:dyDescent="0.35">
      <c r="B43"/>
    </row>
    <row r="44" spans="1:26" x14ac:dyDescent="0.35">
      <c r="B44"/>
    </row>
    <row r="45" spans="1:26" x14ac:dyDescent="0.35">
      <c r="B45"/>
    </row>
    <row r="46" spans="1:26" x14ac:dyDescent="0.35">
      <c r="B46"/>
    </row>
    <row r="47" spans="1:26" x14ac:dyDescent="0.35">
      <c r="B47"/>
    </row>
    <row r="48" spans="1:26" x14ac:dyDescent="0.35">
      <c r="B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spans="1:26" x14ac:dyDescent="0.35">
      <c r="B65"/>
    </row>
    <row r="66" spans="1:26" x14ac:dyDescent="0.35">
      <c r="B66"/>
    </row>
    <row r="67" spans="1:26" x14ac:dyDescent="0.35">
      <c r="B67"/>
    </row>
    <row r="68" spans="1:26" x14ac:dyDescent="0.35">
      <c r="B68"/>
    </row>
    <row r="69" spans="1:26" ht="16" thickBot="1" x14ac:dyDescent="0.4">
      <c r="A69" s="2" t="s">
        <v>22</v>
      </c>
      <c r="B69" s="8">
        <f ca="1">MAX(B$3:B68)+0.1</f>
        <v>3.3000000000000003</v>
      </c>
      <c r="C69" s="25" t="s">
        <v>25</v>
      </c>
      <c r="D69" s="25"/>
      <c r="E69" s="25"/>
      <c r="F69" s="25"/>
      <c r="G69" s="25"/>
      <c r="H69" s="25"/>
      <c r="I69" s="25"/>
      <c r="J69" s="25"/>
      <c r="K69" s="25"/>
      <c r="L69" s="25"/>
      <c r="M69" s="25"/>
      <c r="N69" s="25"/>
      <c r="O69" s="25"/>
      <c r="P69" s="25"/>
      <c r="Q69" s="25"/>
      <c r="R69" s="25"/>
      <c r="S69" s="25"/>
      <c r="T69" s="25"/>
      <c r="U69" s="25"/>
      <c r="V69" s="25"/>
      <c r="W69" s="25"/>
      <c r="X69" s="25"/>
      <c r="Y69" s="25"/>
      <c r="Z69" s="25"/>
    </row>
    <row r="71" spans="1:26" ht="25" customHeight="1" x14ac:dyDescent="0.35">
      <c r="C71" s="77" t="s">
        <v>12</v>
      </c>
    </row>
    <row r="72" spans="1:26" ht="25" customHeight="1" x14ac:dyDescent="0.35">
      <c r="C72" s="76" t="s">
        <v>40</v>
      </c>
    </row>
    <row r="73" spans="1:26" ht="25" customHeight="1" x14ac:dyDescent="0.35">
      <c r="C73" s="76" t="s">
        <v>16</v>
      </c>
    </row>
    <row r="74" spans="1:26" ht="25" customHeight="1" x14ac:dyDescent="0.35">
      <c r="C74" s="76" t="s">
        <v>251</v>
      </c>
    </row>
    <row r="75" spans="1:26" ht="25" customHeight="1" x14ac:dyDescent="0.35">
      <c r="C75" s="78" t="s">
        <v>386</v>
      </c>
    </row>
    <row r="76" spans="1:26" ht="25" customHeight="1" x14ac:dyDescent="0.35">
      <c r="C76" s="79" t="s">
        <v>387</v>
      </c>
    </row>
    <row r="77" spans="1:26" ht="25" customHeight="1" x14ac:dyDescent="0.35">
      <c r="C77" s="79" t="s">
        <v>428</v>
      </c>
    </row>
  </sheetData>
  <mergeCells count="1">
    <mergeCell ref="A2:A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3252-3C56-4970-8C36-B87F0D4746DB}">
  <sheetPr codeName="Sheet15">
    <tabColor rgb="FF7F7F7F"/>
  </sheetPr>
  <dimension ref="A1:Z23"/>
  <sheetViews>
    <sheetView showGridLines="0" zoomScale="85" zoomScaleNormal="85" workbookViewId="0">
      <pane ySplit="3" topLeftCell="A4" activePane="bottomLeft" state="frozen"/>
      <selection pane="bottomLeft" activeCell="C36" sqref="C36"/>
    </sheetView>
  </sheetViews>
  <sheetFormatPr defaultColWidth="9.1796875" defaultRowHeight="14.5" outlineLevelCol="1" x14ac:dyDescent="0.35"/>
  <cols>
    <col min="1" max="1" width="100.7265625" hidden="1" customWidth="1" outlineLevel="1"/>
    <col min="2" max="2" width="10.7265625" style="7" customWidth="1" collapsed="1"/>
    <col min="3" max="3" width="50.7265625" customWidth="1"/>
    <col min="4" max="4" width="75.7265625" customWidth="1"/>
    <col min="5" max="26" width="25.7265625" customWidth="1"/>
  </cols>
  <sheetData>
    <row r="1" spans="1:26" ht="15" customHeight="1" x14ac:dyDescent="0.35">
      <c r="A1" s="2" t="s">
        <v>19</v>
      </c>
      <c r="B1" s="19"/>
      <c r="C1" s="20"/>
      <c r="D1" s="20"/>
      <c r="E1" s="20"/>
      <c r="F1" s="20"/>
      <c r="G1" s="20"/>
      <c r="H1" s="20"/>
      <c r="I1" s="20"/>
      <c r="J1" s="20"/>
      <c r="K1" s="20"/>
      <c r="L1" s="20"/>
      <c r="M1" s="20"/>
      <c r="N1" s="20"/>
      <c r="O1" s="20"/>
      <c r="P1" s="20"/>
      <c r="Q1" s="20"/>
      <c r="R1" s="20"/>
      <c r="S1" s="20"/>
      <c r="T1" s="20"/>
      <c r="U1" s="20"/>
      <c r="V1" s="20"/>
      <c r="W1" s="20"/>
      <c r="X1" s="20"/>
      <c r="Y1" s="20"/>
      <c r="Z1" s="20"/>
    </row>
    <row r="2" spans="1:26" s="5" customFormat="1" ht="50.15" customHeight="1" x14ac:dyDescent="0.35">
      <c r="A2" s="110" t="s">
        <v>20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5" customFormat="1" ht="30" customHeight="1" x14ac:dyDescent="0.35">
      <c r="A3" s="111"/>
      <c r="B3" s="24">
        <f ca="1">_xlfn.SHEET()</f>
        <v>4</v>
      </c>
      <c r="C3" s="23" t="s">
        <v>12</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2" t="s">
        <v>22</v>
      </c>
      <c r="B5" s="8">
        <f ca="1">MAX(B$3:B4)+0.1</f>
        <v>4.0999999999999996</v>
      </c>
      <c r="C5" s="25" t="s">
        <v>26</v>
      </c>
      <c r="D5" s="25"/>
    </row>
    <row r="7" spans="1:26" x14ac:dyDescent="0.35">
      <c r="C7" t="s">
        <v>27</v>
      </c>
      <c r="D7" s="102" t="s">
        <v>1</v>
      </c>
    </row>
    <row r="8" spans="1:26" x14ac:dyDescent="0.35">
      <c r="C8" t="s">
        <v>28</v>
      </c>
      <c r="D8" s="102" t="s">
        <v>389</v>
      </c>
    </row>
    <row r="9" spans="1:26" x14ac:dyDescent="0.35">
      <c r="C9" t="s">
        <v>29</v>
      </c>
      <c r="D9" s="102" t="s">
        <v>390</v>
      </c>
    </row>
    <row r="10" spans="1:26" x14ac:dyDescent="0.35">
      <c r="C10" t="s">
        <v>30</v>
      </c>
      <c r="D10" s="102" t="s">
        <v>391</v>
      </c>
    </row>
    <row r="12" spans="1:26" ht="16" thickBot="1" x14ac:dyDescent="0.4">
      <c r="B12" s="8">
        <f ca="1">MAX(B$3:B11)+0.1</f>
        <v>4.1999999999999993</v>
      </c>
      <c r="C12" s="25" t="s">
        <v>31</v>
      </c>
      <c r="D12" s="25"/>
    </row>
    <row r="14" spans="1:26" x14ac:dyDescent="0.35">
      <c r="C14" t="s">
        <v>32</v>
      </c>
      <c r="D14" s="102" t="s">
        <v>388</v>
      </c>
    </row>
    <row r="15" spans="1:26" x14ac:dyDescent="0.35">
      <c r="C15" t="s">
        <v>33</v>
      </c>
      <c r="D15" s="102" t="s">
        <v>1</v>
      </c>
    </row>
    <row r="16" spans="1:26" x14ac:dyDescent="0.35">
      <c r="C16" t="s">
        <v>34</v>
      </c>
      <c r="D16" s="102" t="s">
        <v>429</v>
      </c>
    </row>
    <row r="17" spans="2:4" x14ac:dyDescent="0.35">
      <c r="C17" t="s">
        <v>35</v>
      </c>
      <c r="D17" s="102" t="s">
        <v>397</v>
      </c>
    </row>
    <row r="19" spans="2:4" ht="16" thickBot="1" x14ac:dyDescent="0.4">
      <c r="B19" s="8">
        <f ca="1">MAX(B$3:B18)+0.1</f>
        <v>4.2999999999999989</v>
      </c>
      <c r="C19" s="30" t="s">
        <v>36</v>
      </c>
      <c r="D19" s="25"/>
    </row>
    <row r="21" spans="2:4" x14ac:dyDescent="0.35">
      <c r="C21" t="s">
        <v>37</v>
      </c>
      <c r="D21" s="102"/>
    </row>
    <row r="22" spans="2:4" x14ac:dyDescent="0.35">
      <c r="C22" t="s">
        <v>38</v>
      </c>
      <c r="D22" s="102"/>
    </row>
    <row r="23" spans="2:4" x14ac:dyDescent="0.35">
      <c r="C23" t="s">
        <v>39</v>
      </c>
      <c r="D23" s="102"/>
    </row>
  </sheetData>
  <mergeCells count="1">
    <mergeCell ref="A2:A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A0B7-B7E4-4754-9438-E2B36E788DA3}">
  <sheetPr codeName="Sheet13">
    <tabColor rgb="FF7F7F7F"/>
  </sheetPr>
  <dimension ref="A1:T169"/>
  <sheetViews>
    <sheetView showGridLines="0" topLeftCell="B1" zoomScale="70" zoomScaleNormal="70" workbookViewId="0">
      <pane ySplit="3" topLeftCell="A4" activePane="bottomLeft" state="frozen"/>
      <selection pane="bottomLeft" activeCell="E18" sqref="E18"/>
    </sheetView>
  </sheetViews>
  <sheetFormatPr defaultColWidth="9.1796875" defaultRowHeight="14.5" outlineLevelCol="1" x14ac:dyDescent="0.35"/>
  <cols>
    <col min="1" max="1" width="100.7265625" hidden="1" customWidth="1" outlineLevel="1"/>
    <col min="2" max="2" width="10.7265625" style="7" customWidth="1" collapsed="1"/>
    <col min="3" max="9" width="45.7265625" customWidth="1"/>
    <col min="10" max="20" width="25.7265625" customWidth="1"/>
  </cols>
  <sheetData>
    <row r="1" spans="1:20" ht="15" customHeight="1" x14ac:dyDescent="0.35">
      <c r="A1" s="2" t="s">
        <v>19</v>
      </c>
      <c r="B1" s="19"/>
      <c r="C1" s="20"/>
      <c r="D1" s="20"/>
      <c r="E1" s="20"/>
      <c r="F1" s="20"/>
      <c r="G1" s="20"/>
      <c r="H1" s="20"/>
      <c r="I1" s="20"/>
      <c r="J1" s="20"/>
      <c r="K1" s="20"/>
      <c r="L1" s="20"/>
      <c r="M1" s="20"/>
      <c r="N1" s="20"/>
      <c r="O1" s="20"/>
      <c r="P1" s="20"/>
      <c r="Q1" s="20"/>
      <c r="R1" s="20"/>
      <c r="S1" s="20"/>
      <c r="T1" s="20"/>
    </row>
    <row r="2" spans="1:20" s="5" customFormat="1" ht="50.15" customHeight="1" x14ac:dyDescent="0.35">
      <c r="A2" s="110" t="s">
        <v>20</v>
      </c>
      <c r="B2" s="22"/>
      <c r="C2" s="22" t="str">
        <f>Disclaimer!$B$1</f>
        <v>VDO calculation model</v>
      </c>
      <c r="D2" s="22"/>
      <c r="E2" s="22"/>
      <c r="F2" s="22"/>
      <c r="G2" s="22"/>
      <c r="H2" s="22"/>
      <c r="I2" s="22"/>
      <c r="J2" s="22"/>
      <c r="K2" s="22"/>
      <c r="L2" s="22"/>
      <c r="M2" s="22"/>
      <c r="N2" s="22"/>
      <c r="O2" s="22"/>
      <c r="P2" s="22"/>
      <c r="Q2" s="22"/>
      <c r="R2" s="22"/>
      <c r="S2" s="22"/>
      <c r="T2" s="22"/>
    </row>
    <row r="3" spans="1:20" s="5" customFormat="1" ht="30" customHeight="1" x14ac:dyDescent="0.35">
      <c r="A3" s="111"/>
      <c r="B3" s="24">
        <f ca="1">_xlfn.SHEET()</f>
        <v>5</v>
      </c>
      <c r="C3" s="23" t="s">
        <v>14</v>
      </c>
      <c r="D3" s="23"/>
      <c r="E3" s="23"/>
      <c r="F3" s="23"/>
      <c r="G3" s="23"/>
      <c r="H3" s="23"/>
      <c r="I3" s="23"/>
      <c r="J3" s="23"/>
      <c r="K3" s="23"/>
      <c r="L3" s="23"/>
      <c r="M3" s="23"/>
      <c r="N3" s="23"/>
      <c r="O3" s="23"/>
      <c r="P3" s="23"/>
      <c r="Q3" s="23"/>
      <c r="R3" s="23"/>
      <c r="S3" s="23"/>
      <c r="T3" s="23"/>
    </row>
    <row r="4" spans="1:20" x14ac:dyDescent="0.35">
      <c r="B4"/>
    </row>
    <row r="5" spans="1:20" ht="16" thickBot="1" x14ac:dyDescent="0.4">
      <c r="A5" s="2" t="s">
        <v>22</v>
      </c>
      <c r="B5" s="8">
        <f ca="1">MAX(B$3:B4)+0.1</f>
        <v>5.0999999999999996</v>
      </c>
      <c r="C5" s="25" t="s">
        <v>347</v>
      </c>
      <c r="D5" s="25"/>
      <c r="E5" s="25"/>
      <c r="F5" s="25"/>
      <c r="G5" s="25"/>
      <c r="H5" s="25"/>
      <c r="I5" s="25"/>
      <c r="J5" s="25"/>
      <c r="K5" s="25"/>
      <c r="L5" s="25"/>
      <c r="M5" s="25"/>
      <c r="N5" s="25"/>
      <c r="O5" s="25"/>
      <c r="P5" s="25"/>
      <c r="Q5" s="25"/>
      <c r="R5" s="25"/>
      <c r="S5" s="25"/>
      <c r="T5" s="25"/>
    </row>
    <row r="7" spans="1:20" ht="15.5" x14ac:dyDescent="0.35">
      <c r="D7" s="36" t="s">
        <v>92</v>
      </c>
      <c r="E7" s="89">
        <f>Inputs!I7</f>
        <v>2021</v>
      </c>
      <c r="F7" s="89">
        <f>Inputs!M7</f>
        <v>2021</v>
      </c>
      <c r="G7" s="89">
        <v>2021</v>
      </c>
      <c r="H7" s="89">
        <f>Inputs!O7</f>
        <v>2022</v>
      </c>
      <c r="I7" s="89">
        <f>Inputs!Q7</f>
        <v>2022</v>
      </c>
    </row>
    <row r="8" spans="1:20" ht="15.5" x14ac:dyDescent="0.35">
      <c r="D8" s="36" t="s">
        <v>93</v>
      </c>
      <c r="E8" s="37" t="str">
        <f>"VDO "&amp;E7&amp;" - "&amp;IF(LEFT(E10,1)="F","Final",IF(LEFT(E10,1)="D","Draft",IF(LEFT(E10,2)="VD","Variation draft",IF(LEFT(E10,2)="VF","Variation final"))))</f>
        <v>VDO 2021 - Final</v>
      </c>
      <c r="F8" s="37" t="str">
        <f>"VDO "&amp;F7&amp;" - "&amp;IF(LEFT(F10,1)="F","Final",IF(LEFT(F10,1)="D","Draft",IF(LEFT(F10,2)="VD","Variation draft",IF(LEFT(F10,2)="VF","Variation final"))))</f>
        <v>VDO 2021 - Variation draft</v>
      </c>
      <c r="G8" s="37" t="str">
        <f>"VDO "&amp;G7&amp;" - "&amp;IF(LEFT(G10,1)="F","Final",IF(LEFT(G10,1)="D","Draft",IF(LEFT(G10,2)="VD","Variation draft",IF(LEFT(G10,2)="VF","Variation final"))))</f>
        <v>VDO 2021 - Variation final</v>
      </c>
      <c r="H8" s="37" t="str">
        <f>"VDO "&amp;H7&amp;" - "&amp;IF(LEFT(H10,1)="F","Final",IF(LEFT(H10,1)="D","Draft",IF(LEFT(H10,2)="VD","Variation draft",IF(LEFT(H10,2)="VF","Variation final"))))</f>
        <v>VDO 2022 - Draft</v>
      </c>
      <c r="I8" s="37" t="str">
        <f>"VDO "&amp;I7&amp;" - "&amp;IF(LEFT(I10,1)="F","Final",IF(LEFT(I10,1)="D","Draft",IF(LEFT(I10,2)="VD","Variation draft",IF(LEFT(I10,2)="VF","Variation final"))))</f>
        <v>VDO 2022 - Final</v>
      </c>
    </row>
    <row r="10" spans="1:20" ht="15.5" x14ac:dyDescent="0.35">
      <c r="C10" s="38" t="s">
        <v>41</v>
      </c>
      <c r="D10" s="38" t="s">
        <v>42</v>
      </c>
      <c r="E10" s="38" t="s">
        <v>43</v>
      </c>
      <c r="F10" s="38" t="s">
        <v>356</v>
      </c>
      <c r="G10" s="38" t="s">
        <v>358</v>
      </c>
      <c r="H10" s="38" t="s">
        <v>44</v>
      </c>
      <c r="I10" s="38" t="s">
        <v>45</v>
      </c>
    </row>
    <row r="11" spans="1:20" x14ac:dyDescent="0.35">
      <c r="C11" s="70" t="str" cm="1">
        <f t="array" ref="C11:C123">INDEX(Input_ForRateCalc[[Cost element]:[Customer type]],0,MATCH(Sources!C$10,Input_ForRateCalc[[#Headers],[Cost element]:[Customer type]],0))</f>
        <v>Retail</v>
      </c>
      <c r="D11" s="70" t="str" cm="1">
        <f t="array" ref="D11:D123">INDEX(Input_ForRateCalc[[Cost element]:[Customer type]],0,MATCH(Sources!D$10,Input_ForRateCalc[[#Headers],[Cost element]:[Customer type]],0))</f>
        <v>Retail operating cost - base</v>
      </c>
      <c r="E11" s="21" t="s">
        <v>348</v>
      </c>
      <c r="F11" s="21" t="s">
        <v>348</v>
      </c>
      <c r="G11" s="21"/>
      <c r="H11" s="21"/>
      <c r="I11" s="32"/>
    </row>
    <row r="12" spans="1:20" x14ac:dyDescent="0.35">
      <c r="C12" s="70" t="str">
        <v>Retail</v>
      </c>
      <c r="D12" s="70" t="str">
        <v>Retail operating cost - regulatory cost allowance</v>
      </c>
      <c r="E12" s="108"/>
      <c r="F12" s="108"/>
      <c r="G12" s="99"/>
      <c r="H12" s="21"/>
      <c r="I12" s="21"/>
    </row>
    <row r="13" spans="1:20" x14ac:dyDescent="0.35">
      <c r="C13" s="70" t="str">
        <v>Retail</v>
      </c>
      <c r="D13" s="70" t="str">
        <v>Retail operating cost - 5 min settlement allowance</v>
      </c>
      <c r="E13" s="21" t="s">
        <v>350</v>
      </c>
      <c r="F13" s="21" t="s">
        <v>350</v>
      </c>
      <c r="G13" s="99"/>
      <c r="H13" s="21"/>
      <c r="I13" s="21"/>
    </row>
    <row r="14" spans="1:20" x14ac:dyDescent="0.35">
      <c r="C14" s="70" t="str">
        <v>Retail</v>
      </c>
      <c r="D14" s="70" t="str">
        <v>Retail operating cost - bad debt allowance</v>
      </c>
      <c r="E14" s="21" t="s">
        <v>349</v>
      </c>
      <c r="F14" s="21" t="s">
        <v>349</v>
      </c>
      <c r="G14" s="99"/>
      <c r="H14" s="21"/>
      <c r="I14" s="21"/>
    </row>
    <row r="15" spans="1:20" x14ac:dyDescent="0.35">
      <c r="C15" s="70" t="str">
        <v>Retail</v>
      </c>
      <c r="D15" s="70" t="str">
        <v>Customer acquisition and retention cost</v>
      </c>
      <c r="E15" s="21" t="s">
        <v>46</v>
      </c>
      <c r="F15" s="21" t="s">
        <v>46</v>
      </c>
      <c r="G15" s="99"/>
      <c r="H15" s="21"/>
      <c r="I15" s="21"/>
    </row>
    <row r="16" spans="1:20" x14ac:dyDescent="0.35">
      <c r="C16" s="70" t="str">
        <v>Solar</v>
      </c>
      <c r="D16" s="70" t="str">
        <v>Feed-in tariff (FiT)</v>
      </c>
      <c r="E16" s="21" t="s">
        <v>47</v>
      </c>
      <c r="F16" s="21" t="s">
        <v>47</v>
      </c>
      <c r="G16" s="99"/>
      <c r="H16" s="21"/>
      <c r="I16" s="21"/>
    </row>
    <row r="17" spans="3:9" x14ac:dyDescent="0.35">
      <c r="C17" s="70" t="str">
        <v>Other</v>
      </c>
      <c r="D17" s="70" t="str">
        <v>ESC licence fees</v>
      </c>
      <c r="E17" s="21" t="s">
        <v>48</v>
      </c>
      <c r="F17" s="21" t="s">
        <v>48</v>
      </c>
      <c r="G17" s="99"/>
      <c r="H17" s="21"/>
      <c r="I17" s="21"/>
    </row>
    <row r="18" spans="3:9" x14ac:dyDescent="0.35">
      <c r="C18" s="70" t="str">
        <v>Other</v>
      </c>
      <c r="D18" s="70" t="str">
        <v>Reliability and emergency reserve trader (RERT)</v>
      </c>
      <c r="E18" s="21" t="s">
        <v>49</v>
      </c>
      <c r="F18" s="21" t="s">
        <v>49</v>
      </c>
      <c r="G18" s="99"/>
      <c r="H18" s="21"/>
      <c r="I18" s="21"/>
    </row>
    <row r="19" spans="3:9" x14ac:dyDescent="0.35">
      <c r="C19" s="70" t="str">
        <v>Other</v>
      </c>
      <c r="D19" s="70" t="str">
        <v>Electricity consumer advocacy panel</v>
      </c>
      <c r="E19" s="21" t="s">
        <v>50</v>
      </c>
      <c r="F19" s="21" t="s">
        <v>50</v>
      </c>
      <c r="G19" s="99"/>
      <c r="H19" s="21"/>
      <c r="I19" s="21"/>
    </row>
    <row r="20" spans="3:9" x14ac:dyDescent="0.35">
      <c r="C20" s="70" t="str">
        <v>Other</v>
      </c>
      <c r="D20" s="70" t="str">
        <v>Full retail competition (FRC) operations</v>
      </c>
      <c r="E20" s="21" t="s">
        <v>50</v>
      </c>
      <c r="F20" s="21" t="s">
        <v>50</v>
      </c>
      <c r="G20" s="99"/>
      <c r="H20" s="21"/>
      <c r="I20" s="21"/>
    </row>
    <row r="21" spans="3:9" x14ac:dyDescent="0.35">
      <c r="C21" s="70" t="str">
        <v>Network</v>
      </c>
      <c r="D21" s="70" t="str">
        <v>Metering - Ausnet</v>
      </c>
      <c r="E21" s="21" t="s">
        <v>51</v>
      </c>
      <c r="F21" s="1" t="s">
        <v>398</v>
      </c>
      <c r="G21" s="99"/>
      <c r="H21" s="21"/>
      <c r="I21" s="21"/>
    </row>
    <row r="22" spans="3:9" x14ac:dyDescent="0.35">
      <c r="C22" s="70" t="str">
        <v>Network</v>
      </c>
      <c r="D22" s="70" t="str">
        <v>Metering - Citipower</v>
      </c>
      <c r="E22" s="21" t="s">
        <v>52</v>
      </c>
      <c r="F22" s="1" t="s">
        <v>404</v>
      </c>
      <c r="G22" s="99"/>
      <c r="H22" s="21"/>
      <c r="I22" s="21"/>
    </row>
    <row r="23" spans="3:9" x14ac:dyDescent="0.35">
      <c r="C23" s="70" t="str">
        <v>Network</v>
      </c>
      <c r="D23" s="70" t="str">
        <v>Metering - Jemena</v>
      </c>
      <c r="E23" s="21" t="s">
        <v>53</v>
      </c>
      <c r="F23" s="1" t="s">
        <v>422</v>
      </c>
      <c r="G23" s="99"/>
      <c r="H23" s="21"/>
      <c r="I23" s="21"/>
    </row>
    <row r="24" spans="3:9" x14ac:dyDescent="0.35">
      <c r="C24" s="70" t="str">
        <v>Network</v>
      </c>
      <c r="D24" s="70" t="str">
        <v>Metering - Powercor</v>
      </c>
      <c r="E24" s="21" t="s">
        <v>54</v>
      </c>
      <c r="F24" s="1" t="s">
        <v>410</v>
      </c>
      <c r="G24" s="99"/>
      <c r="H24" s="21"/>
      <c r="I24" s="21"/>
    </row>
    <row r="25" spans="3:9" x14ac:dyDescent="0.35">
      <c r="C25" s="70" t="str">
        <v>Network</v>
      </c>
      <c r="D25" s="70" t="str">
        <v>Metering - United Energy</v>
      </c>
      <c r="E25" s="21" t="s">
        <v>55</v>
      </c>
      <c r="F25" s="1" t="s">
        <v>416</v>
      </c>
      <c r="G25" s="99"/>
      <c r="H25" s="21"/>
      <c r="I25" s="21"/>
    </row>
    <row r="26" spans="3:9" x14ac:dyDescent="0.35">
      <c r="C26" s="70" t="str">
        <v>Network</v>
      </c>
      <c r="D26" s="70" t="str">
        <v>Anytime - supply charge - RES - Ausnet</v>
      </c>
      <c r="E26" s="21" t="s">
        <v>56</v>
      </c>
      <c r="F26" s="1" t="s">
        <v>399</v>
      </c>
      <c r="G26" s="99"/>
      <c r="H26" s="21"/>
      <c r="I26" s="21"/>
    </row>
    <row r="27" spans="3:9" x14ac:dyDescent="0.35">
      <c r="C27" s="70" t="str">
        <v>Network</v>
      </c>
      <c r="D27" s="70" t="str">
        <v>Anytime - supply charge - RES - Citipower</v>
      </c>
      <c r="E27" s="21" t="s">
        <v>57</v>
      </c>
      <c r="F27" s="1" t="s">
        <v>405</v>
      </c>
      <c r="G27" s="99"/>
      <c r="H27" s="21"/>
      <c r="I27" s="21"/>
    </row>
    <row r="28" spans="3:9" x14ac:dyDescent="0.35">
      <c r="C28" s="70" t="str">
        <v>Network</v>
      </c>
      <c r="D28" s="70" t="str">
        <v>Anytime - supply charge - RES - Jemena</v>
      </c>
      <c r="E28" s="21" t="s">
        <v>58</v>
      </c>
      <c r="F28" s="1" t="s">
        <v>425</v>
      </c>
      <c r="G28" s="99"/>
      <c r="H28" s="21"/>
      <c r="I28" s="21"/>
    </row>
    <row r="29" spans="3:9" x14ac:dyDescent="0.35">
      <c r="C29" s="70" t="str">
        <v>Network</v>
      </c>
      <c r="D29" s="70" t="str">
        <v>Anytime - supply charge - RES - Powercor</v>
      </c>
      <c r="E29" s="21" t="s">
        <v>59</v>
      </c>
      <c r="F29" s="1" t="s">
        <v>411</v>
      </c>
      <c r="G29" s="99"/>
      <c r="H29" s="21"/>
      <c r="I29" s="21"/>
    </row>
    <row r="30" spans="3:9" x14ac:dyDescent="0.35">
      <c r="C30" s="70" t="str">
        <v>Network</v>
      </c>
      <c r="D30" s="70" t="str">
        <v>Anytime - supply charge - RES - United Energy</v>
      </c>
      <c r="E30" s="21" t="s">
        <v>60</v>
      </c>
      <c r="F30" s="1" t="s">
        <v>417</v>
      </c>
      <c r="G30" s="99"/>
      <c r="H30" s="21"/>
      <c r="I30" s="21"/>
    </row>
    <row r="31" spans="3:9" x14ac:dyDescent="0.35">
      <c r="C31" s="70" t="str">
        <v>Network</v>
      </c>
      <c r="D31" s="70" t="str">
        <v>Anytime - supply charge - SME - Ausnet</v>
      </c>
      <c r="E31" s="21" t="s">
        <v>61</v>
      </c>
      <c r="F31" s="1" t="s">
        <v>400</v>
      </c>
      <c r="G31" s="99"/>
      <c r="H31" s="21"/>
      <c r="I31" s="21"/>
    </row>
    <row r="32" spans="3:9" x14ac:dyDescent="0.35">
      <c r="C32" s="70" t="str">
        <v>Network</v>
      </c>
      <c r="D32" s="70" t="str">
        <v>Anytime - supply charge - SME - Citipower</v>
      </c>
      <c r="E32" s="21" t="s">
        <v>62</v>
      </c>
      <c r="F32" s="1" t="s">
        <v>406</v>
      </c>
      <c r="G32" s="99"/>
      <c r="H32" s="21"/>
      <c r="I32" s="21"/>
    </row>
    <row r="33" spans="3:9" x14ac:dyDescent="0.35">
      <c r="C33" s="70" t="str">
        <v>Network</v>
      </c>
      <c r="D33" s="70" t="str">
        <v>Anytime - supply charge - SME - Jemena</v>
      </c>
      <c r="E33" s="21" t="s">
        <v>63</v>
      </c>
      <c r="F33" s="1" t="s">
        <v>424</v>
      </c>
      <c r="G33" s="99"/>
      <c r="H33" s="21"/>
      <c r="I33" s="21"/>
    </row>
    <row r="34" spans="3:9" x14ac:dyDescent="0.35">
      <c r="C34" s="70" t="str">
        <v>Network</v>
      </c>
      <c r="D34" s="70" t="str">
        <v>Anytime - supply charge - SME - Powercor</v>
      </c>
      <c r="E34" s="21" t="s">
        <v>64</v>
      </c>
      <c r="F34" s="1" t="s">
        <v>412</v>
      </c>
      <c r="G34" s="99"/>
      <c r="H34" s="21"/>
      <c r="I34" s="21"/>
    </row>
    <row r="35" spans="3:9" x14ac:dyDescent="0.35">
      <c r="C35" s="70" t="str">
        <v>Network</v>
      </c>
      <c r="D35" s="70" t="str">
        <v>Anytime - supply charge - SME - United Energy</v>
      </c>
      <c r="E35" s="21" t="s">
        <v>65</v>
      </c>
      <c r="F35" s="1" t="s">
        <v>418</v>
      </c>
      <c r="G35" s="99"/>
      <c r="H35" s="21"/>
      <c r="I35" s="21"/>
    </row>
    <row r="36" spans="3:9" x14ac:dyDescent="0.35">
      <c r="C36" s="70" t="str">
        <v>Network</v>
      </c>
      <c r="D36" s="70" t="str">
        <v>TOU - supply charge - RES - Ausnet</v>
      </c>
      <c r="E36" s="21" t="s">
        <v>75</v>
      </c>
      <c r="F36" s="1" t="s">
        <v>401</v>
      </c>
      <c r="G36" s="99"/>
      <c r="H36" s="21"/>
      <c r="I36" s="21"/>
    </row>
    <row r="37" spans="3:9" x14ac:dyDescent="0.35">
      <c r="C37" s="70" t="str">
        <v>Network</v>
      </c>
      <c r="D37" s="70" t="str">
        <v>TOU - supply charge - RES - Citipower</v>
      </c>
      <c r="E37" s="21" t="s">
        <v>75</v>
      </c>
      <c r="F37" s="1" t="s">
        <v>407</v>
      </c>
      <c r="G37" s="99"/>
      <c r="H37" s="21"/>
      <c r="I37" s="21"/>
    </row>
    <row r="38" spans="3:9" x14ac:dyDescent="0.35">
      <c r="C38" s="70" t="str">
        <v>Network</v>
      </c>
      <c r="D38" s="70" t="str">
        <v>TOU - supply charge - RES - Jemena</v>
      </c>
      <c r="E38" s="21" t="s">
        <v>75</v>
      </c>
      <c r="F38" s="1" t="s">
        <v>423</v>
      </c>
      <c r="G38" s="99"/>
      <c r="H38" s="21"/>
      <c r="I38" s="21"/>
    </row>
    <row r="39" spans="3:9" x14ac:dyDescent="0.35">
      <c r="C39" s="70" t="str">
        <v>Network</v>
      </c>
      <c r="D39" s="70" t="str">
        <v>TOU - supply charge - RES - Powercor</v>
      </c>
      <c r="E39" s="21" t="s">
        <v>75</v>
      </c>
      <c r="F39" s="1" t="s">
        <v>413</v>
      </c>
      <c r="G39" s="99"/>
      <c r="H39" s="21"/>
      <c r="I39" s="21"/>
    </row>
    <row r="40" spans="3:9" x14ac:dyDescent="0.35">
      <c r="C40" s="70" t="str">
        <v>Network</v>
      </c>
      <c r="D40" s="70" t="str">
        <v>TOU - supply charge - RES - United Energy</v>
      </c>
      <c r="E40" s="21" t="s">
        <v>75</v>
      </c>
      <c r="F40" s="1" t="s">
        <v>419</v>
      </c>
      <c r="G40" s="99"/>
      <c r="H40" s="21"/>
      <c r="I40" s="21"/>
    </row>
    <row r="41" spans="3:9" x14ac:dyDescent="0.35">
      <c r="C41" s="70" t="str">
        <v>Network</v>
      </c>
      <c r="D41" s="70" t="str">
        <v>TOU - supply charge - SME - Ausnet</v>
      </c>
      <c r="E41" s="21" t="s">
        <v>75</v>
      </c>
      <c r="F41" s="1" t="s">
        <v>402</v>
      </c>
      <c r="G41" s="99"/>
      <c r="H41" s="21"/>
      <c r="I41" s="21"/>
    </row>
    <row r="42" spans="3:9" x14ac:dyDescent="0.35">
      <c r="C42" s="70" t="str">
        <v>Network</v>
      </c>
      <c r="D42" s="70" t="str">
        <v>TOU - supply charge - SME - Citipower</v>
      </c>
      <c r="E42" s="21" t="s">
        <v>75</v>
      </c>
      <c r="F42" s="1" t="s">
        <v>408</v>
      </c>
      <c r="G42" s="99"/>
      <c r="H42" s="21"/>
      <c r="I42" s="21"/>
    </row>
    <row r="43" spans="3:9" x14ac:dyDescent="0.35">
      <c r="C43" s="70" t="str">
        <v>Network</v>
      </c>
      <c r="D43" s="70" t="str">
        <v>TOU - supply charge - SME - Jemena</v>
      </c>
      <c r="E43" s="21" t="s">
        <v>75</v>
      </c>
      <c r="F43" s="1" t="s">
        <v>426</v>
      </c>
      <c r="G43" s="99"/>
      <c r="H43" s="21"/>
      <c r="I43" s="21"/>
    </row>
    <row r="44" spans="3:9" x14ac:dyDescent="0.35">
      <c r="C44" s="70" t="str">
        <v>Network</v>
      </c>
      <c r="D44" s="70" t="str">
        <v>TOU - supply charge - SME - Powercor</v>
      </c>
      <c r="E44" s="21" t="s">
        <v>75</v>
      </c>
      <c r="F44" s="1" t="s">
        <v>414</v>
      </c>
      <c r="G44" s="99"/>
      <c r="H44" s="21"/>
      <c r="I44" s="21"/>
    </row>
    <row r="45" spans="3:9" x14ac:dyDescent="0.35">
      <c r="C45" s="70" t="str">
        <v>Network</v>
      </c>
      <c r="D45" s="70" t="str">
        <v>TOU - supply charge - SME - United Energy</v>
      </c>
      <c r="E45" s="21" t="s">
        <v>75</v>
      </c>
      <c r="F45" s="1" t="s">
        <v>420</v>
      </c>
      <c r="G45" s="99"/>
      <c r="H45" s="21"/>
      <c r="I45" s="21"/>
    </row>
    <row r="46" spans="3:9" x14ac:dyDescent="0.35">
      <c r="C46" s="70" t="str">
        <v>Wholesale</v>
      </c>
      <c r="D46" s="70" t="str">
        <v>Price - RES - Ausnet</v>
      </c>
      <c r="E46" s="21" t="s">
        <v>66</v>
      </c>
      <c r="F46" s="21" t="s">
        <v>66</v>
      </c>
      <c r="G46" s="99"/>
      <c r="H46" s="21"/>
      <c r="I46" s="21"/>
    </row>
    <row r="47" spans="3:9" x14ac:dyDescent="0.35">
      <c r="C47" s="70" t="str">
        <v>Wholesale</v>
      </c>
      <c r="D47" s="70" t="str">
        <v>Price - RES - Citipower</v>
      </c>
      <c r="E47" s="21" t="s">
        <v>66</v>
      </c>
      <c r="F47" s="21" t="s">
        <v>66</v>
      </c>
      <c r="G47" s="99"/>
      <c r="H47" s="21"/>
      <c r="I47" s="21"/>
    </row>
    <row r="48" spans="3:9" x14ac:dyDescent="0.35">
      <c r="C48" s="70" t="str">
        <v>Wholesale</v>
      </c>
      <c r="D48" s="70" t="str">
        <v>Price - RES - Jemena</v>
      </c>
      <c r="E48" s="21" t="s">
        <v>66</v>
      </c>
      <c r="F48" s="21" t="s">
        <v>66</v>
      </c>
      <c r="G48" s="99"/>
      <c r="H48" s="21"/>
      <c r="I48" s="21"/>
    </row>
    <row r="49" spans="3:9" x14ac:dyDescent="0.35">
      <c r="C49" s="70" t="str">
        <v>Wholesale</v>
      </c>
      <c r="D49" s="70" t="str">
        <v>Price - RES - Powercor</v>
      </c>
      <c r="E49" s="21" t="s">
        <v>66</v>
      </c>
      <c r="F49" s="21" t="s">
        <v>66</v>
      </c>
      <c r="G49" s="99"/>
      <c r="H49" s="21"/>
      <c r="I49" s="21"/>
    </row>
    <row r="50" spans="3:9" x14ac:dyDescent="0.35">
      <c r="C50" s="70" t="str">
        <v>Wholesale</v>
      </c>
      <c r="D50" s="70" t="str">
        <v>Price - RES - United Energy</v>
      </c>
      <c r="E50" s="21" t="s">
        <v>66</v>
      </c>
      <c r="F50" s="21" t="s">
        <v>66</v>
      </c>
      <c r="G50" s="99"/>
      <c r="H50" s="21"/>
      <c r="I50" s="21"/>
    </row>
    <row r="51" spans="3:9" x14ac:dyDescent="0.35">
      <c r="C51" s="70" t="str">
        <v>Wholesale</v>
      </c>
      <c r="D51" s="70" t="str">
        <v>Volatility - RES - Ausnet</v>
      </c>
      <c r="E51" s="21" t="s">
        <v>67</v>
      </c>
      <c r="F51" s="21" t="s">
        <v>67</v>
      </c>
      <c r="G51" s="99"/>
      <c r="H51" s="21"/>
      <c r="I51" s="21"/>
    </row>
    <row r="52" spans="3:9" x14ac:dyDescent="0.35">
      <c r="C52" s="70" t="str">
        <v>Wholesale</v>
      </c>
      <c r="D52" s="70" t="str">
        <v>Volatility - RES - Citipower</v>
      </c>
      <c r="E52" s="21" t="s">
        <v>67</v>
      </c>
      <c r="F52" s="21" t="s">
        <v>67</v>
      </c>
      <c r="G52" s="99"/>
      <c r="H52" s="21"/>
      <c r="I52" s="21"/>
    </row>
    <row r="53" spans="3:9" x14ac:dyDescent="0.35">
      <c r="C53" s="70" t="str">
        <v>Wholesale</v>
      </c>
      <c r="D53" s="70" t="str">
        <v>Volatility - RES - Jemena</v>
      </c>
      <c r="E53" s="21" t="s">
        <v>67</v>
      </c>
      <c r="F53" s="21" t="s">
        <v>67</v>
      </c>
      <c r="G53" s="99"/>
      <c r="H53" s="21"/>
      <c r="I53" s="21"/>
    </row>
    <row r="54" spans="3:9" x14ac:dyDescent="0.35">
      <c r="C54" s="70" t="str">
        <v>Wholesale</v>
      </c>
      <c r="D54" s="70" t="str">
        <v>Volatility - RES - Powercor</v>
      </c>
      <c r="E54" s="21" t="s">
        <v>67</v>
      </c>
      <c r="F54" s="21" t="s">
        <v>67</v>
      </c>
      <c r="G54" s="99"/>
      <c r="H54" s="21"/>
      <c r="I54" s="21"/>
    </row>
    <row r="55" spans="3:9" x14ac:dyDescent="0.35">
      <c r="C55" s="70" t="str">
        <v>Wholesale</v>
      </c>
      <c r="D55" s="70" t="str">
        <v>Volatility - RES - United Energy</v>
      </c>
      <c r="E55" s="21" t="s">
        <v>67</v>
      </c>
      <c r="F55" s="21" t="s">
        <v>67</v>
      </c>
      <c r="G55" s="99"/>
      <c r="H55" s="21"/>
      <c r="I55" s="21"/>
    </row>
    <row r="56" spans="3:9" x14ac:dyDescent="0.35">
      <c r="C56" s="70" t="str">
        <v>Wholesale</v>
      </c>
      <c r="D56" s="70" t="str">
        <v>Price - SME - Ausnet</v>
      </c>
      <c r="E56" s="21" t="s">
        <v>66</v>
      </c>
      <c r="F56" s="21" t="s">
        <v>66</v>
      </c>
      <c r="G56" s="99"/>
      <c r="H56" s="21"/>
      <c r="I56" s="21"/>
    </row>
    <row r="57" spans="3:9" x14ac:dyDescent="0.35">
      <c r="C57" s="70" t="str">
        <v>Wholesale</v>
      </c>
      <c r="D57" s="70" t="str">
        <v>Price - SME - Citipower</v>
      </c>
      <c r="E57" s="21" t="s">
        <v>66</v>
      </c>
      <c r="F57" s="21" t="s">
        <v>66</v>
      </c>
      <c r="G57" s="99"/>
      <c r="H57" s="21"/>
      <c r="I57" s="21"/>
    </row>
    <row r="58" spans="3:9" x14ac:dyDescent="0.35">
      <c r="C58" s="70" t="str">
        <v>Wholesale</v>
      </c>
      <c r="D58" s="70" t="str">
        <v>Price - SME - Jemena</v>
      </c>
      <c r="E58" s="21" t="s">
        <v>66</v>
      </c>
      <c r="F58" s="21" t="s">
        <v>66</v>
      </c>
      <c r="G58" s="99"/>
      <c r="H58" s="21"/>
      <c r="I58" s="21"/>
    </row>
    <row r="59" spans="3:9" x14ac:dyDescent="0.35">
      <c r="C59" s="70" t="str">
        <v>Wholesale</v>
      </c>
      <c r="D59" s="70" t="str">
        <v>Price - SME - Powercor</v>
      </c>
      <c r="E59" s="21" t="s">
        <v>66</v>
      </c>
      <c r="F59" s="21" t="s">
        <v>66</v>
      </c>
      <c r="G59" s="99"/>
      <c r="H59" s="21"/>
      <c r="I59" s="21"/>
    </row>
    <row r="60" spans="3:9" x14ac:dyDescent="0.35">
      <c r="C60" s="70" t="str">
        <v>Wholesale</v>
      </c>
      <c r="D60" s="70" t="str">
        <v>Price - SME - United Energy</v>
      </c>
      <c r="E60" s="21" t="s">
        <v>66</v>
      </c>
      <c r="F60" s="21" t="s">
        <v>66</v>
      </c>
      <c r="G60" s="99"/>
      <c r="H60" s="21"/>
      <c r="I60" s="21"/>
    </row>
    <row r="61" spans="3:9" x14ac:dyDescent="0.35">
      <c r="C61" s="70" t="str">
        <v>Wholesale</v>
      </c>
      <c r="D61" s="70" t="str">
        <v>Volatility - SME - Ausnet</v>
      </c>
      <c r="E61" s="21" t="s">
        <v>67</v>
      </c>
      <c r="F61" s="21" t="s">
        <v>67</v>
      </c>
      <c r="G61" s="99"/>
      <c r="H61" s="21"/>
      <c r="I61" s="21"/>
    </row>
    <row r="62" spans="3:9" x14ac:dyDescent="0.35">
      <c r="C62" s="70" t="str">
        <v>Wholesale</v>
      </c>
      <c r="D62" s="70" t="str">
        <v>Volatility - SME - Citipower</v>
      </c>
      <c r="E62" s="21" t="s">
        <v>67</v>
      </c>
      <c r="F62" s="21" t="s">
        <v>67</v>
      </c>
      <c r="G62" s="99"/>
      <c r="H62" s="21"/>
      <c r="I62" s="21"/>
    </row>
    <row r="63" spans="3:9" x14ac:dyDescent="0.35">
      <c r="C63" s="70" t="str">
        <v>Wholesale</v>
      </c>
      <c r="D63" s="70" t="str">
        <v>Volatility - SME - Jemena</v>
      </c>
      <c r="E63" s="21" t="s">
        <v>67</v>
      </c>
      <c r="F63" s="21" t="s">
        <v>67</v>
      </c>
      <c r="G63" s="99"/>
      <c r="H63" s="21"/>
      <c r="I63" s="21"/>
    </row>
    <row r="64" spans="3:9" x14ac:dyDescent="0.35">
      <c r="C64" s="70" t="str">
        <v>Wholesale</v>
      </c>
      <c r="D64" s="70" t="str">
        <v>Volatility - SME - Powercor</v>
      </c>
      <c r="E64" s="21" t="s">
        <v>67</v>
      </c>
      <c r="F64" s="21" t="s">
        <v>67</v>
      </c>
      <c r="G64" s="99"/>
      <c r="H64" s="21"/>
      <c r="I64" s="21"/>
    </row>
    <row r="65" spans="3:9" x14ac:dyDescent="0.35">
      <c r="C65" s="70" t="str">
        <v>Wholesale</v>
      </c>
      <c r="D65" s="70" t="str">
        <v>Volatility - SME - United Energy</v>
      </c>
      <c r="E65" s="21" t="s">
        <v>67</v>
      </c>
      <c r="F65" s="21" t="s">
        <v>67</v>
      </c>
      <c r="G65" s="99"/>
      <c r="H65" s="21"/>
      <c r="I65" s="21"/>
    </row>
    <row r="66" spans="3:9" x14ac:dyDescent="0.35">
      <c r="C66" s="70" t="str">
        <v>Environmental</v>
      </c>
      <c r="D66" s="70" t="str">
        <v>Victorian energy upgrades (VEU) - Price</v>
      </c>
      <c r="E66" s="21" t="s">
        <v>68</v>
      </c>
      <c r="F66" s="21" t="s">
        <v>68</v>
      </c>
      <c r="G66" s="99"/>
      <c r="H66" s="21"/>
      <c r="I66" s="21"/>
    </row>
    <row r="67" spans="3:9" x14ac:dyDescent="0.35">
      <c r="C67" s="70" t="str">
        <v>Environmental</v>
      </c>
      <c r="D67" s="70" t="str">
        <v>Large-scale renewable energy target (LRET) - Price</v>
      </c>
      <c r="E67" s="21" t="s">
        <v>69</v>
      </c>
      <c r="F67" s="21" t="s">
        <v>69</v>
      </c>
      <c r="G67" s="99"/>
      <c r="H67" s="21"/>
      <c r="I67" s="21"/>
    </row>
    <row r="68" spans="3:9" x14ac:dyDescent="0.35">
      <c r="C68" s="70" t="str">
        <v>Environmental</v>
      </c>
      <c r="D68" s="70" t="str">
        <v>Small-scale renewable energy scheme (SRES) - Price</v>
      </c>
      <c r="E68" s="21" t="s">
        <v>70</v>
      </c>
      <c r="F68" s="21" t="s">
        <v>70</v>
      </c>
      <c r="G68" s="99"/>
      <c r="H68" s="21"/>
      <c r="I68" s="21"/>
    </row>
    <row r="69" spans="3:9" x14ac:dyDescent="0.35">
      <c r="C69" s="70" t="str">
        <v>Environmental</v>
      </c>
      <c r="D69" s="70" t="str">
        <v>Victorian energy upgrades (VEU) - Liability</v>
      </c>
      <c r="E69" s="21" t="s">
        <v>71</v>
      </c>
      <c r="F69" s="21" t="s">
        <v>71</v>
      </c>
      <c r="G69" s="99"/>
      <c r="H69" s="21"/>
      <c r="I69" s="21"/>
    </row>
    <row r="70" spans="3:9" x14ac:dyDescent="0.35">
      <c r="C70" s="70" t="str">
        <v>Environmental</v>
      </c>
      <c r="D70" s="70" t="str">
        <v>Large-scale renewable energy target (LRET) - Liability</v>
      </c>
      <c r="E70" s="21" t="s">
        <v>72</v>
      </c>
      <c r="F70" s="21" t="s">
        <v>72</v>
      </c>
      <c r="G70" s="99"/>
      <c r="H70" s="21"/>
      <c r="I70" s="21"/>
    </row>
    <row r="71" spans="3:9" x14ac:dyDescent="0.35">
      <c r="C71" s="70" t="str">
        <v>Environmental</v>
      </c>
      <c r="D71" s="70" t="str">
        <v>Small-scale renewable energy scheme (SRES) - Liability</v>
      </c>
      <c r="E71" s="21" t="s">
        <v>73</v>
      </c>
      <c r="F71" s="21" t="s">
        <v>73</v>
      </c>
      <c r="G71" s="99"/>
      <c r="H71" s="21"/>
      <c r="I71" s="21"/>
    </row>
    <row r="72" spans="3:9" x14ac:dyDescent="0.35">
      <c r="C72" s="70" t="str">
        <v>Other</v>
      </c>
      <c r="D72" s="70" t="str">
        <v>General NEM fees</v>
      </c>
      <c r="E72" s="21" t="s">
        <v>74</v>
      </c>
      <c r="F72" s="21" t="s">
        <v>74</v>
      </c>
      <c r="G72" s="99"/>
      <c r="H72" s="21"/>
      <c r="I72" s="21"/>
    </row>
    <row r="73" spans="3:9" x14ac:dyDescent="0.35">
      <c r="C73" s="70" t="str">
        <v>Other</v>
      </c>
      <c r="D73" s="70" t="str">
        <v>Full retail competition (FRC) operations (OBSOLETE)</v>
      </c>
      <c r="E73" s="21" t="s">
        <v>75</v>
      </c>
      <c r="F73" s="21" t="s">
        <v>75</v>
      </c>
      <c r="G73" s="99"/>
      <c r="H73" s="21"/>
      <c r="I73" s="21"/>
    </row>
    <row r="74" spans="3:9" x14ac:dyDescent="0.35">
      <c r="C74" s="70" t="str">
        <v>Other</v>
      </c>
      <c r="D74" s="70" t="str">
        <v>National transmission planner</v>
      </c>
      <c r="E74" s="21" t="s">
        <v>50</v>
      </c>
      <c r="F74" s="21" t="s">
        <v>50</v>
      </c>
      <c r="G74" s="99"/>
      <c r="H74" s="21"/>
      <c r="I74" s="21"/>
    </row>
    <row r="75" spans="3:9" x14ac:dyDescent="0.35">
      <c r="C75" s="70" t="str">
        <v>Other</v>
      </c>
      <c r="D75" s="70" t="str">
        <v>Ancillary services</v>
      </c>
      <c r="E75" s="21" t="s">
        <v>76</v>
      </c>
      <c r="F75" s="21" t="s">
        <v>76</v>
      </c>
      <c r="G75" s="99"/>
      <c r="H75" s="21"/>
      <c r="I75" s="21"/>
    </row>
    <row r="76" spans="3:9" x14ac:dyDescent="0.35">
      <c r="C76" s="70" t="str">
        <v>Network</v>
      </c>
      <c r="D76" s="70" t="str">
        <v>Anytime - Block 1 - RES - Ausnet</v>
      </c>
      <c r="E76" s="21" t="s">
        <v>56</v>
      </c>
      <c r="F76" s="1" t="s">
        <v>399</v>
      </c>
      <c r="G76" s="99"/>
      <c r="H76" s="21"/>
      <c r="I76" s="21"/>
    </row>
    <row r="77" spans="3:9" x14ac:dyDescent="0.35">
      <c r="C77" s="70" t="str">
        <v>Network</v>
      </c>
      <c r="D77" s="70" t="str">
        <v>Anytime - Balance - RES - Ausnet</v>
      </c>
      <c r="E77" s="21" t="s">
        <v>56</v>
      </c>
      <c r="F77" s="1" t="s">
        <v>399</v>
      </c>
      <c r="G77" s="99"/>
      <c r="H77" s="21"/>
      <c r="I77" s="21"/>
    </row>
    <row r="78" spans="3:9" x14ac:dyDescent="0.35">
      <c r="C78" s="70" t="str">
        <v>Network</v>
      </c>
      <c r="D78" s="70" t="str">
        <v>Anytime - Single rate - RES - Citipower</v>
      </c>
      <c r="E78" s="21" t="s">
        <v>57</v>
      </c>
      <c r="F78" s="1" t="s">
        <v>405</v>
      </c>
      <c r="G78" s="99"/>
      <c r="H78" s="21"/>
      <c r="I78" s="21"/>
    </row>
    <row r="79" spans="3:9" x14ac:dyDescent="0.35">
      <c r="C79" s="70" t="str">
        <v>Network</v>
      </c>
      <c r="D79" s="70" t="str">
        <v>Anytime - Single rate - RES - Jemena</v>
      </c>
      <c r="E79" s="21" t="s">
        <v>58</v>
      </c>
      <c r="F79" s="1" t="s">
        <v>425</v>
      </c>
      <c r="G79" s="99"/>
      <c r="H79" s="21"/>
      <c r="I79" s="21"/>
    </row>
    <row r="80" spans="3:9" x14ac:dyDescent="0.35">
      <c r="C80" s="70" t="str">
        <v>Network</v>
      </c>
      <c r="D80" s="70" t="str">
        <v>Anytime - Single rate - RES - Powercor</v>
      </c>
      <c r="E80" s="21" t="s">
        <v>59</v>
      </c>
      <c r="F80" s="1" t="s">
        <v>411</v>
      </c>
      <c r="G80" s="99"/>
      <c r="H80" s="21"/>
      <c r="I80" s="21"/>
    </row>
    <row r="81" spans="3:9" x14ac:dyDescent="0.35">
      <c r="C81" s="70" t="str">
        <v>Network</v>
      </c>
      <c r="D81" s="70" t="str">
        <v>Anytime - Single rate - RES - United Energy</v>
      </c>
      <c r="E81" s="21" t="s">
        <v>60</v>
      </c>
      <c r="F81" s="1" t="s">
        <v>417</v>
      </c>
      <c r="G81" s="99"/>
      <c r="H81" s="21"/>
      <c r="I81" s="21"/>
    </row>
    <row r="82" spans="3:9" x14ac:dyDescent="0.35">
      <c r="C82" s="70" t="str">
        <v>Network</v>
      </c>
      <c r="D82" s="70" t="str">
        <v>Anytime - Block 1 - SME - Ausnet</v>
      </c>
      <c r="E82" s="21" t="s">
        <v>61</v>
      </c>
      <c r="F82" s="1" t="s">
        <v>400</v>
      </c>
      <c r="G82" s="99"/>
      <c r="H82" s="21"/>
      <c r="I82" s="21"/>
    </row>
    <row r="83" spans="3:9" x14ac:dyDescent="0.35">
      <c r="C83" s="70" t="str">
        <v>Network</v>
      </c>
      <c r="D83" s="70" t="str">
        <v>Anytime - Balance - SME - Ausnet</v>
      </c>
      <c r="E83" s="21" t="s">
        <v>61</v>
      </c>
      <c r="F83" s="1" t="s">
        <v>400</v>
      </c>
      <c r="G83" s="99"/>
      <c r="H83" s="21"/>
      <c r="I83" s="21"/>
    </row>
    <row r="84" spans="3:9" x14ac:dyDescent="0.35">
      <c r="C84" s="70" t="str">
        <v>Network</v>
      </c>
      <c r="D84" s="70" t="str">
        <v>Anytime - Single rate - SME - Citipower</v>
      </c>
      <c r="E84" s="21" t="s">
        <v>62</v>
      </c>
      <c r="F84" s="1" t="s">
        <v>406</v>
      </c>
      <c r="G84" s="99"/>
      <c r="H84" s="21"/>
      <c r="I84" s="21"/>
    </row>
    <row r="85" spans="3:9" x14ac:dyDescent="0.35">
      <c r="C85" s="70" t="str">
        <v>Network</v>
      </c>
      <c r="D85" s="70" t="str">
        <v>Anytime - Single rate - SME - Jemena</v>
      </c>
      <c r="E85" s="21" t="s">
        <v>63</v>
      </c>
      <c r="F85" s="1" t="s">
        <v>424</v>
      </c>
      <c r="G85" s="99"/>
      <c r="H85" s="21"/>
      <c r="I85" s="21"/>
    </row>
    <row r="86" spans="3:9" x14ac:dyDescent="0.35">
      <c r="C86" s="70" t="str">
        <v>Network</v>
      </c>
      <c r="D86" s="70" t="str">
        <v>Anytime - Single rate - SME - Powercor</v>
      </c>
      <c r="E86" s="21" t="s">
        <v>64</v>
      </c>
      <c r="F86" s="1" t="s">
        <v>412</v>
      </c>
      <c r="G86" s="99"/>
      <c r="H86" s="21"/>
      <c r="I86" s="21"/>
    </row>
    <row r="87" spans="3:9" x14ac:dyDescent="0.35">
      <c r="C87" s="70" t="str">
        <v>Network</v>
      </c>
      <c r="D87" s="70" t="str">
        <v>Anytime - Single rate - SME - United Energy</v>
      </c>
      <c r="E87" s="21" t="s">
        <v>65</v>
      </c>
      <c r="F87" s="1" t="s">
        <v>418</v>
      </c>
      <c r="G87" s="99"/>
      <c r="H87" s="21"/>
      <c r="I87" s="21"/>
    </row>
    <row r="88" spans="3:9" x14ac:dyDescent="0.35">
      <c r="C88" s="70" t="str">
        <v>Network</v>
      </c>
      <c r="D88" s="70" t="str">
        <v>TOU - Peak - RES - Ausnet</v>
      </c>
      <c r="E88" s="21" t="s">
        <v>75</v>
      </c>
      <c r="F88" s="1" t="s">
        <v>401</v>
      </c>
      <c r="G88" s="99"/>
      <c r="H88" s="21"/>
      <c r="I88" s="21"/>
    </row>
    <row r="89" spans="3:9" x14ac:dyDescent="0.35">
      <c r="C89" s="70" t="str">
        <v>Network</v>
      </c>
      <c r="D89" s="70" t="str">
        <v>TOU - Peak - RES - Citipower</v>
      </c>
      <c r="E89" s="21" t="s">
        <v>75</v>
      </c>
      <c r="F89" s="1" t="s">
        <v>407</v>
      </c>
      <c r="G89" s="99"/>
      <c r="H89" s="21"/>
      <c r="I89" s="21"/>
    </row>
    <row r="90" spans="3:9" x14ac:dyDescent="0.35">
      <c r="C90" s="70" t="str">
        <v>Network</v>
      </c>
      <c r="D90" s="70" t="str">
        <v>TOU - Peak - RES - Jemena</v>
      </c>
      <c r="E90" s="21" t="s">
        <v>75</v>
      </c>
      <c r="F90" s="1" t="s">
        <v>423</v>
      </c>
      <c r="G90" s="99"/>
      <c r="H90" s="21"/>
      <c r="I90" s="21"/>
    </row>
    <row r="91" spans="3:9" x14ac:dyDescent="0.35">
      <c r="C91" s="70" t="str">
        <v>Network</v>
      </c>
      <c r="D91" s="70" t="str">
        <v>TOU - Peak - RES - Powercor</v>
      </c>
      <c r="E91" s="21" t="s">
        <v>75</v>
      </c>
      <c r="F91" s="1" t="s">
        <v>413</v>
      </c>
      <c r="G91" s="99"/>
      <c r="H91" s="21"/>
      <c r="I91" s="21"/>
    </row>
    <row r="92" spans="3:9" x14ac:dyDescent="0.35">
      <c r="C92" s="70" t="str">
        <v>Network</v>
      </c>
      <c r="D92" s="70" t="str">
        <v>TOU - Peak - RES - United Energy</v>
      </c>
      <c r="E92" s="21" t="s">
        <v>75</v>
      </c>
      <c r="F92" s="1" t="s">
        <v>419</v>
      </c>
      <c r="G92" s="99"/>
      <c r="H92" s="21"/>
      <c r="I92" s="21"/>
    </row>
    <row r="93" spans="3:9" x14ac:dyDescent="0.35">
      <c r="C93" s="70" t="str">
        <v>Network</v>
      </c>
      <c r="D93" s="70" t="str">
        <v>TOU - Off peak - RES - Ausnet</v>
      </c>
      <c r="E93" s="21" t="s">
        <v>75</v>
      </c>
      <c r="F93" s="1" t="s">
        <v>401</v>
      </c>
      <c r="G93" s="99"/>
      <c r="H93" s="21"/>
      <c r="I93" s="21"/>
    </row>
    <row r="94" spans="3:9" x14ac:dyDescent="0.35">
      <c r="C94" s="70" t="str">
        <v>Network</v>
      </c>
      <c r="D94" s="70" t="str">
        <v>TOU - Off peak - RES - Citipower</v>
      </c>
      <c r="E94" s="21" t="s">
        <v>75</v>
      </c>
      <c r="F94" s="1" t="s">
        <v>407</v>
      </c>
      <c r="G94" s="99"/>
      <c r="H94" s="21"/>
      <c r="I94" s="21"/>
    </row>
    <row r="95" spans="3:9" x14ac:dyDescent="0.35">
      <c r="C95" s="70" t="str">
        <v>Network</v>
      </c>
      <c r="D95" s="70" t="str">
        <v>TOU - Off peak - RES - Jemena</v>
      </c>
      <c r="E95" s="21" t="s">
        <v>75</v>
      </c>
      <c r="F95" s="1" t="s">
        <v>423</v>
      </c>
      <c r="G95" s="99"/>
      <c r="H95" s="21"/>
      <c r="I95" s="21"/>
    </row>
    <row r="96" spans="3:9" x14ac:dyDescent="0.35">
      <c r="C96" s="70" t="str">
        <v>Network</v>
      </c>
      <c r="D96" s="70" t="str">
        <v>TOU - Off peak - RES - Powercor</v>
      </c>
      <c r="E96" s="21" t="s">
        <v>75</v>
      </c>
      <c r="F96" s="1" t="s">
        <v>413</v>
      </c>
      <c r="G96" s="99"/>
      <c r="H96" s="21"/>
      <c r="I96" s="21"/>
    </row>
    <row r="97" spans="3:9" x14ac:dyDescent="0.35">
      <c r="C97" s="70" t="str">
        <v>Network</v>
      </c>
      <c r="D97" s="70" t="str">
        <v>TOU - Off peak - RES - United Energy</v>
      </c>
      <c r="E97" s="21" t="s">
        <v>75</v>
      </c>
      <c r="F97" s="1" t="s">
        <v>419</v>
      </c>
      <c r="G97" s="99"/>
      <c r="H97" s="21"/>
      <c r="I97" s="21"/>
    </row>
    <row r="98" spans="3:9" x14ac:dyDescent="0.35">
      <c r="C98" s="70" t="str">
        <v>Network</v>
      </c>
      <c r="D98" s="70" t="str">
        <v>TOU - Peak - SME - Ausnet</v>
      </c>
      <c r="E98" s="21" t="s">
        <v>75</v>
      </c>
      <c r="F98" s="1" t="s">
        <v>402</v>
      </c>
      <c r="G98" s="99"/>
      <c r="H98" s="21"/>
      <c r="I98" s="21"/>
    </row>
    <row r="99" spans="3:9" x14ac:dyDescent="0.35">
      <c r="C99" s="70" t="str">
        <v>Network</v>
      </c>
      <c r="D99" s="70" t="str">
        <v>TOU - Peak - SME - Citipower</v>
      </c>
      <c r="E99" s="21" t="s">
        <v>75</v>
      </c>
      <c r="F99" s="1" t="s">
        <v>408</v>
      </c>
      <c r="G99" s="99"/>
      <c r="H99" s="21"/>
      <c r="I99" s="21"/>
    </row>
    <row r="100" spans="3:9" x14ac:dyDescent="0.35">
      <c r="C100" s="70" t="str">
        <v>Network</v>
      </c>
      <c r="D100" s="70" t="str">
        <v>TOU - Peak - SME - Jemena</v>
      </c>
      <c r="E100" s="21" t="s">
        <v>75</v>
      </c>
      <c r="F100" s="1" t="s">
        <v>426</v>
      </c>
      <c r="G100" s="99"/>
      <c r="H100" s="21"/>
      <c r="I100" s="21"/>
    </row>
    <row r="101" spans="3:9" x14ac:dyDescent="0.35">
      <c r="C101" s="70" t="str">
        <v>Network</v>
      </c>
      <c r="D101" s="70" t="str">
        <v>TOU - Peak - SME - Powercor</v>
      </c>
      <c r="E101" s="21" t="s">
        <v>75</v>
      </c>
      <c r="F101" s="1" t="s">
        <v>414</v>
      </c>
      <c r="G101" s="99"/>
      <c r="H101" s="21"/>
      <c r="I101" s="21"/>
    </row>
    <row r="102" spans="3:9" x14ac:dyDescent="0.35">
      <c r="C102" s="70" t="str">
        <v>Network</v>
      </c>
      <c r="D102" s="70" t="str">
        <v>TOU - Peak - SME - United Energy</v>
      </c>
      <c r="E102" s="21" t="s">
        <v>75</v>
      </c>
      <c r="F102" s="1" t="s">
        <v>420</v>
      </c>
      <c r="G102" s="99"/>
      <c r="H102" s="21"/>
      <c r="I102" s="21"/>
    </row>
    <row r="103" spans="3:9" x14ac:dyDescent="0.35">
      <c r="C103" s="70" t="str">
        <v>Network</v>
      </c>
      <c r="D103" s="70" t="str">
        <v>TOU - Off peak - SME - Ausnet</v>
      </c>
      <c r="E103" s="21" t="s">
        <v>75</v>
      </c>
      <c r="F103" s="1" t="s">
        <v>402</v>
      </c>
      <c r="G103" s="99"/>
      <c r="H103" s="21"/>
      <c r="I103" s="21"/>
    </row>
    <row r="104" spans="3:9" x14ac:dyDescent="0.35">
      <c r="C104" s="70" t="str">
        <v>Network</v>
      </c>
      <c r="D104" s="70" t="str">
        <v>TOU - Off peak - SME - Citipower</v>
      </c>
      <c r="E104" s="21" t="s">
        <v>75</v>
      </c>
      <c r="F104" s="1" t="s">
        <v>408</v>
      </c>
      <c r="G104" s="99"/>
      <c r="H104" s="21"/>
      <c r="I104" s="21"/>
    </row>
    <row r="105" spans="3:9" x14ac:dyDescent="0.35">
      <c r="C105" s="70" t="str">
        <v>Network</v>
      </c>
      <c r="D105" s="70" t="str">
        <v>TOU - Off peak - SME - Jemena</v>
      </c>
      <c r="E105" s="21" t="s">
        <v>75</v>
      </c>
      <c r="F105" s="1" t="s">
        <v>426</v>
      </c>
      <c r="G105" s="99"/>
      <c r="H105" s="21"/>
      <c r="I105" s="21"/>
    </row>
    <row r="106" spans="3:9" x14ac:dyDescent="0.35">
      <c r="C106" s="70" t="str">
        <v>Network</v>
      </c>
      <c r="D106" s="70" t="str">
        <v>TOU - Off peak - SME - Powercor</v>
      </c>
      <c r="E106" s="21" t="s">
        <v>75</v>
      </c>
      <c r="F106" s="1" t="s">
        <v>414</v>
      </c>
      <c r="G106" s="99"/>
      <c r="H106" s="21"/>
      <c r="I106" s="21"/>
    </row>
    <row r="107" spans="3:9" x14ac:dyDescent="0.35">
      <c r="C107" s="70" t="str">
        <v>Network</v>
      </c>
      <c r="D107" s="70" t="str">
        <v>TOU - Off peak - SME - United Energy</v>
      </c>
      <c r="E107" s="21" t="s">
        <v>75</v>
      </c>
      <c r="F107" s="1" t="s">
        <v>420</v>
      </c>
      <c r="G107" s="99"/>
      <c r="H107" s="21"/>
      <c r="I107" s="21"/>
    </row>
    <row r="108" spans="3:9" x14ac:dyDescent="0.35">
      <c r="C108" s="70" t="str">
        <v>Network</v>
      </c>
      <c r="D108" s="70" t="str">
        <v>Controlled load - RES - Ausnet</v>
      </c>
      <c r="E108" s="21" t="s">
        <v>77</v>
      </c>
      <c r="F108" s="1" t="s">
        <v>403</v>
      </c>
      <c r="G108" s="99"/>
      <c r="H108" s="21"/>
      <c r="I108" s="21"/>
    </row>
    <row r="109" spans="3:9" x14ac:dyDescent="0.35">
      <c r="C109" s="70" t="str">
        <v>Network</v>
      </c>
      <c r="D109" s="70" t="str">
        <v>Controlled load - RES - Citipower</v>
      </c>
      <c r="E109" s="21" t="s">
        <v>78</v>
      </c>
      <c r="F109" s="1" t="s">
        <v>409</v>
      </c>
      <c r="G109" s="99"/>
      <c r="H109" s="21"/>
      <c r="I109" s="21"/>
    </row>
    <row r="110" spans="3:9" x14ac:dyDescent="0.35">
      <c r="C110" s="70" t="str">
        <v>Network</v>
      </c>
      <c r="D110" s="70" t="str">
        <v>Controlled load - RES - Jemena</v>
      </c>
      <c r="E110" s="21" t="s">
        <v>79</v>
      </c>
      <c r="F110" s="1" t="s">
        <v>427</v>
      </c>
      <c r="G110" s="99"/>
      <c r="H110" s="21"/>
      <c r="I110" s="21"/>
    </row>
    <row r="111" spans="3:9" x14ac:dyDescent="0.35">
      <c r="C111" s="70" t="str">
        <v>Network</v>
      </c>
      <c r="D111" s="70" t="str">
        <v>Controlled load - RES - Powercor</v>
      </c>
      <c r="E111" s="21" t="s">
        <v>80</v>
      </c>
      <c r="F111" s="1" t="s">
        <v>415</v>
      </c>
      <c r="G111" s="99"/>
      <c r="H111" s="21"/>
      <c r="I111" s="21"/>
    </row>
    <row r="112" spans="3:9" x14ac:dyDescent="0.35">
      <c r="C112" s="70" t="str">
        <v>Network</v>
      </c>
      <c r="D112" s="70" t="str">
        <v>Controlled load - RES - United Energy</v>
      </c>
      <c r="E112" s="21" t="s">
        <v>81</v>
      </c>
      <c r="F112" s="1" t="s">
        <v>421</v>
      </c>
      <c r="G112" s="99"/>
      <c r="H112" s="21"/>
      <c r="I112" s="21"/>
    </row>
    <row r="113" spans="1:20" x14ac:dyDescent="0.35">
      <c r="C113" s="70" t="str">
        <v>Retail margin</v>
      </c>
      <c r="D113" s="70" t="str">
        <v>Retail operating margin</v>
      </c>
      <c r="E113" s="21" t="s">
        <v>82</v>
      </c>
      <c r="F113" s="21" t="s">
        <v>82</v>
      </c>
      <c r="G113" s="21"/>
      <c r="H113" s="21"/>
      <c r="I113" s="21"/>
    </row>
    <row r="114" spans="1:20" x14ac:dyDescent="0.35">
      <c r="C114" s="70" t="str">
        <v>Marginal loss factors</v>
      </c>
      <c r="D114" s="70" t="str">
        <v>Marginal loss factor - Ausnet</v>
      </c>
      <c r="E114" s="21" t="s">
        <v>83</v>
      </c>
      <c r="F114" s="21" t="s">
        <v>83</v>
      </c>
      <c r="G114" s="21"/>
      <c r="H114" s="21"/>
      <c r="I114" s="21"/>
    </row>
    <row r="115" spans="1:20" x14ac:dyDescent="0.35">
      <c r="C115" s="70" t="str">
        <v>Marginal loss factors</v>
      </c>
      <c r="D115" s="70" t="str">
        <v>Marginal loss factor - Citipower</v>
      </c>
      <c r="E115" s="21" t="s">
        <v>83</v>
      </c>
      <c r="F115" s="21" t="s">
        <v>83</v>
      </c>
      <c r="G115" s="21"/>
      <c r="H115" s="21"/>
      <c r="I115" s="21"/>
    </row>
    <row r="116" spans="1:20" x14ac:dyDescent="0.35">
      <c r="C116" s="70" t="str">
        <v>Marginal loss factors</v>
      </c>
      <c r="D116" s="70" t="str">
        <v>Marginal loss factor - Jemena</v>
      </c>
      <c r="E116" s="21" t="s">
        <v>83</v>
      </c>
      <c r="F116" s="21" t="s">
        <v>83</v>
      </c>
      <c r="G116" s="21"/>
      <c r="H116" s="21"/>
      <c r="I116" s="21"/>
    </row>
    <row r="117" spans="1:20" x14ac:dyDescent="0.35">
      <c r="C117" s="70" t="str">
        <v>Marginal loss factors</v>
      </c>
      <c r="D117" s="70" t="str">
        <v>Marginal loss factor - Powercor</v>
      </c>
      <c r="E117" s="21" t="s">
        <v>83</v>
      </c>
      <c r="F117" s="21" t="s">
        <v>83</v>
      </c>
      <c r="G117" s="21"/>
      <c r="H117" s="21"/>
      <c r="I117" s="21"/>
    </row>
    <row r="118" spans="1:20" x14ac:dyDescent="0.35">
      <c r="C118" s="70" t="str">
        <v>Marginal loss factors</v>
      </c>
      <c r="D118" s="70" t="str">
        <v>Marginal loss factor - United Energy</v>
      </c>
      <c r="E118" s="21" t="s">
        <v>83</v>
      </c>
      <c r="F118" s="21" t="s">
        <v>83</v>
      </c>
      <c r="G118" s="21"/>
      <c r="H118" s="21"/>
      <c r="I118" s="21"/>
    </row>
    <row r="119" spans="1:20" x14ac:dyDescent="0.35">
      <c r="C119" s="70" t="str">
        <v>Distribution loss factors</v>
      </c>
      <c r="D119" s="70" t="str">
        <v>Distribution loss factor - Ausnet</v>
      </c>
      <c r="E119" s="21" t="s">
        <v>84</v>
      </c>
      <c r="F119" s="21" t="s">
        <v>84</v>
      </c>
      <c r="G119" s="21"/>
      <c r="H119" s="21"/>
      <c r="I119" s="21"/>
    </row>
    <row r="120" spans="1:20" x14ac:dyDescent="0.35">
      <c r="C120" s="70" t="str">
        <v>Distribution loss factors</v>
      </c>
      <c r="D120" s="70" t="str">
        <v>Distribution loss factor - Citipower</v>
      </c>
      <c r="E120" s="21" t="s">
        <v>85</v>
      </c>
      <c r="F120" s="21" t="s">
        <v>85</v>
      </c>
      <c r="G120" s="21"/>
      <c r="H120" s="21"/>
      <c r="I120" s="21"/>
    </row>
    <row r="121" spans="1:20" x14ac:dyDescent="0.35">
      <c r="C121" s="70" t="str">
        <v>Distribution loss factors</v>
      </c>
      <c r="D121" s="70" t="str">
        <v>Distribution loss factor - Jemena</v>
      </c>
      <c r="E121" s="21" t="s">
        <v>85</v>
      </c>
      <c r="F121" s="21" t="s">
        <v>85</v>
      </c>
      <c r="G121" s="21"/>
      <c r="H121" s="21"/>
      <c r="I121" s="21"/>
    </row>
    <row r="122" spans="1:20" x14ac:dyDescent="0.35">
      <c r="C122" s="70" t="str">
        <v>Distribution loss factors</v>
      </c>
      <c r="D122" s="70" t="str">
        <v>Distribution loss factor - Powercor</v>
      </c>
      <c r="E122" s="21" t="s">
        <v>84</v>
      </c>
      <c r="F122" s="21" t="s">
        <v>84</v>
      </c>
      <c r="G122" s="21"/>
      <c r="H122" s="21"/>
      <c r="I122" s="21"/>
    </row>
    <row r="123" spans="1:20" x14ac:dyDescent="0.35">
      <c r="C123" s="70" t="str">
        <v>Distribution loss factors</v>
      </c>
      <c r="D123" s="70" t="str">
        <v>Distribution loss factor - United Energy</v>
      </c>
      <c r="E123" s="21" t="s">
        <v>85</v>
      </c>
      <c r="F123" s="21" t="s">
        <v>85</v>
      </c>
      <c r="G123" s="21"/>
      <c r="H123" s="21"/>
      <c r="I123" s="21"/>
    </row>
    <row r="126" spans="1:20" ht="16" thickBot="1" x14ac:dyDescent="0.4">
      <c r="A126" s="2" t="s">
        <v>22</v>
      </c>
      <c r="B126" s="8">
        <f ca="1">MAX(B$3:B125)+0.1</f>
        <v>5.1999999999999993</v>
      </c>
      <c r="C126" s="25" t="s">
        <v>393</v>
      </c>
      <c r="D126" s="25"/>
      <c r="E126" s="25"/>
      <c r="F126" s="25"/>
      <c r="G126" s="25"/>
      <c r="H126" s="25"/>
      <c r="I126" s="25"/>
      <c r="J126" s="25"/>
      <c r="K126" s="25"/>
      <c r="L126" s="25"/>
      <c r="M126" s="25"/>
      <c r="N126" s="25"/>
      <c r="O126" s="25"/>
      <c r="P126" s="25"/>
      <c r="Q126" s="25"/>
      <c r="R126" s="25"/>
      <c r="S126" s="25"/>
      <c r="T126" s="25"/>
    </row>
    <row r="128" spans="1:20" ht="15.5" x14ac:dyDescent="0.35">
      <c r="D128" s="36" t="s">
        <v>92</v>
      </c>
      <c r="E128" s="37">
        <f>Inputs!I128</f>
        <v>2021</v>
      </c>
      <c r="F128" s="37">
        <f>Inputs!M128</f>
        <v>2022</v>
      </c>
      <c r="G128" s="37">
        <v>2021</v>
      </c>
      <c r="H128" s="37">
        <f>Inputs!O128</f>
        <v>0</v>
      </c>
      <c r="I128" s="37">
        <f>Inputs!Q128</f>
        <v>0</v>
      </c>
    </row>
    <row r="129" spans="3:9" ht="15.5" x14ac:dyDescent="0.35">
      <c r="D129" s="36" t="s">
        <v>93</v>
      </c>
      <c r="E129" s="37" t="str">
        <f>"VDO "&amp;E128&amp;" - "&amp;IF(LEFT(E131,1)="F","Final",IF(LEFT(E131,1)="D","Draft",IF(LEFT(E131,2)="VD","Variation draft",IF(LEFT(E131,2)="VF","Variation final"))))</f>
        <v>VDO 2021 - Final</v>
      </c>
      <c r="F129" s="37" t="str">
        <f>"VDO "&amp;F128&amp;" - "&amp;IF(LEFT(F131,1)="F","Final",IF(LEFT(F131,1)="D","Draft",IF(LEFT(F131,2)="VD","Variation draft",IF(LEFT(F131,2)="VF","Variation final"))))</f>
        <v>VDO 2022 - Variation draft</v>
      </c>
      <c r="G129" s="37" t="str">
        <f>"VDO "&amp;G128&amp;" - "&amp;IF(LEFT(G131,1)="F","Final",IF(LEFT(G131,1)="D","Draft",IF(LEFT(G131,2)="VD","Variation draft",IF(LEFT(G131,2)="VF","Variation final"))))</f>
        <v>VDO 2021 - Variation final</v>
      </c>
      <c r="H129" s="37" t="str">
        <f>"VDO "&amp;H128&amp;" - "&amp;IF(LEFT(H131,1)="F","Final",IF(LEFT(H131,1)="D","Draft",IF(LEFT(H131,2)="VD","Variation draft",IF(LEFT(H131,2)="VF","Variation final"))))</f>
        <v>VDO 0 - Draft</v>
      </c>
      <c r="I129" s="37" t="str">
        <f>"VDO "&amp;I128&amp;" - "&amp;IF(LEFT(I131,1)="F","Final",IF(LEFT(I131,1)="D","Draft",IF(LEFT(I131,2)="VD","Variation draft",IF(LEFT(I131,2)="VF","Variation final"))))</f>
        <v>VDO 0 - Final</v>
      </c>
    </row>
    <row r="131" spans="3:9" ht="15.5" x14ac:dyDescent="0.35">
      <c r="C131" s="38" t="s">
        <v>212</v>
      </c>
      <c r="D131" s="38" t="s">
        <v>213</v>
      </c>
      <c r="E131" s="38" t="s">
        <v>43</v>
      </c>
      <c r="F131" s="38" t="s">
        <v>356</v>
      </c>
      <c r="G131" s="38" t="s">
        <v>358</v>
      </c>
      <c r="H131" s="38" t="s">
        <v>44</v>
      </c>
      <c r="I131" s="38" t="s">
        <v>45</v>
      </c>
    </row>
    <row r="132" spans="3:9" x14ac:dyDescent="0.35">
      <c r="C132" s="70" t="str" cm="1">
        <f t="array" ref="C132:C149">INDEX(Input_UsageAnytime[],0,MATCH(Sources!C$131,Input_UsageAnytime[#Headers],0))</f>
        <v>Residential - small</v>
      </c>
      <c r="D132" s="70" t="str" cm="1">
        <f t="array" ref="D132:D149">INDEX(Input_UsageAnytime[],0,MATCH(Sources!D$131,Input_UsageAnytime[#Headers],0))</f>
        <v>Block 1</v>
      </c>
      <c r="E132" s="54" t="s">
        <v>395</v>
      </c>
      <c r="F132" s="21" t="s">
        <v>395</v>
      </c>
      <c r="G132" s="21"/>
      <c r="H132" s="21"/>
      <c r="I132" s="21"/>
    </row>
    <row r="133" spans="3:9" x14ac:dyDescent="0.35">
      <c r="C133" s="70" t="str">
        <v>Residential - medium</v>
      </c>
      <c r="D133" s="70" t="str">
        <v>Block 1</v>
      </c>
      <c r="E133" s="54" t="s">
        <v>395</v>
      </c>
      <c r="F133" s="21" t="s">
        <v>395</v>
      </c>
      <c r="G133" s="21"/>
      <c r="H133" s="21"/>
      <c r="I133" s="21"/>
    </row>
    <row r="134" spans="3:9" x14ac:dyDescent="0.35">
      <c r="C134" s="70" t="str">
        <v>Residential - large</v>
      </c>
      <c r="D134" s="70" t="str">
        <v>Block 1</v>
      </c>
      <c r="E134" s="54" t="s">
        <v>395</v>
      </c>
      <c r="F134" s="21" t="s">
        <v>395</v>
      </c>
      <c r="G134" s="21"/>
      <c r="H134" s="21"/>
      <c r="I134" s="21"/>
    </row>
    <row r="135" spans="3:9" x14ac:dyDescent="0.35">
      <c r="C135" s="70" t="str">
        <v>Small business - small</v>
      </c>
      <c r="D135" s="70" t="str">
        <v>Block 1</v>
      </c>
      <c r="E135" s="54" t="s">
        <v>395</v>
      </c>
      <c r="F135" s="21" t="s">
        <v>395</v>
      </c>
      <c r="G135" s="21"/>
      <c r="H135" s="21"/>
      <c r="I135" s="21"/>
    </row>
    <row r="136" spans="3:9" x14ac:dyDescent="0.35">
      <c r="C136" s="70" t="str">
        <v>Small business - medium</v>
      </c>
      <c r="D136" s="70" t="str">
        <v>Block 1</v>
      </c>
      <c r="E136" s="54" t="s">
        <v>395</v>
      </c>
      <c r="F136" s="21" t="s">
        <v>395</v>
      </c>
      <c r="G136" s="21"/>
      <c r="H136" s="21"/>
      <c r="I136" s="21"/>
    </row>
    <row r="137" spans="3:9" x14ac:dyDescent="0.35">
      <c r="C137" s="70" t="str">
        <v>Small business - large</v>
      </c>
      <c r="D137" s="70" t="str">
        <v>Block 1</v>
      </c>
      <c r="E137" s="54" t="s">
        <v>395</v>
      </c>
      <c r="F137" s="21" t="s">
        <v>395</v>
      </c>
      <c r="G137" s="21"/>
      <c r="H137" s="21"/>
      <c r="I137" s="21"/>
    </row>
    <row r="138" spans="3:9" x14ac:dyDescent="0.35">
      <c r="C138" s="70" t="str">
        <v>Residential - small</v>
      </c>
      <c r="D138" s="70" t="str">
        <v>Balance</v>
      </c>
      <c r="E138" s="54" t="s">
        <v>395</v>
      </c>
      <c r="F138" s="21" t="s">
        <v>395</v>
      </c>
      <c r="G138" s="21"/>
      <c r="H138" s="21"/>
      <c r="I138" s="21"/>
    </row>
    <row r="139" spans="3:9" x14ac:dyDescent="0.35">
      <c r="C139" s="70" t="str">
        <v>Residential - medium</v>
      </c>
      <c r="D139" s="70" t="str">
        <v>Balance</v>
      </c>
      <c r="E139" s="54" t="s">
        <v>395</v>
      </c>
      <c r="F139" s="21" t="s">
        <v>395</v>
      </c>
      <c r="G139" s="21"/>
      <c r="H139" s="21"/>
      <c r="I139" s="21"/>
    </row>
    <row r="140" spans="3:9" x14ac:dyDescent="0.35">
      <c r="C140" s="70" t="str">
        <v>Residential - large</v>
      </c>
      <c r="D140" s="70" t="str">
        <v>Balance</v>
      </c>
      <c r="E140" s="54" t="s">
        <v>395</v>
      </c>
      <c r="F140" s="21" t="s">
        <v>395</v>
      </c>
      <c r="G140" s="21"/>
      <c r="H140" s="21"/>
      <c r="I140" s="21"/>
    </row>
    <row r="141" spans="3:9" x14ac:dyDescent="0.35">
      <c r="C141" s="70" t="str">
        <v>Small business - small</v>
      </c>
      <c r="D141" s="70" t="str">
        <v>Balance</v>
      </c>
      <c r="E141" s="54" t="s">
        <v>395</v>
      </c>
      <c r="F141" s="21" t="s">
        <v>395</v>
      </c>
      <c r="G141" s="21"/>
      <c r="H141" s="21"/>
      <c r="I141" s="21"/>
    </row>
    <row r="142" spans="3:9" x14ac:dyDescent="0.35">
      <c r="C142" s="70" t="str">
        <v>Small business - medium</v>
      </c>
      <c r="D142" s="70" t="str">
        <v>Balance</v>
      </c>
      <c r="E142" s="54" t="s">
        <v>395</v>
      </c>
      <c r="F142" s="21" t="s">
        <v>395</v>
      </c>
      <c r="G142" s="21"/>
      <c r="H142" s="21"/>
      <c r="I142" s="21"/>
    </row>
    <row r="143" spans="3:9" x14ac:dyDescent="0.35">
      <c r="C143" s="70" t="str">
        <v>Small business - large</v>
      </c>
      <c r="D143" s="70" t="str">
        <v>Balance</v>
      </c>
      <c r="E143" s="54" t="s">
        <v>395</v>
      </c>
      <c r="F143" s="21" t="s">
        <v>395</v>
      </c>
      <c r="G143" s="21"/>
      <c r="H143" s="21"/>
      <c r="I143" s="21"/>
    </row>
    <row r="144" spans="3:9" x14ac:dyDescent="0.35">
      <c r="C144" s="70" t="str">
        <v>Residential - small</v>
      </c>
      <c r="D144" s="70" t="str">
        <v>Annual</v>
      </c>
      <c r="E144" s="54" t="s">
        <v>395</v>
      </c>
      <c r="F144" s="21" t="s">
        <v>395</v>
      </c>
      <c r="G144" s="21"/>
      <c r="H144" s="21"/>
      <c r="I144" s="21"/>
    </row>
    <row r="145" spans="1:20" x14ac:dyDescent="0.35">
      <c r="C145" s="70" t="str">
        <v>Residential - medium</v>
      </c>
      <c r="D145" s="70" t="str">
        <v>Annual</v>
      </c>
      <c r="E145" s="54" t="s">
        <v>395</v>
      </c>
      <c r="F145" s="21" t="s">
        <v>395</v>
      </c>
      <c r="G145" s="21"/>
      <c r="H145" s="21"/>
      <c r="I145" s="21"/>
    </row>
    <row r="146" spans="1:20" x14ac:dyDescent="0.35">
      <c r="C146" s="70" t="str">
        <v>Residential - large</v>
      </c>
      <c r="D146" s="70" t="str">
        <v>Annual</v>
      </c>
      <c r="E146" s="54" t="s">
        <v>395</v>
      </c>
      <c r="F146" s="21" t="s">
        <v>395</v>
      </c>
      <c r="G146" s="21"/>
      <c r="H146" s="21"/>
      <c r="I146" s="21"/>
    </row>
    <row r="147" spans="1:20" x14ac:dyDescent="0.35">
      <c r="C147" s="70" t="str">
        <v>Small business - small</v>
      </c>
      <c r="D147" s="70" t="str">
        <v>Annual</v>
      </c>
      <c r="E147" s="54" t="s">
        <v>395</v>
      </c>
      <c r="F147" s="21" t="s">
        <v>395</v>
      </c>
      <c r="G147" s="21"/>
      <c r="H147" s="21"/>
      <c r="I147" s="21"/>
    </row>
    <row r="148" spans="1:20" x14ac:dyDescent="0.35">
      <c r="C148" s="70" t="str">
        <v>Small business - medium</v>
      </c>
      <c r="D148" s="70" t="str">
        <v>Annual</v>
      </c>
      <c r="E148" s="54" t="s">
        <v>395</v>
      </c>
      <c r="F148" s="21" t="s">
        <v>395</v>
      </c>
      <c r="G148" s="21"/>
      <c r="H148" s="21"/>
      <c r="I148" s="21"/>
    </row>
    <row r="149" spans="1:20" x14ac:dyDescent="0.35">
      <c r="C149" s="70" t="str">
        <v>Small business - large</v>
      </c>
      <c r="D149" s="70" t="str">
        <v>Annual</v>
      </c>
      <c r="E149" s="54" t="s">
        <v>395</v>
      </c>
      <c r="F149" s="21" t="s">
        <v>395</v>
      </c>
      <c r="G149" s="21"/>
      <c r="H149" s="21"/>
      <c r="I149" s="21"/>
    </row>
    <row r="152" spans="1:20" ht="16" thickBot="1" x14ac:dyDescent="0.4">
      <c r="A152" s="2" t="s">
        <v>22</v>
      </c>
      <c r="B152" s="8">
        <f ca="1">MAX(B$3:B151)+0.1</f>
        <v>5.2999999999999989</v>
      </c>
      <c r="C152" s="25" t="s">
        <v>394</v>
      </c>
      <c r="D152" s="25"/>
      <c r="E152" s="25"/>
      <c r="F152" s="25"/>
      <c r="G152" s="25"/>
      <c r="H152" s="25"/>
      <c r="I152" s="25"/>
      <c r="J152" s="25"/>
      <c r="K152" s="25"/>
      <c r="L152" s="25"/>
      <c r="M152" s="25"/>
      <c r="N152" s="25"/>
      <c r="O152" s="25"/>
      <c r="P152" s="25"/>
      <c r="Q152" s="25"/>
      <c r="R152" s="25"/>
      <c r="S152" s="25"/>
      <c r="T152" s="25"/>
    </row>
    <row r="154" spans="1:20" ht="15.5" x14ac:dyDescent="0.35">
      <c r="D154" s="36" t="s">
        <v>92</v>
      </c>
      <c r="E154" s="37">
        <f>Inputs!I154</f>
        <v>2021</v>
      </c>
      <c r="F154" s="37">
        <f>Inputs!M154</f>
        <v>2022</v>
      </c>
      <c r="G154" s="37">
        <v>2021</v>
      </c>
      <c r="H154" s="37">
        <f>Inputs!O154</f>
        <v>0</v>
      </c>
      <c r="I154" s="37">
        <f>Inputs!Q154</f>
        <v>0</v>
      </c>
    </row>
    <row r="155" spans="1:20" ht="15.5" x14ac:dyDescent="0.35">
      <c r="D155" s="36" t="s">
        <v>93</v>
      </c>
      <c r="E155" s="37" t="str">
        <f>"VDO "&amp;E154&amp;" - "&amp;IF(LEFT(E157,1)="F","Final",IF(LEFT(E157,1)="D","Draft",IF(LEFT(E157,2)="VD","Variation draft",IF(LEFT(E157,2)="VF","Variation final"))))</f>
        <v>VDO 2021 - Final</v>
      </c>
      <c r="F155" s="37" t="str">
        <f>"VDO "&amp;F154&amp;" - "&amp;IF(LEFT(F157,1)="F","Final",IF(LEFT(F157,1)="D","Draft",IF(LEFT(F157,2)="VD","Variation draft",IF(LEFT(F157,2)="VF","Variation final"))))</f>
        <v>VDO 2022 - Variation draft</v>
      </c>
      <c r="G155" s="37" t="str">
        <f>"VDO "&amp;G154&amp;" - "&amp;IF(LEFT(G157,1)="F","Final",IF(LEFT(G157,1)="D","Draft",IF(LEFT(G157,2)="VD","Variation draft",IF(LEFT(G157,2)="VF","Variation final"))))</f>
        <v>VDO 2021 - Variation final</v>
      </c>
      <c r="H155" s="37" t="str">
        <f>"VDO "&amp;H154&amp;" - "&amp;IF(LEFT(H157,1)="F","Final",IF(LEFT(H157,1)="D","Draft",IF(LEFT(H157,2)="VD","Variation draft",IF(LEFT(H157,2)="VF","Variation final"))))</f>
        <v>VDO 0 - Draft</v>
      </c>
      <c r="I155" s="37" t="str">
        <f>"VDO "&amp;I154&amp;" - "&amp;IF(LEFT(I157,1)="F","Final",IF(LEFT(I157,1)="D","Draft",IF(LEFT(I157,2)="VD","Variation draft",IF(LEFT(I157,2)="VF","Variation final"))))</f>
        <v>VDO 0 - Final</v>
      </c>
    </row>
    <row r="157" spans="1:20" ht="15.5" x14ac:dyDescent="0.35">
      <c r="C157" s="38" t="s">
        <v>212</v>
      </c>
      <c r="D157" s="38" t="s">
        <v>213</v>
      </c>
      <c r="E157" s="38" t="s">
        <v>43</v>
      </c>
      <c r="F157" s="38" t="s">
        <v>356</v>
      </c>
      <c r="G157" s="38" t="s">
        <v>358</v>
      </c>
      <c r="H157" s="38" t="s">
        <v>44</v>
      </c>
      <c r="I157" s="38" t="s">
        <v>45</v>
      </c>
    </row>
    <row r="158" spans="1:20" x14ac:dyDescent="0.35">
      <c r="C158" s="70" t="str" cm="1">
        <f t="array" ref="C158:C169">INDEX(Input_UsageTOU[],0,MATCH(Sources!C$157,Input_UsageTOU[#Headers],0))</f>
        <v>Residential - small</v>
      </c>
      <c r="D158" s="70" t="str" cm="1">
        <f t="array" ref="D158:D169">INDEX(Input_UsageTOU[],0,MATCH(Sources!D$157,Input_UsageTOU[#Headers],0))</f>
        <v>Peak</v>
      </c>
      <c r="E158" s="21" t="s">
        <v>75</v>
      </c>
      <c r="F158" s="21" t="s">
        <v>396</v>
      </c>
      <c r="G158" s="21"/>
      <c r="H158" s="21"/>
      <c r="I158" s="21"/>
    </row>
    <row r="159" spans="1:20" x14ac:dyDescent="0.35">
      <c r="C159" s="70" t="str">
        <v>Residential - medium</v>
      </c>
      <c r="D159" s="70" t="str">
        <v>Peak</v>
      </c>
      <c r="E159" s="21" t="s">
        <v>75</v>
      </c>
      <c r="F159" s="21" t="s">
        <v>396</v>
      </c>
      <c r="G159" s="21"/>
      <c r="H159" s="21"/>
      <c r="I159" s="21"/>
    </row>
    <row r="160" spans="1:20" x14ac:dyDescent="0.35">
      <c r="C160" s="70" t="str">
        <v>Residential - large</v>
      </c>
      <c r="D160" s="70" t="str">
        <v>Peak</v>
      </c>
      <c r="E160" s="21" t="s">
        <v>75</v>
      </c>
      <c r="F160" s="21" t="s">
        <v>396</v>
      </c>
      <c r="G160" s="21"/>
      <c r="H160" s="21"/>
      <c r="I160" s="21"/>
    </row>
    <row r="161" spans="3:9" x14ac:dyDescent="0.35">
      <c r="C161" s="70" t="str">
        <v>Small business - small</v>
      </c>
      <c r="D161" s="70" t="str">
        <v>Peak</v>
      </c>
      <c r="E161" s="21" t="s">
        <v>75</v>
      </c>
      <c r="F161" s="21" t="s">
        <v>396</v>
      </c>
      <c r="G161" s="21"/>
      <c r="H161" s="21"/>
      <c r="I161" s="21"/>
    </row>
    <row r="162" spans="3:9" x14ac:dyDescent="0.35">
      <c r="C162" s="70" t="str">
        <v>Small business - medium</v>
      </c>
      <c r="D162" s="70" t="str">
        <v>Peak</v>
      </c>
      <c r="E162" s="21" t="s">
        <v>75</v>
      </c>
      <c r="F162" s="21" t="s">
        <v>396</v>
      </c>
      <c r="G162" s="21"/>
      <c r="H162" s="21"/>
      <c r="I162" s="21"/>
    </row>
    <row r="163" spans="3:9" x14ac:dyDescent="0.35">
      <c r="C163" s="70" t="str">
        <v>Small business - large</v>
      </c>
      <c r="D163" s="70" t="str">
        <v>Peak</v>
      </c>
      <c r="E163" s="21" t="s">
        <v>75</v>
      </c>
      <c r="F163" s="21" t="s">
        <v>396</v>
      </c>
      <c r="G163" s="21"/>
      <c r="H163" s="21"/>
      <c r="I163" s="21"/>
    </row>
    <row r="164" spans="3:9" x14ac:dyDescent="0.35">
      <c r="C164" s="70" t="str">
        <v>Residential - small</v>
      </c>
      <c r="D164" s="70" t="str">
        <v>Off-peak</v>
      </c>
      <c r="E164" s="21" t="s">
        <v>75</v>
      </c>
      <c r="F164" s="21" t="s">
        <v>396</v>
      </c>
      <c r="G164" s="21"/>
      <c r="H164" s="21"/>
      <c r="I164" s="21"/>
    </row>
    <row r="165" spans="3:9" x14ac:dyDescent="0.35">
      <c r="C165" s="70" t="str">
        <v>Residential - medium</v>
      </c>
      <c r="D165" s="70" t="str">
        <v>Off-peak</v>
      </c>
      <c r="E165" s="21" t="s">
        <v>75</v>
      </c>
      <c r="F165" s="21" t="s">
        <v>396</v>
      </c>
      <c r="G165" s="21"/>
      <c r="H165" s="21"/>
      <c r="I165" s="21"/>
    </row>
    <row r="166" spans="3:9" x14ac:dyDescent="0.35">
      <c r="C166" s="70" t="str">
        <v>Residential - large</v>
      </c>
      <c r="D166" s="70" t="str">
        <v>Off-peak</v>
      </c>
      <c r="E166" s="21" t="s">
        <v>75</v>
      </c>
      <c r="F166" s="21" t="s">
        <v>396</v>
      </c>
      <c r="G166" s="21"/>
      <c r="H166" s="21"/>
      <c r="I166" s="21"/>
    </row>
    <row r="167" spans="3:9" x14ac:dyDescent="0.35">
      <c r="C167" s="70" t="str">
        <v>Small business - small</v>
      </c>
      <c r="D167" s="70" t="str">
        <v>Off-peak</v>
      </c>
      <c r="E167" s="21" t="s">
        <v>75</v>
      </c>
      <c r="F167" s="21" t="s">
        <v>396</v>
      </c>
      <c r="G167" s="21"/>
      <c r="H167" s="21"/>
      <c r="I167" s="21"/>
    </row>
    <row r="168" spans="3:9" x14ac:dyDescent="0.35">
      <c r="C168" s="70" t="str">
        <v>Small business - medium</v>
      </c>
      <c r="D168" s="70" t="str">
        <v>Off-peak</v>
      </c>
      <c r="E168" s="21" t="s">
        <v>75</v>
      </c>
      <c r="F168" s="21" t="s">
        <v>396</v>
      </c>
      <c r="G168" s="21"/>
      <c r="H168" s="21"/>
      <c r="I168" s="21"/>
    </row>
    <row r="169" spans="3:9" x14ac:dyDescent="0.35">
      <c r="C169" s="70" t="str">
        <v>Small business - large</v>
      </c>
      <c r="D169" s="70" t="str">
        <v>Off-peak</v>
      </c>
      <c r="E169" s="21" t="s">
        <v>75</v>
      </c>
      <c r="F169" s="21" t="s">
        <v>396</v>
      </c>
      <c r="G169" s="21"/>
      <c r="H169" s="21"/>
      <c r="I169" s="21"/>
    </row>
  </sheetData>
  <mergeCells count="1">
    <mergeCell ref="A2:A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rgb="FFD3DFE9"/>
  </sheetPr>
  <dimension ref="A1:R187"/>
  <sheetViews>
    <sheetView showGridLines="0" zoomScale="85" zoomScaleNormal="85" workbookViewId="0">
      <pane ySplit="3" topLeftCell="A4" activePane="bottomLeft" state="frozen"/>
      <selection activeCell="B1" sqref="B1"/>
      <selection pane="bottomLeft" activeCell="S28" sqref="S28"/>
    </sheetView>
  </sheetViews>
  <sheetFormatPr defaultColWidth="9.1796875" defaultRowHeight="14.5" outlineLevelRow="1" outlineLevelCol="1" x14ac:dyDescent="0.35"/>
  <cols>
    <col min="1" max="1" width="100.7265625" hidden="1" customWidth="1" outlineLevel="1"/>
    <col min="2" max="2" width="10.7265625" style="7" customWidth="1" collapsed="1"/>
    <col min="3" max="3" width="25.54296875" customWidth="1"/>
    <col min="4" max="4" width="47.54296875" customWidth="1"/>
    <col min="5" max="5" width="34.26953125" customWidth="1"/>
    <col min="6" max="12" width="25.54296875" customWidth="1"/>
    <col min="13" max="17" width="25.54296875" hidden="1" customWidth="1"/>
    <col min="18" max="18" width="25.54296875" customWidth="1"/>
  </cols>
  <sheetData>
    <row r="1" spans="1:18" ht="15" customHeight="1" x14ac:dyDescent="0.35">
      <c r="A1" s="2" t="s">
        <v>19</v>
      </c>
      <c r="B1" s="19"/>
      <c r="C1" s="20"/>
      <c r="D1" s="20"/>
      <c r="E1" s="20"/>
      <c r="F1" s="20"/>
      <c r="G1" s="20"/>
      <c r="H1" s="20"/>
      <c r="I1" s="20"/>
      <c r="J1" s="20"/>
      <c r="K1" s="20"/>
      <c r="L1" s="20"/>
      <c r="M1" s="20"/>
      <c r="N1" s="20"/>
      <c r="O1" s="20"/>
      <c r="P1" s="20"/>
      <c r="Q1" s="20"/>
      <c r="R1" s="20"/>
    </row>
    <row r="2" spans="1:18" s="5" customFormat="1" ht="50.15" customHeight="1" x14ac:dyDescent="0.35">
      <c r="A2" s="110" t="s">
        <v>90</v>
      </c>
      <c r="B2" s="22"/>
      <c r="C2" s="22" t="str">
        <f>Disclaimer!$B$1</f>
        <v>VDO calculation model</v>
      </c>
      <c r="D2" s="22"/>
      <c r="E2" s="22"/>
      <c r="F2" s="22"/>
      <c r="G2" s="22"/>
      <c r="H2" s="22"/>
      <c r="I2" s="22"/>
      <c r="J2" s="22"/>
      <c r="K2" s="22"/>
      <c r="L2" s="22"/>
      <c r="M2" s="22"/>
      <c r="N2" s="22"/>
      <c r="O2" s="22"/>
      <c r="P2" s="22"/>
      <c r="Q2" s="22"/>
      <c r="R2" s="22"/>
    </row>
    <row r="3" spans="1:18" s="5" customFormat="1" ht="30" customHeight="1" x14ac:dyDescent="0.35">
      <c r="A3" s="111"/>
      <c r="B3" s="24">
        <f ca="1">_xlfn.SHEET()</f>
        <v>6</v>
      </c>
      <c r="C3" s="23" t="s">
        <v>40</v>
      </c>
      <c r="D3" s="23"/>
      <c r="E3" s="23"/>
      <c r="F3" s="23"/>
      <c r="G3" s="23"/>
      <c r="H3" s="23"/>
      <c r="I3" s="23"/>
      <c r="J3" s="23"/>
      <c r="K3" s="23"/>
      <c r="L3" s="23"/>
      <c r="M3" s="23"/>
      <c r="N3" s="23"/>
      <c r="O3" s="23"/>
      <c r="P3" s="23"/>
      <c r="Q3" s="23"/>
      <c r="R3" s="23"/>
    </row>
    <row r="4" spans="1:18" x14ac:dyDescent="0.35">
      <c r="B4"/>
    </row>
    <row r="5" spans="1:18" ht="16" thickBot="1" x14ac:dyDescent="0.4">
      <c r="A5" s="2" t="s">
        <v>22</v>
      </c>
      <c r="B5" s="8">
        <f ca="1">MAX(B$3:B4)+0.1</f>
        <v>6.1</v>
      </c>
      <c r="C5" s="25" t="s">
        <v>91</v>
      </c>
      <c r="D5" s="25"/>
      <c r="E5" s="25"/>
      <c r="F5" s="25"/>
      <c r="G5" s="25"/>
      <c r="H5" s="25"/>
      <c r="I5" s="25"/>
      <c r="J5" s="25"/>
      <c r="K5" s="25"/>
      <c r="L5" s="25"/>
      <c r="M5" s="25"/>
      <c r="N5" s="25"/>
      <c r="O5" s="25"/>
      <c r="P5" s="25"/>
      <c r="Q5" s="25"/>
      <c r="R5" s="25"/>
    </row>
    <row r="6" spans="1:18" outlineLevel="1" x14ac:dyDescent="0.35"/>
    <row r="7" spans="1:18" ht="15.5" outlineLevel="1" x14ac:dyDescent="0.35">
      <c r="G7" s="36" t="s">
        <v>92</v>
      </c>
      <c r="H7" s="3">
        <v>2021</v>
      </c>
      <c r="I7" s="3">
        <v>2021</v>
      </c>
      <c r="J7" s="3">
        <v>2021</v>
      </c>
      <c r="K7" s="3">
        <v>2021</v>
      </c>
      <c r="L7" s="3">
        <v>2021</v>
      </c>
      <c r="M7" s="3">
        <v>2021</v>
      </c>
      <c r="N7" s="3">
        <v>2022</v>
      </c>
      <c r="O7" s="3">
        <v>2022</v>
      </c>
      <c r="P7" s="3">
        <v>2022</v>
      </c>
      <c r="Q7" s="3">
        <v>2022</v>
      </c>
    </row>
    <row r="8" spans="1:18" ht="15.5" outlineLevel="1" x14ac:dyDescent="0.35">
      <c r="G8" s="36" t="s">
        <v>93</v>
      </c>
      <c r="H8" s="70" t="str">
        <f>"VDO "&amp;H7&amp;" - "&amp;IF(LEFT(H10,1)="F","Final",IF(LEFT(H10,1)="D","Draft",IF(LEFT(H10,2)="VD","Variation draft",IF(LEFT(H10,2)="VF","Variation final"))))&amp;" - Input Date"</f>
        <v>VDO 2021 - Final - Input Date</v>
      </c>
      <c r="I8" s="37" t="str">
        <f>"VDO "&amp;I7&amp;" - "&amp;IF(LEFT(I10,1)="F","Final",IF(LEFT(I10,1)="D","Draft",IF(LEFT(I10,2)="VD","Variation draft",IF(LEFT(I10,2)="VF","Variation final"))))</f>
        <v>VDO 2021 - Final</v>
      </c>
      <c r="J8" s="70" t="str">
        <f>"VDO "&amp;J7&amp;" - "&amp;IF(LEFT(J10,1)="F","Final",IF(LEFT(J10,1)="D","Draft",IF(LEFT(J10,2)="VD","Variation draft",IF(LEFT(J10,2)="VF","Variation final"))))&amp;" - Input Date"</f>
        <v>VDO 2021 - Variation draft - Input Date</v>
      </c>
      <c r="K8" s="37" t="str">
        <f>"VDO "&amp;K7&amp;" - "&amp;IF(LEFT(K10,1)="F","Final",IF(LEFT(K10,1)="D","Draft",IF(LEFT(K10,2)="VD","Variation draft",IF(LEFT(K10,2)="VF","Variation final"))))</f>
        <v>VDO 2021 - Variation draft</v>
      </c>
      <c r="L8" s="70" t="str">
        <f>"VDO "&amp;L7&amp;" - "&amp;IF(LEFT(L10,1)="F","Final",IF(LEFT(L10,1)="D","Draft",IF(LEFT(L10,2)="VD","Variation draft",IF(LEFT(L10,2)="VF","Variation final"))))&amp;" - Input Date"</f>
        <v>VDO 2021 - Variation final - Input Date</v>
      </c>
      <c r="M8" s="37" t="str">
        <f>"VDO "&amp;M7&amp;" - "&amp;IF(LEFT(M10,1)="F","Final",IF(LEFT(M10,1)="D","Draft",IF(LEFT(M10,2)="VD","Variation draft",IF(LEFT(M10,2)="VF","Variation final"))))</f>
        <v>VDO 2021 - Variation final</v>
      </c>
      <c r="N8" s="70" t="str">
        <f>"VDO "&amp;N7&amp;" - "&amp;IF(LEFT(N10,1)="F","Final",IF(LEFT(N10,1)="D","Draft",IF(LEFT(N10,2)="VD","Variation draft",IF(LEFT(N10,2)="VF","Variation final"))))&amp;" - Input Date"</f>
        <v>VDO 2022 - Draft - Input Date</v>
      </c>
      <c r="O8" s="37" t="str">
        <f>"VDO "&amp;O7&amp;" - "&amp;IF(LEFT(O10,1)="F","Final",IF(LEFT(O10,1)="D","Draft",IF(LEFT(O10,2)="VD","Variation draft",IF(LEFT(O10,2)="VF","Variation final"))))</f>
        <v>VDO 2022 - Draft</v>
      </c>
      <c r="P8" s="70" t="str">
        <f>"VDO "&amp;P7&amp;" - "&amp;IF(LEFT(P10,1)="F","Final",IF(LEFT(P10,1)="D","Draft",IF(LEFT(P10,2)="VD","Variation draft",IF(LEFT(P10,2)="VF","Variation final"))))&amp;" - Input Date"</f>
        <v>VDO 2022 - Final - Input Date</v>
      </c>
      <c r="Q8" s="37" t="str">
        <f>"VDO "&amp;Q7&amp;" - "&amp;IF(LEFT(Q10,1)="F","Final",IF(LEFT(Q10,1)="D","Draft",IF(LEFT(Q10,2)="VD","Variation draft",IF(LEFT(Q10,2)="VF","Variation final"))))</f>
        <v>VDO 2022 - Final</v>
      </c>
    </row>
    <row r="9" spans="1:18" outlineLevel="1" x14ac:dyDescent="0.35"/>
    <row r="10" spans="1:18" ht="15.5" outlineLevel="1" x14ac:dyDescent="0.35">
      <c r="C10" s="38" t="s">
        <v>41</v>
      </c>
      <c r="D10" s="38" t="s">
        <v>42</v>
      </c>
      <c r="E10" s="38" t="s">
        <v>94</v>
      </c>
      <c r="F10" s="38" t="s">
        <v>95</v>
      </c>
      <c r="G10" s="38" t="s">
        <v>87</v>
      </c>
      <c r="H10" s="38" t="s">
        <v>96</v>
      </c>
      <c r="I10" s="38" t="s">
        <v>43</v>
      </c>
      <c r="J10" s="39" t="s">
        <v>355</v>
      </c>
      <c r="K10" s="39" t="s">
        <v>356</v>
      </c>
      <c r="L10" s="39" t="s">
        <v>357</v>
      </c>
      <c r="M10" s="39" t="s">
        <v>358</v>
      </c>
      <c r="N10" s="38" t="s">
        <v>97</v>
      </c>
      <c r="O10" s="38" t="s">
        <v>44</v>
      </c>
      <c r="P10" s="38" t="s">
        <v>98</v>
      </c>
      <c r="Q10" s="38" t="s">
        <v>45</v>
      </c>
    </row>
    <row r="11" spans="1:18" outlineLevel="1" x14ac:dyDescent="0.35">
      <c r="C11" s="21" t="s">
        <v>99</v>
      </c>
      <c r="D11" s="21" t="s">
        <v>100</v>
      </c>
      <c r="E11" s="21" t="s">
        <v>101</v>
      </c>
      <c r="F11" s="21" t="s">
        <v>102</v>
      </c>
      <c r="G11" s="21" t="s">
        <v>103</v>
      </c>
      <c r="H11" s="85">
        <v>42916</v>
      </c>
      <c r="I11" s="35">
        <v>121.07</v>
      </c>
      <c r="J11" s="85">
        <v>42916</v>
      </c>
      <c r="K11" s="94">
        <v>121.07</v>
      </c>
      <c r="L11" s="85">
        <v>42916</v>
      </c>
      <c r="M11" s="35">
        <v>121.07</v>
      </c>
      <c r="N11" s="86"/>
      <c r="O11" s="34"/>
      <c r="P11" s="86"/>
      <c r="Q11" s="34"/>
    </row>
    <row r="12" spans="1:18" outlineLevel="1" x14ac:dyDescent="0.35">
      <c r="C12" s="21" t="s">
        <v>99</v>
      </c>
      <c r="D12" s="21" t="s">
        <v>104</v>
      </c>
      <c r="E12" s="21" t="s">
        <v>101</v>
      </c>
      <c r="F12" s="21" t="s">
        <v>102</v>
      </c>
      <c r="G12" s="21" t="s">
        <v>103</v>
      </c>
      <c r="H12" s="85">
        <v>44196</v>
      </c>
      <c r="I12" s="35">
        <v>10</v>
      </c>
      <c r="J12" s="85">
        <v>44196</v>
      </c>
      <c r="K12" s="94">
        <v>10</v>
      </c>
      <c r="L12" s="85">
        <v>44196</v>
      </c>
      <c r="M12" s="35">
        <v>10</v>
      </c>
      <c r="N12" s="86"/>
      <c r="O12" s="34"/>
      <c r="P12" s="86"/>
      <c r="Q12" s="34"/>
    </row>
    <row r="13" spans="1:18" outlineLevel="1" x14ac:dyDescent="0.35">
      <c r="C13" s="21" t="s">
        <v>99</v>
      </c>
      <c r="D13" s="21" t="s">
        <v>105</v>
      </c>
      <c r="E13" s="21" t="s">
        <v>101</v>
      </c>
      <c r="F13" s="21" t="s">
        <v>102</v>
      </c>
      <c r="G13" s="21" t="s">
        <v>103</v>
      </c>
      <c r="H13" s="85">
        <v>44196</v>
      </c>
      <c r="I13" s="35">
        <v>0.210145</v>
      </c>
      <c r="J13" s="85">
        <v>44196</v>
      </c>
      <c r="K13" s="94">
        <v>0.210145</v>
      </c>
      <c r="L13" s="85">
        <v>44196</v>
      </c>
      <c r="M13" s="35">
        <v>0.210145</v>
      </c>
      <c r="N13" s="86"/>
      <c r="O13" s="34"/>
      <c r="P13" s="86"/>
      <c r="Q13" s="34"/>
    </row>
    <row r="14" spans="1:18" outlineLevel="1" x14ac:dyDescent="0.35">
      <c r="C14" s="21" t="s">
        <v>99</v>
      </c>
      <c r="D14" s="21" t="s">
        <v>106</v>
      </c>
      <c r="E14" s="21" t="s">
        <v>101</v>
      </c>
      <c r="F14" s="21" t="s">
        <v>102</v>
      </c>
      <c r="G14" s="21" t="s">
        <v>103</v>
      </c>
      <c r="H14" s="85">
        <v>44196</v>
      </c>
      <c r="I14" s="35">
        <v>6</v>
      </c>
      <c r="J14" s="85">
        <v>44196</v>
      </c>
      <c r="K14" s="94">
        <v>6</v>
      </c>
      <c r="L14" s="85">
        <v>44196</v>
      </c>
      <c r="M14" s="35">
        <v>6</v>
      </c>
      <c r="N14" s="86"/>
      <c r="O14" s="34"/>
      <c r="P14" s="86"/>
      <c r="Q14" s="34"/>
    </row>
    <row r="15" spans="1:18" outlineLevel="1" x14ac:dyDescent="0.35">
      <c r="C15" s="21" t="s">
        <v>99</v>
      </c>
      <c r="D15" s="21" t="s">
        <v>107</v>
      </c>
      <c r="E15" s="21" t="s">
        <v>101</v>
      </c>
      <c r="F15" s="21" t="s">
        <v>102</v>
      </c>
      <c r="G15" s="21" t="s">
        <v>103</v>
      </c>
      <c r="H15" s="85">
        <v>43646</v>
      </c>
      <c r="I15" s="35">
        <v>38</v>
      </c>
      <c r="J15" s="85">
        <v>43646</v>
      </c>
      <c r="K15" s="94">
        <v>38</v>
      </c>
      <c r="L15" s="85">
        <v>43646</v>
      </c>
      <c r="M15" s="35">
        <v>38</v>
      </c>
      <c r="N15" s="86"/>
      <c r="O15" s="34"/>
      <c r="P15" s="86"/>
      <c r="Q15" s="34"/>
    </row>
    <row r="16" spans="1:18" outlineLevel="1" x14ac:dyDescent="0.35">
      <c r="C16" s="21" t="s">
        <v>108</v>
      </c>
      <c r="D16" s="21" t="s">
        <v>109</v>
      </c>
      <c r="E16" s="21" t="s">
        <v>101</v>
      </c>
      <c r="F16" s="21" t="s">
        <v>102</v>
      </c>
      <c r="G16" s="21" t="s">
        <v>103</v>
      </c>
      <c r="H16" s="85">
        <v>44012</v>
      </c>
      <c r="I16" s="35">
        <v>10.681187545882992</v>
      </c>
      <c r="J16" s="85">
        <v>44012</v>
      </c>
      <c r="K16" s="94">
        <v>10.681187545882992</v>
      </c>
      <c r="L16" s="85">
        <v>44012</v>
      </c>
      <c r="M16" s="35">
        <v>10.681187545882992</v>
      </c>
      <c r="N16" s="86"/>
      <c r="O16" s="34"/>
      <c r="P16" s="86"/>
      <c r="Q16" s="34"/>
    </row>
    <row r="17" spans="3:17" outlineLevel="1" x14ac:dyDescent="0.35">
      <c r="C17" s="21" t="s">
        <v>275</v>
      </c>
      <c r="D17" s="21" t="s">
        <v>110</v>
      </c>
      <c r="E17" s="21" t="s">
        <v>101</v>
      </c>
      <c r="F17" s="21" t="s">
        <v>102</v>
      </c>
      <c r="G17" s="21" t="s">
        <v>103</v>
      </c>
      <c r="H17" s="85">
        <v>43646</v>
      </c>
      <c r="I17" s="35">
        <v>1.6735247135296942</v>
      </c>
      <c r="J17" s="85">
        <v>43646</v>
      </c>
      <c r="K17" s="94">
        <v>1.6735247135296942</v>
      </c>
      <c r="L17" s="85">
        <v>43646</v>
      </c>
      <c r="M17" s="35">
        <v>1.6735247135296942</v>
      </c>
      <c r="N17" s="86"/>
      <c r="O17" s="34"/>
      <c r="P17" s="86"/>
      <c r="Q17" s="34"/>
    </row>
    <row r="18" spans="3:17" outlineLevel="1" x14ac:dyDescent="0.35">
      <c r="C18" s="21" t="s">
        <v>275</v>
      </c>
      <c r="D18" s="21" t="s">
        <v>111</v>
      </c>
      <c r="E18" s="21" t="s">
        <v>101</v>
      </c>
      <c r="F18" s="21" t="s">
        <v>102</v>
      </c>
      <c r="G18" s="21" t="s">
        <v>103</v>
      </c>
      <c r="H18" s="85">
        <v>44196</v>
      </c>
      <c r="I18" s="35">
        <v>2.46</v>
      </c>
      <c r="J18" s="85">
        <v>44196</v>
      </c>
      <c r="K18" s="94">
        <v>2.46</v>
      </c>
      <c r="L18" s="85">
        <v>44196</v>
      </c>
      <c r="M18" s="35">
        <v>2.46</v>
      </c>
      <c r="N18" s="86"/>
      <c r="O18" s="34"/>
      <c r="P18" s="86"/>
      <c r="Q18" s="34"/>
    </row>
    <row r="19" spans="3:17" outlineLevel="1" x14ac:dyDescent="0.35">
      <c r="C19" s="21" t="s">
        <v>275</v>
      </c>
      <c r="D19" s="21" t="s">
        <v>112</v>
      </c>
      <c r="E19" s="21" t="s">
        <v>101</v>
      </c>
      <c r="F19" s="21" t="s">
        <v>113</v>
      </c>
      <c r="G19" s="21" t="s">
        <v>103</v>
      </c>
      <c r="H19" s="85">
        <v>44012</v>
      </c>
      <c r="I19" s="35">
        <v>1.1849999999999999E-2</v>
      </c>
      <c r="J19" s="85">
        <v>44012</v>
      </c>
      <c r="K19" s="94">
        <v>1.1849999999999999E-2</v>
      </c>
      <c r="L19" s="85">
        <v>44012</v>
      </c>
      <c r="M19" s="35">
        <v>1.1849999999999999E-2</v>
      </c>
      <c r="N19" s="86"/>
      <c r="O19" s="34"/>
      <c r="P19" s="86"/>
      <c r="Q19" s="34"/>
    </row>
    <row r="20" spans="3:17" outlineLevel="1" x14ac:dyDescent="0.35">
      <c r="C20" s="21" t="s">
        <v>275</v>
      </c>
      <c r="D20" s="21" t="s">
        <v>114</v>
      </c>
      <c r="E20" s="21" t="s">
        <v>101</v>
      </c>
      <c r="F20" s="21" t="s">
        <v>113</v>
      </c>
      <c r="G20" s="21" t="s">
        <v>103</v>
      </c>
      <c r="H20" s="85">
        <v>44012</v>
      </c>
      <c r="I20" s="35">
        <v>2.5499999999999998E-2</v>
      </c>
      <c r="J20" s="85">
        <v>44012</v>
      </c>
      <c r="K20" s="94">
        <v>2.5499999999999998E-2</v>
      </c>
      <c r="L20" s="85">
        <v>44012</v>
      </c>
      <c r="M20" s="35">
        <v>2.5499999999999998E-2</v>
      </c>
      <c r="N20" s="86"/>
      <c r="O20" s="34"/>
      <c r="P20" s="86"/>
      <c r="Q20" s="34"/>
    </row>
    <row r="21" spans="3:17" outlineLevel="1" x14ac:dyDescent="0.35">
      <c r="C21" s="21" t="s">
        <v>115</v>
      </c>
      <c r="D21" s="21" t="s">
        <v>116</v>
      </c>
      <c r="E21" s="21" t="s">
        <v>101</v>
      </c>
      <c r="F21" s="21" t="s">
        <v>117</v>
      </c>
      <c r="G21" s="21" t="s">
        <v>103</v>
      </c>
      <c r="H21" s="85">
        <v>44196</v>
      </c>
      <c r="I21" s="35">
        <v>59.6</v>
      </c>
      <c r="J21" s="86">
        <v>44377</v>
      </c>
      <c r="K21" s="52">
        <v>63.7</v>
      </c>
      <c r="L21" s="86">
        <v>44377</v>
      </c>
      <c r="M21" s="34"/>
      <c r="N21" s="86"/>
      <c r="O21" s="34"/>
      <c r="P21" s="86"/>
      <c r="Q21" s="34"/>
    </row>
    <row r="22" spans="3:17" outlineLevel="1" x14ac:dyDescent="0.35">
      <c r="C22" s="21" t="s">
        <v>115</v>
      </c>
      <c r="D22" s="21" t="s">
        <v>118</v>
      </c>
      <c r="E22" s="21" t="s">
        <v>101</v>
      </c>
      <c r="F22" s="21" t="s">
        <v>117</v>
      </c>
      <c r="G22" s="21" t="s">
        <v>103</v>
      </c>
      <c r="H22" s="85">
        <v>44196</v>
      </c>
      <c r="I22" s="35">
        <v>65.8</v>
      </c>
      <c r="J22" s="86">
        <v>44377</v>
      </c>
      <c r="K22" s="52">
        <v>59.4</v>
      </c>
      <c r="L22" s="86">
        <v>44377</v>
      </c>
      <c r="M22" s="34"/>
      <c r="N22" s="86"/>
      <c r="O22" s="34"/>
      <c r="P22" s="86"/>
      <c r="Q22" s="34"/>
    </row>
    <row r="23" spans="3:17" outlineLevel="1" x14ac:dyDescent="0.35">
      <c r="C23" s="21" t="s">
        <v>115</v>
      </c>
      <c r="D23" s="21" t="s">
        <v>119</v>
      </c>
      <c r="E23" s="21" t="s">
        <v>101</v>
      </c>
      <c r="F23" s="21" t="s">
        <v>117</v>
      </c>
      <c r="G23" s="21" t="s">
        <v>103</v>
      </c>
      <c r="H23" s="85">
        <v>44196</v>
      </c>
      <c r="I23" s="35">
        <v>66.28</v>
      </c>
      <c r="J23" s="86">
        <v>44377</v>
      </c>
      <c r="K23" s="52">
        <v>54.19</v>
      </c>
      <c r="L23" s="86">
        <v>44377</v>
      </c>
      <c r="M23" s="34"/>
      <c r="N23" s="86"/>
      <c r="O23" s="34"/>
      <c r="P23" s="86"/>
      <c r="Q23" s="34"/>
    </row>
    <row r="24" spans="3:17" outlineLevel="1" x14ac:dyDescent="0.35">
      <c r="C24" s="21" t="s">
        <v>115</v>
      </c>
      <c r="D24" s="21" t="s">
        <v>120</v>
      </c>
      <c r="E24" s="21" t="s">
        <v>101</v>
      </c>
      <c r="F24" s="21" t="s">
        <v>117</v>
      </c>
      <c r="G24" s="21" t="s">
        <v>103</v>
      </c>
      <c r="H24" s="85">
        <v>44196</v>
      </c>
      <c r="I24" s="35">
        <v>65.5</v>
      </c>
      <c r="J24" s="86">
        <v>44377</v>
      </c>
      <c r="K24" s="52">
        <v>58</v>
      </c>
      <c r="L24" s="86">
        <v>44377</v>
      </c>
      <c r="M24" s="34"/>
      <c r="N24" s="86"/>
      <c r="O24" s="34"/>
      <c r="P24" s="86"/>
      <c r="Q24" s="34"/>
    </row>
    <row r="25" spans="3:17" outlineLevel="1" x14ac:dyDescent="0.35">
      <c r="C25" s="21" t="s">
        <v>115</v>
      </c>
      <c r="D25" s="21" t="s">
        <v>121</v>
      </c>
      <c r="E25" s="21" t="s">
        <v>101</v>
      </c>
      <c r="F25" s="21" t="s">
        <v>117</v>
      </c>
      <c r="G25" s="21" t="s">
        <v>103</v>
      </c>
      <c r="H25" s="85">
        <v>44196</v>
      </c>
      <c r="I25" s="35">
        <v>48.82</v>
      </c>
      <c r="J25" s="86">
        <v>44377</v>
      </c>
      <c r="K25" s="52">
        <v>42.92</v>
      </c>
      <c r="L25" s="86">
        <v>44377</v>
      </c>
      <c r="M25" s="34"/>
      <c r="N25" s="86"/>
      <c r="O25" s="34"/>
      <c r="P25" s="86"/>
      <c r="Q25" s="34"/>
    </row>
    <row r="26" spans="3:17" outlineLevel="1" x14ac:dyDescent="0.35">
      <c r="C26" s="21" t="s">
        <v>115</v>
      </c>
      <c r="D26" s="21" t="s">
        <v>360</v>
      </c>
      <c r="E26" s="21" t="s">
        <v>101</v>
      </c>
      <c r="F26" s="21" t="s">
        <v>117</v>
      </c>
      <c r="G26" s="21" t="s">
        <v>88</v>
      </c>
      <c r="H26" s="85">
        <v>44196</v>
      </c>
      <c r="I26" s="35">
        <v>106</v>
      </c>
      <c r="J26" s="86">
        <v>44377</v>
      </c>
      <c r="K26" s="52">
        <v>111.11</v>
      </c>
      <c r="L26" s="86">
        <v>44377</v>
      </c>
      <c r="M26" s="34"/>
      <c r="N26" s="86"/>
      <c r="O26" s="34"/>
      <c r="P26" s="86"/>
      <c r="Q26" s="34"/>
    </row>
    <row r="27" spans="3:17" outlineLevel="1" x14ac:dyDescent="0.35">
      <c r="C27" s="21" t="s">
        <v>115</v>
      </c>
      <c r="D27" s="21" t="s">
        <v>361</v>
      </c>
      <c r="E27" s="21" t="s">
        <v>101</v>
      </c>
      <c r="F27" s="21" t="s">
        <v>117</v>
      </c>
      <c r="G27" s="21" t="s">
        <v>88</v>
      </c>
      <c r="H27" s="85">
        <v>44196</v>
      </c>
      <c r="I27" s="35">
        <v>90</v>
      </c>
      <c r="J27" s="86">
        <v>44377</v>
      </c>
      <c r="K27" s="52">
        <v>90.009</v>
      </c>
      <c r="L27" s="86">
        <v>44377</v>
      </c>
      <c r="M27" s="34"/>
      <c r="N27" s="86"/>
      <c r="O27" s="34"/>
      <c r="P27" s="86"/>
      <c r="Q27" s="34"/>
    </row>
    <row r="28" spans="3:17" outlineLevel="1" x14ac:dyDescent="0.35">
      <c r="C28" s="21" t="s">
        <v>115</v>
      </c>
      <c r="D28" s="21" t="s">
        <v>362</v>
      </c>
      <c r="E28" s="21" t="s">
        <v>101</v>
      </c>
      <c r="F28" s="21" t="s">
        <v>117</v>
      </c>
      <c r="G28" s="21" t="s">
        <v>88</v>
      </c>
      <c r="H28" s="85">
        <v>44196</v>
      </c>
      <c r="I28" s="35">
        <v>69.03</v>
      </c>
      <c r="J28" s="86">
        <v>44377</v>
      </c>
      <c r="K28" s="52">
        <v>82.195999999999998</v>
      </c>
      <c r="L28" s="86">
        <v>44377</v>
      </c>
      <c r="M28" s="34"/>
      <c r="N28" s="86"/>
      <c r="O28" s="34"/>
      <c r="P28" s="86"/>
      <c r="Q28" s="34"/>
    </row>
    <row r="29" spans="3:17" outlineLevel="1" x14ac:dyDescent="0.35">
      <c r="C29" s="21" t="s">
        <v>115</v>
      </c>
      <c r="D29" s="21" t="s">
        <v>363</v>
      </c>
      <c r="E29" s="21" t="s">
        <v>101</v>
      </c>
      <c r="F29" s="21" t="s">
        <v>117</v>
      </c>
      <c r="G29" s="21" t="s">
        <v>88</v>
      </c>
      <c r="H29" s="85">
        <v>44196</v>
      </c>
      <c r="I29" s="35">
        <v>140</v>
      </c>
      <c r="J29" s="86">
        <v>44377</v>
      </c>
      <c r="K29" s="52">
        <v>139.97749999999999</v>
      </c>
      <c r="L29" s="86">
        <v>44377</v>
      </c>
      <c r="M29" s="34"/>
      <c r="N29" s="86"/>
      <c r="O29" s="34"/>
      <c r="P29" s="86"/>
      <c r="Q29" s="34"/>
    </row>
    <row r="30" spans="3:17" outlineLevel="1" x14ac:dyDescent="0.35">
      <c r="C30" s="21" t="s">
        <v>115</v>
      </c>
      <c r="D30" s="21" t="s">
        <v>364</v>
      </c>
      <c r="E30" s="21" t="s">
        <v>101</v>
      </c>
      <c r="F30" s="21" t="s">
        <v>117</v>
      </c>
      <c r="G30" s="21" t="s">
        <v>88</v>
      </c>
      <c r="H30" s="85">
        <v>44196</v>
      </c>
      <c r="I30" s="35">
        <v>59.859999999999992</v>
      </c>
      <c r="J30" s="86">
        <v>44377</v>
      </c>
      <c r="K30" s="52">
        <v>80.007999999999996</v>
      </c>
      <c r="L30" s="86">
        <v>44377</v>
      </c>
      <c r="M30" s="34"/>
      <c r="N30" s="86"/>
      <c r="O30" s="34"/>
      <c r="P30" s="86"/>
      <c r="Q30" s="34"/>
    </row>
    <row r="31" spans="3:17" outlineLevel="1" x14ac:dyDescent="0.35">
      <c r="C31" s="21" t="s">
        <v>115</v>
      </c>
      <c r="D31" s="54" t="s">
        <v>365</v>
      </c>
      <c r="E31" s="21" t="s">
        <v>101</v>
      </c>
      <c r="F31" s="21" t="s">
        <v>117</v>
      </c>
      <c r="G31" s="21" t="s">
        <v>89</v>
      </c>
      <c r="H31" s="85">
        <v>44196</v>
      </c>
      <c r="I31" s="35">
        <v>106</v>
      </c>
      <c r="J31" s="86">
        <v>44377</v>
      </c>
      <c r="K31" s="52">
        <v>111.11</v>
      </c>
      <c r="L31" s="86">
        <v>44377</v>
      </c>
      <c r="M31" s="34"/>
      <c r="N31" s="86"/>
      <c r="O31" s="34"/>
      <c r="P31" s="86"/>
      <c r="Q31" s="34"/>
    </row>
    <row r="32" spans="3:17" outlineLevel="1" x14ac:dyDescent="0.35">
      <c r="C32" s="21" t="s">
        <v>115</v>
      </c>
      <c r="D32" s="21" t="s">
        <v>366</v>
      </c>
      <c r="E32" s="21" t="s">
        <v>101</v>
      </c>
      <c r="F32" s="21" t="s">
        <v>117</v>
      </c>
      <c r="G32" s="21" t="s">
        <v>89</v>
      </c>
      <c r="H32" s="85">
        <v>44196</v>
      </c>
      <c r="I32" s="35">
        <v>160</v>
      </c>
      <c r="J32" s="86">
        <v>44377</v>
      </c>
      <c r="K32" s="52">
        <v>160.01599999999999</v>
      </c>
      <c r="L32" s="86">
        <v>44377</v>
      </c>
      <c r="M32" s="34"/>
      <c r="N32" s="86"/>
      <c r="O32" s="34"/>
      <c r="P32" s="86"/>
      <c r="Q32" s="34"/>
    </row>
    <row r="33" spans="3:17" outlineLevel="1" x14ac:dyDescent="0.35">
      <c r="C33" s="21" t="s">
        <v>115</v>
      </c>
      <c r="D33" s="21" t="s">
        <v>367</v>
      </c>
      <c r="E33" s="21" t="s">
        <v>101</v>
      </c>
      <c r="F33" s="21" t="s">
        <v>117</v>
      </c>
      <c r="G33" s="21" t="s">
        <v>89</v>
      </c>
      <c r="H33" s="85">
        <v>44196</v>
      </c>
      <c r="I33" s="35">
        <v>118.741</v>
      </c>
      <c r="J33" s="86">
        <v>44377</v>
      </c>
      <c r="K33" s="52">
        <v>134.46600000000001</v>
      </c>
      <c r="L33" s="86">
        <v>44377</v>
      </c>
      <c r="M33" s="34"/>
      <c r="N33" s="86"/>
      <c r="O33" s="34"/>
      <c r="P33" s="86"/>
      <c r="Q33" s="34"/>
    </row>
    <row r="34" spans="3:17" outlineLevel="1" x14ac:dyDescent="0.35">
      <c r="C34" s="21" t="s">
        <v>115</v>
      </c>
      <c r="D34" s="21" t="s">
        <v>368</v>
      </c>
      <c r="E34" s="21" t="s">
        <v>101</v>
      </c>
      <c r="F34" s="21" t="s">
        <v>117</v>
      </c>
      <c r="G34" s="21" t="s">
        <v>89</v>
      </c>
      <c r="H34" s="85">
        <v>44196</v>
      </c>
      <c r="I34" s="35">
        <v>180</v>
      </c>
      <c r="J34" s="86">
        <v>44377</v>
      </c>
      <c r="K34" s="52">
        <v>179.98150000000001</v>
      </c>
      <c r="L34" s="86">
        <v>44377</v>
      </c>
      <c r="M34" s="34"/>
      <c r="N34" s="86"/>
      <c r="O34" s="34"/>
      <c r="P34" s="86"/>
      <c r="Q34" s="34"/>
    </row>
    <row r="35" spans="3:17" outlineLevel="1" x14ac:dyDescent="0.35">
      <c r="C35" s="21" t="s">
        <v>115</v>
      </c>
      <c r="D35" s="21" t="s">
        <v>369</v>
      </c>
      <c r="E35" s="21" t="s">
        <v>101</v>
      </c>
      <c r="F35" s="21" t="s">
        <v>117</v>
      </c>
      <c r="G35" s="21" t="s">
        <v>89</v>
      </c>
      <c r="H35" s="85">
        <v>44196</v>
      </c>
      <c r="I35" s="35">
        <v>79.861999999999995</v>
      </c>
      <c r="J35" s="86">
        <v>44377</v>
      </c>
      <c r="K35" s="52">
        <v>120.01199999999999</v>
      </c>
      <c r="L35" s="86">
        <v>44377</v>
      </c>
      <c r="M35" s="34"/>
      <c r="N35" s="86"/>
      <c r="O35" s="34"/>
      <c r="P35" s="86"/>
      <c r="Q35" s="34"/>
    </row>
    <row r="36" spans="3:17" outlineLevel="1" x14ac:dyDescent="0.35">
      <c r="C36" s="21" t="s">
        <v>115</v>
      </c>
      <c r="D36" s="21" t="s">
        <v>370</v>
      </c>
      <c r="E36" s="21" t="s">
        <v>101</v>
      </c>
      <c r="F36" s="21" t="s">
        <v>117</v>
      </c>
      <c r="G36" s="21" t="s">
        <v>88</v>
      </c>
      <c r="H36" s="85" t="s">
        <v>75</v>
      </c>
      <c r="I36" s="85" t="s">
        <v>75</v>
      </c>
      <c r="J36" s="86">
        <v>44377</v>
      </c>
      <c r="K36" s="52">
        <v>111.11</v>
      </c>
      <c r="L36" s="86">
        <v>44377</v>
      </c>
      <c r="M36" s="34"/>
      <c r="N36" s="86"/>
      <c r="O36" s="34"/>
      <c r="P36" s="86"/>
      <c r="Q36" s="34"/>
    </row>
    <row r="37" spans="3:17" outlineLevel="1" x14ac:dyDescent="0.35">
      <c r="C37" s="21" t="s">
        <v>115</v>
      </c>
      <c r="D37" s="21" t="s">
        <v>371</v>
      </c>
      <c r="E37" s="21" t="s">
        <v>101</v>
      </c>
      <c r="F37" s="21" t="s">
        <v>117</v>
      </c>
      <c r="G37" s="21" t="s">
        <v>88</v>
      </c>
      <c r="H37" s="85" t="s">
        <v>75</v>
      </c>
      <c r="I37" s="85" t="s">
        <v>75</v>
      </c>
      <c r="J37" s="86">
        <v>44377</v>
      </c>
      <c r="K37" s="52">
        <v>90.009</v>
      </c>
      <c r="L37" s="86">
        <v>44377</v>
      </c>
      <c r="M37" s="34"/>
      <c r="N37" s="86"/>
      <c r="O37" s="34"/>
      <c r="P37" s="86"/>
      <c r="Q37" s="34"/>
    </row>
    <row r="38" spans="3:17" outlineLevel="1" x14ac:dyDescent="0.35">
      <c r="C38" s="21" t="s">
        <v>115</v>
      </c>
      <c r="D38" s="21" t="s">
        <v>372</v>
      </c>
      <c r="E38" s="21" t="s">
        <v>101</v>
      </c>
      <c r="F38" s="21" t="s">
        <v>117</v>
      </c>
      <c r="G38" s="21" t="s">
        <v>88</v>
      </c>
      <c r="H38" s="85" t="s">
        <v>75</v>
      </c>
      <c r="I38" s="85" t="s">
        <v>75</v>
      </c>
      <c r="J38" s="86">
        <v>44377</v>
      </c>
      <c r="K38" s="52">
        <v>82.195999999999998</v>
      </c>
      <c r="L38" s="86">
        <v>44377</v>
      </c>
      <c r="M38" s="34"/>
      <c r="N38" s="86"/>
      <c r="O38" s="34"/>
      <c r="P38" s="86"/>
      <c r="Q38" s="34"/>
    </row>
    <row r="39" spans="3:17" outlineLevel="1" x14ac:dyDescent="0.35">
      <c r="C39" s="21" t="s">
        <v>115</v>
      </c>
      <c r="D39" s="21" t="s">
        <v>373</v>
      </c>
      <c r="E39" s="21" t="s">
        <v>101</v>
      </c>
      <c r="F39" s="21" t="s">
        <v>117</v>
      </c>
      <c r="G39" s="21" t="s">
        <v>88</v>
      </c>
      <c r="H39" s="85" t="s">
        <v>75</v>
      </c>
      <c r="I39" s="85" t="s">
        <v>75</v>
      </c>
      <c r="J39" s="86">
        <v>44377</v>
      </c>
      <c r="K39" s="52">
        <v>139.97749999999999</v>
      </c>
      <c r="L39" s="86">
        <v>44377</v>
      </c>
      <c r="M39" s="34"/>
      <c r="N39" s="86"/>
      <c r="O39" s="34"/>
      <c r="P39" s="86"/>
      <c r="Q39" s="34"/>
    </row>
    <row r="40" spans="3:17" outlineLevel="1" x14ac:dyDescent="0.35">
      <c r="C40" s="21" t="s">
        <v>115</v>
      </c>
      <c r="D40" s="21" t="s">
        <v>374</v>
      </c>
      <c r="E40" s="21" t="s">
        <v>101</v>
      </c>
      <c r="F40" s="21" t="s">
        <v>117</v>
      </c>
      <c r="G40" s="21" t="s">
        <v>88</v>
      </c>
      <c r="H40" s="85" t="s">
        <v>75</v>
      </c>
      <c r="I40" s="85" t="s">
        <v>75</v>
      </c>
      <c r="J40" s="86">
        <v>44377</v>
      </c>
      <c r="K40" s="52">
        <v>80.007999999999996</v>
      </c>
      <c r="L40" s="86">
        <v>44377</v>
      </c>
      <c r="M40" s="34"/>
      <c r="N40" s="86"/>
      <c r="O40" s="34"/>
      <c r="P40" s="86"/>
      <c r="Q40" s="34"/>
    </row>
    <row r="41" spans="3:17" outlineLevel="1" x14ac:dyDescent="0.35">
      <c r="C41" s="21" t="s">
        <v>115</v>
      </c>
      <c r="D41" s="54" t="s">
        <v>375</v>
      </c>
      <c r="E41" s="21" t="s">
        <v>101</v>
      </c>
      <c r="F41" s="21" t="s">
        <v>117</v>
      </c>
      <c r="G41" s="21" t="s">
        <v>89</v>
      </c>
      <c r="H41" s="85" t="s">
        <v>75</v>
      </c>
      <c r="I41" s="85" t="s">
        <v>75</v>
      </c>
      <c r="J41" s="86">
        <v>44377</v>
      </c>
      <c r="K41" s="52">
        <v>111.11</v>
      </c>
      <c r="L41" s="86">
        <v>44377</v>
      </c>
      <c r="M41" s="34"/>
      <c r="N41" s="86"/>
      <c r="O41" s="34"/>
      <c r="P41" s="86"/>
      <c r="Q41" s="34"/>
    </row>
    <row r="42" spans="3:17" outlineLevel="1" x14ac:dyDescent="0.35">
      <c r="C42" s="21" t="s">
        <v>115</v>
      </c>
      <c r="D42" s="21" t="s">
        <v>376</v>
      </c>
      <c r="E42" s="21" t="s">
        <v>101</v>
      </c>
      <c r="F42" s="21" t="s">
        <v>117</v>
      </c>
      <c r="G42" s="21" t="s">
        <v>89</v>
      </c>
      <c r="H42" s="85" t="s">
        <v>75</v>
      </c>
      <c r="I42" s="85" t="s">
        <v>75</v>
      </c>
      <c r="J42" s="86">
        <v>44377</v>
      </c>
      <c r="K42" s="52">
        <v>160.01599999999999</v>
      </c>
      <c r="L42" s="86">
        <v>44377</v>
      </c>
      <c r="M42" s="34"/>
      <c r="N42" s="86"/>
      <c r="O42" s="34"/>
      <c r="P42" s="86"/>
      <c r="Q42" s="34"/>
    </row>
    <row r="43" spans="3:17" outlineLevel="1" x14ac:dyDescent="0.35">
      <c r="C43" s="21" t="s">
        <v>115</v>
      </c>
      <c r="D43" s="21" t="s">
        <v>377</v>
      </c>
      <c r="E43" s="21" t="s">
        <v>101</v>
      </c>
      <c r="F43" s="21" t="s">
        <v>117</v>
      </c>
      <c r="G43" s="21" t="s">
        <v>89</v>
      </c>
      <c r="H43" s="85" t="s">
        <v>75</v>
      </c>
      <c r="I43" s="85" t="s">
        <v>75</v>
      </c>
      <c r="J43" s="86">
        <v>44377</v>
      </c>
      <c r="K43" s="52">
        <v>242.124</v>
      </c>
      <c r="L43" s="86">
        <v>44377</v>
      </c>
      <c r="M43" s="34"/>
      <c r="N43" s="86"/>
      <c r="O43" s="34"/>
      <c r="P43" s="86"/>
      <c r="Q43" s="34"/>
    </row>
    <row r="44" spans="3:17" outlineLevel="1" x14ac:dyDescent="0.35">
      <c r="C44" s="21" t="s">
        <v>115</v>
      </c>
      <c r="D44" s="21" t="s">
        <v>378</v>
      </c>
      <c r="E44" s="21" t="s">
        <v>101</v>
      </c>
      <c r="F44" s="21" t="s">
        <v>117</v>
      </c>
      <c r="G44" s="21" t="s">
        <v>89</v>
      </c>
      <c r="H44" s="85" t="s">
        <v>75</v>
      </c>
      <c r="I44" s="85" t="s">
        <v>75</v>
      </c>
      <c r="J44" s="86">
        <v>44377</v>
      </c>
      <c r="K44" s="52">
        <v>179.98150000000001</v>
      </c>
      <c r="L44" s="86">
        <v>44377</v>
      </c>
      <c r="M44" s="34"/>
      <c r="N44" s="86"/>
      <c r="O44" s="34"/>
      <c r="P44" s="86"/>
      <c r="Q44" s="34"/>
    </row>
    <row r="45" spans="3:17" outlineLevel="1" x14ac:dyDescent="0.35">
      <c r="C45" s="21" t="s">
        <v>115</v>
      </c>
      <c r="D45" s="21" t="s">
        <v>379</v>
      </c>
      <c r="E45" s="21" t="s">
        <v>101</v>
      </c>
      <c r="F45" s="21" t="s">
        <v>117</v>
      </c>
      <c r="G45" s="21" t="s">
        <v>89</v>
      </c>
      <c r="H45" s="85" t="s">
        <v>75</v>
      </c>
      <c r="I45" s="85" t="s">
        <v>75</v>
      </c>
      <c r="J45" s="86">
        <v>44377</v>
      </c>
      <c r="K45" s="52">
        <v>120.01199999999999</v>
      </c>
      <c r="L45" s="86">
        <v>44377</v>
      </c>
      <c r="M45" s="34"/>
      <c r="N45" s="86"/>
      <c r="O45" s="34"/>
      <c r="P45" s="86"/>
      <c r="Q45" s="34"/>
    </row>
    <row r="46" spans="3:17" outlineLevel="1" x14ac:dyDescent="0.35">
      <c r="C46" s="21" t="s">
        <v>122</v>
      </c>
      <c r="D46" s="21" t="s">
        <v>123</v>
      </c>
      <c r="E46" s="21" t="s">
        <v>124</v>
      </c>
      <c r="F46" s="21" t="s">
        <v>125</v>
      </c>
      <c r="G46" s="21" t="s">
        <v>88</v>
      </c>
      <c r="H46" s="85">
        <v>44196</v>
      </c>
      <c r="I46" s="35">
        <v>94.02</v>
      </c>
      <c r="J46" s="85">
        <v>44196</v>
      </c>
      <c r="K46" s="94">
        <v>94.02</v>
      </c>
      <c r="L46" s="85">
        <v>44196</v>
      </c>
      <c r="M46" s="35">
        <v>94.02</v>
      </c>
      <c r="N46" s="86"/>
      <c r="O46" s="34"/>
      <c r="P46" s="86"/>
      <c r="Q46" s="34"/>
    </row>
    <row r="47" spans="3:17" outlineLevel="1" x14ac:dyDescent="0.35">
      <c r="C47" s="21" t="s">
        <v>122</v>
      </c>
      <c r="D47" s="21" t="s">
        <v>126</v>
      </c>
      <c r="E47" s="21" t="s">
        <v>124</v>
      </c>
      <c r="F47" s="21" t="s">
        <v>125</v>
      </c>
      <c r="G47" s="21" t="s">
        <v>88</v>
      </c>
      <c r="H47" s="85">
        <v>44196</v>
      </c>
      <c r="I47" s="35">
        <v>88.84</v>
      </c>
      <c r="J47" s="85">
        <v>44196</v>
      </c>
      <c r="K47" s="94">
        <v>88.84</v>
      </c>
      <c r="L47" s="85">
        <v>44196</v>
      </c>
      <c r="M47" s="35">
        <v>88.84</v>
      </c>
      <c r="N47" s="86"/>
      <c r="O47" s="34"/>
      <c r="P47" s="86"/>
      <c r="Q47" s="34"/>
    </row>
    <row r="48" spans="3:17" outlineLevel="1" x14ac:dyDescent="0.35">
      <c r="C48" s="21" t="s">
        <v>122</v>
      </c>
      <c r="D48" s="21" t="s">
        <v>127</v>
      </c>
      <c r="E48" s="21" t="s">
        <v>124</v>
      </c>
      <c r="F48" s="21" t="s">
        <v>125</v>
      </c>
      <c r="G48" s="21" t="s">
        <v>88</v>
      </c>
      <c r="H48" s="85">
        <v>44196</v>
      </c>
      <c r="I48" s="35">
        <v>97.8</v>
      </c>
      <c r="J48" s="85">
        <v>44196</v>
      </c>
      <c r="K48" s="94">
        <v>97.8</v>
      </c>
      <c r="L48" s="85">
        <v>44196</v>
      </c>
      <c r="M48" s="35">
        <v>97.8</v>
      </c>
      <c r="N48" s="86"/>
      <c r="O48" s="34"/>
      <c r="P48" s="86"/>
      <c r="Q48" s="34"/>
    </row>
    <row r="49" spans="3:17" outlineLevel="1" x14ac:dyDescent="0.35">
      <c r="C49" s="21" t="s">
        <v>122</v>
      </c>
      <c r="D49" s="21" t="s">
        <v>128</v>
      </c>
      <c r="E49" s="21" t="s">
        <v>124</v>
      </c>
      <c r="F49" s="21" t="s">
        <v>125</v>
      </c>
      <c r="G49" s="21" t="s">
        <v>88</v>
      </c>
      <c r="H49" s="85">
        <v>44196</v>
      </c>
      <c r="I49" s="35">
        <v>92.03</v>
      </c>
      <c r="J49" s="85">
        <v>44196</v>
      </c>
      <c r="K49" s="94">
        <v>92.03</v>
      </c>
      <c r="L49" s="85">
        <v>44196</v>
      </c>
      <c r="M49" s="35">
        <v>92.03</v>
      </c>
      <c r="N49" s="86"/>
      <c r="O49" s="34"/>
      <c r="P49" s="86"/>
      <c r="Q49" s="34"/>
    </row>
    <row r="50" spans="3:17" outlineLevel="1" x14ac:dyDescent="0.35">
      <c r="C50" s="21" t="s">
        <v>122</v>
      </c>
      <c r="D50" s="21" t="s">
        <v>129</v>
      </c>
      <c r="E50" s="21" t="s">
        <v>124</v>
      </c>
      <c r="F50" s="21" t="s">
        <v>125</v>
      </c>
      <c r="G50" s="21" t="s">
        <v>88</v>
      </c>
      <c r="H50" s="85">
        <v>44196</v>
      </c>
      <c r="I50" s="35">
        <v>98.18</v>
      </c>
      <c r="J50" s="85">
        <v>44196</v>
      </c>
      <c r="K50" s="94">
        <v>98.18</v>
      </c>
      <c r="L50" s="85">
        <v>44196</v>
      </c>
      <c r="M50" s="35">
        <v>98.18</v>
      </c>
      <c r="N50" s="86"/>
      <c r="O50" s="34"/>
      <c r="P50" s="86"/>
      <c r="Q50" s="34"/>
    </row>
    <row r="51" spans="3:17" outlineLevel="1" x14ac:dyDescent="0.35">
      <c r="C51" s="21" t="s">
        <v>122</v>
      </c>
      <c r="D51" s="21" t="s">
        <v>130</v>
      </c>
      <c r="E51" s="21" t="s">
        <v>124</v>
      </c>
      <c r="F51" s="21" t="s">
        <v>125</v>
      </c>
      <c r="G51" s="21" t="s">
        <v>88</v>
      </c>
      <c r="H51" s="85">
        <v>44196</v>
      </c>
      <c r="I51" s="35">
        <v>0.48</v>
      </c>
      <c r="J51" s="85">
        <v>44196</v>
      </c>
      <c r="K51" s="94">
        <v>0.48</v>
      </c>
      <c r="L51" s="85">
        <v>44196</v>
      </c>
      <c r="M51" s="35">
        <v>0.48</v>
      </c>
      <c r="N51" s="86"/>
      <c r="O51" s="34"/>
      <c r="P51" s="86"/>
      <c r="Q51" s="34"/>
    </row>
    <row r="52" spans="3:17" outlineLevel="1" x14ac:dyDescent="0.35">
      <c r="C52" s="21" t="s">
        <v>122</v>
      </c>
      <c r="D52" s="21" t="s">
        <v>131</v>
      </c>
      <c r="E52" s="21" t="s">
        <v>124</v>
      </c>
      <c r="F52" s="21" t="s">
        <v>125</v>
      </c>
      <c r="G52" s="21" t="s">
        <v>88</v>
      </c>
      <c r="H52" s="85">
        <v>44196</v>
      </c>
      <c r="I52" s="35">
        <v>0.47</v>
      </c>
      <c r="J52" s="85">
        <v>44196</v>
      </c>
      <c r="K52" s="94">
        <v>0.47</v>
      </c>
      <c r="L52" s="85">
        <v>44196</v>
      </c>
      <c r="M52" s="35">
        <v>0.47</v>
      </c>
      <c r="N52" s="86"/>
      <c r="O52" s="34"/>
      <c r="P52" s="86"/>
      <c r="Q52" s="34"/>
    </row>
    <row r="53" spans="3:17" outlineLevel="1" x14ac:dyDescent="0.35">
      <c r="C53" s="21" t="s">
        <v>122</v>
      </c>
      <c r="D53" s="21" t="s">
        <v>132</v>
      </c>
      <c r="E53" s="21" t="s">
        <v>124</v>
      </c>
      <c r="F53" s="21" t="s">
        <v>125</v>
      </c>
      <c r="G53" s="21" t="s">
        <v>88</v>
      </c>
      <c r="H53" s="85">
        <v>44196</v>
      </c>
      <c r="I53" s="35">
        <v>0.45</v>
      </c>
      <c r="J53" s="85">
        <v>44196</v>
      </c>
      <c r="K53" s="94">
        <v>0.45</v>
      </c>
      <c r="L53" s="85">
        <v>44196</v>
      </c>
      <c r="M53" s="35">
        <v>0.45</v>
      </c>
      <c r="N53" s="86"/>
      <c r="O53" s="34"/>
      <c r="P53" s="86"/>
      <c r="Q53" s="34"/>
    </row>
    <row r="54" spans="3:17" outlineLevel="1" x14ac:dyDescent="0.35">
      <c r="C54" s="21" t="s">
        <v>122</v>
      </c>
      <c r="D54" s="21" t="s">
        <v>133</v>
      </c>
      <c r="E54" s="21" t="s">
        <v>124</v>
      </c>
      <c r="F54" s="21" t="s">
        <v>125</v>
      </c>
      <c r="G54" s="21" t="s">
        <v>88</v>
      </c>
      <c r="H54" s="85">
        <v>44196</v>
      </c>
      <c r="I54" s="35">
        <v>0.42</v>
      </c>
      <c r="J54" s="85">
        <v>44196</v>
      </c>
      <c r="K54" s="94">
        <v>0.42</v>
      </c>
      <c r="L54" s="85">
        <v>44196</v>
      </c>
      <c r="M54" s="35">
        <v>0.42</v>
      </c>
      <c r="N54" s="86"/>
      <c r="O54" s="34"/>
      <c r="P54" s="86"/>
      <c r="Q54" s="34"/>
    </row>
    <row r="55" spans="3:17" outlineLevel="1" x14ac:dyDescent="0.35">
      <c r="C55" s="21" t="s">
        <v>122</v>
      </c>
      <c r="D55" s="21" t="s">
        <v>134</v>
      </c>
      <c r="E55" s="21" t="s">
        <v>124</v>
      </c>
      <c r="F55" s="21" t="s">
        <v>125</v>
      </c>
      <c r="G55" s="21" t="s">
        <v>88</v>
      </c>
      <c r="H55" s="85">
        <v>44196</v>
      </c>
      <c r="I55" s="35">
        <v>0.49</v>
      </c>
      <c r="J55" s="85">
        <v>44196</v>
      </c>
      <c r="K55" s="94">
        <v>0.49</v>
      </c>
      <c r="L55" s="85">
        <v>44196</v>
      </c>
      <c r="M55" s="35">
        <v>0.49</v>
      </c>
      <c r="N55" s="86"/>
      <c r="O55" s="34"/>
      <c r="P55" s="86"/>
      <c r="Q55" s="34"/>
    </row>
    <row r="56" spans="3:17" outlineLevel="1" x14ac:dyDescent="0.35">
      <c r="C56" s="21" t="s">
        <v>122</v>
      </c>
      <c r="D56" s="21" t="s">
        <v>135</v>
      </c>
      <c r="E56" s="21" t="s">
        <v>124</v>
      </c>
      <c r="F56" s="21" t="s">
        <v>125</v>
      </c>
      <c r="G56" s="21" t="s">
        <v>89</v>
      </c>
      <c r="H56" s="85">
        <v>44196</v>
      </c>
      <c r="I56" s="35">
        <v>82.28</v>
      </c>
      <c r="J56" s="85">
        <v>44196</v>
      </c>
      <c r="K56" s="94">
        <v>82.28</v>
      </c>
      <c r="L56" s="85">
        <v>44196</v>
      </c>
      <c r="M56" s="35">
        <v>82.28</v>
      </c>
      <c r="N56" s="86"/>
      <c r="O56" s="34"/>
      <c r="P56" s="86"/>
      <c r="Q56" s="34"/>
    </row>
    <row r="57" spans="3:17" outlineLevel="1" x14ac:dyDescent="0.35">
      <c r="C57" s="21" t="s">
        <v>122</v>
      </c>
      <c r="D57" s="21" t="s">
        <v>136</v>
      </c>
      <c r="E57" s="21" t="s">
        <v>124</v>
      </c>
      <c r="F57" s="21" t="s">
        <v>125</v>
      </c>
      <c r="G57" s="21" t="s">
        <v>89</v>
      </c>
      <c r="H57" s="85">
        <v>44196</v>
      </c>
      <c r="I57" s="35">
        <v>85.08</v>
      </c>
      <c r="J57" s="85">
        <v>44196</v>
      </c>
      <c r="K57" s="94">
        <v>85.08</v>
      </c>
      <c r="L57" s="85">
        <v>44196</v>
      </c>
      <c r="M57" s="35">
        <v>85.08</v>
      </c>
      <c r="N57" s="86"/>
      <c r="O57" s="34"/>
      <c r="P57" s="86"/>
      <c r="Q57" s="34"/>
    </row>
    <row r="58" spans="3:17" outlineLevel="1" x14ac:dyDescent="0.35">
      <c r="C58" s="21" t="s">
        <v>122</v>
      </c>
      <c r="D58" s="21" t="s">
        <v>137</v>
      </c>
      <c r="E58" s="21" t="s">
        <v>124</v>
      </c>
      <c r="F58" s="21" t="s">
        <v>125</v>
      </c>
      <c r="G58" s="21" t="s">
        <v>89</v>
      </c>
      <c r="H58" s="85">
        <v>44196</v>
      </c>
      <c r="I58" s="35">
        <v>84.51</v>
      </c>
      <c r="J58" s="85">
        <v>44196</v>
      </c>
      <c r="K58" s="94">
        <v>84.51</v>
      </c>
      <c r="L58" s="85">
        <v>44196</v>
      </c>
      <c r="M58" s="35">
        <v>84.51</v>
      </c>
      <c r="N58" s="86"/>
      <c r="O58" s="34"/>
      <c r="P58" s="86"/>
      <c r="Q58" s="34"/>
    </row>
    <row r="59" spans="3:17" outlineLevel="1" x14ac:dyDescent="0.35">
      <c r="C59" s="21" t="s">
        <v>122</v>
      </c>
      <c r="D59" s="21" t="s">
        <v>138</v>
      </c>
      <c r="E59" s="21" t="s">
        <v>124</v>
      </c>
      <c r="F59" s="21" t="s">
        <v>125</v>
      </c>
      <c r="G59" s="21" t="s">
        <v>89</v>
      </c>
      <c r="H59" s="85">
        <v>44196</v>
      </c>
      <c r="I59" s="35">
        <v>80.11</v>
      </c>
      <c r="J59" s="85">
        <v>44196</v>
      </c>
      <c r="K59" s="94">
        <v>80.11</v>
      </c>
      <c r="L59" s="85">
        <v>44196</v>
      </c>
      <c r="M59" s="35">
        <v>80.11</v>
      </c>
      <c r="N59" s="86"/>
      <c r="O59" s="34"/>
      <c r="P59" s="86"/>
      <c r="Q59" s="34"/>
    </row>
    <row r="60" spans="3:17" outlineLevel="1" x14ac:dyDescent="0.35">
      <c r="C60" s="21" t="s">
        <v>122</v>
      </c>
      <c r="D60" s="21" t="s">
        <v>139</v>
      </c>
      <c r="E60" s="21" t="s">
        <v>124</v>
      </c>
      <c r="F60" s="21" t="s">
        <v>125</v>
      </c>
      <c r="G60" s="21" t="s">
        <v>89</v>
      </c>
      <c r="H60" s="85">
        <v>44196</v>
      </c>
      <c r="I60" s="35">
        <v>86.63</v>
      </c>
      <c r="J60" s="85">
        <v>44196</v>
      </c>
      <c r="K60" s="94">
        <v>86.63</v>
      </c>
      <c r="L60" s="85">
        <v>44196</v>
      </c>
      <c r="M60" s="35">
        <v>86.63</v>
      </c>
      <c r="N60" s="86"/>
      <c r="O60" s="34"/>
      <c r="P60" s="86"/>
      <c r="Q60" s="34"/>
    </row>
    <row r="61" spans="3:17" outlineLevel="1" x14ac:dyDescent="0.35">
      <c r="C61" s="21" t="s">
        <v>122</v>
      </c>
      <c r="D61" s="21" t="s">
        <v>140</v>
      </c>
      <c r="E61" s="21" t="s">
        <v>124</v>
      </c>
      <c r="F61" s="21" t="s">
        <v>125</v>
      </c>
      <c r="G61" s="21" t="s">
        <v>89</v>
      </c>
      <c r="H61" s="85">
        <v>44196</v>
      </c>
      <c r="I61" s="35">
        <v>0.34</v>
      </c>
      <c r="J61" s="85">
        <v>44196</v>
      </c>
      <c r="K61" s="94">
        <v>0.34</v>
      </c>
      <c r="L61" s="85">
        <v>44196</v>
      </c>
      <c r="M61" s="35">
        <v>0.34</v>
      </c>
      <c r="N61" s="86"/>
      <c r="O61" s="34"/>
      <c r="P61" s="86"/>
      <c r="Q61" s="34"/>
    </row>
    <row r="62" spans="3:17" outlineLevel="1" x14ac:dyDescent="0.35">
      <c r="C62" s="21" t="s">
        <v>122</v>
      </c>
      <c r="D62" s="21" t="s">
        <v>141</v>
      </c>
      <c r="E62" s="21" t="s">
        <v>124</v>
      </c>
      <c r="F62" s="21" t="s">
        <v>125</v>
      </c>
      <c r="G62" s="21" t="s">
        <v>89</v>
      </c>
      <c r="H62" s="85">
        <v>44196</v>
      </c>
      <c r="I62" s="35">
        <v>0.4</v>
      </c>
      <c r="J62" s="85">
        <v>44196</v>
      </c>
      <c r="K62" s="94">
        <v>0.4</v>
      </c>
      <c r="L62" s="85">
        <v>44196</v>
      </c>
      <c r="M62" s="35">
        <v>0.4</v>
      </c>
      <c r="N62" s="86"/>
      <c r="O62" s="34"/>
      <c r="P62" s="86"/>
      <c r="Q62" s="34"/>
    </row>
    <row r="63" spans="3:17" outlineLevel="1" x14ac:dyDescent="0.35">
      <c r="C63" s="21" t="s">
        <v>122</v>
      </c>
      <c r="D63" s="21" t="s">
        <v>142</v>
      </c>
      <c r="E63" s="21" t="s">
        <v>124</v>
      </c>
      <c r="F63" s="21" t="s">
        <v>125</v>
      </c>
      <c r="G63" s="21" t="s">
        <v>89</v>
      </c>
      <c r="H63" s="85">
        <v>44196</v>
      </c>
      <c r="I63" s="35">
        <v>0.36</v>
      </c>
      <c r="J63" s="85">
        <v>44196</v>
      </c>
      <c r="K63" s="94">
        <v>0.36</v>
      </c>
      <c r="L63" s="85">
        <v>44196</v>
      </c>
      <c r="M63" s="35">
        <v>0.36</v>
      </c>
      <c r="N63" s="86"/>
      <c r="O63" s="34"/>
      <c r="P63" s="86"/>
      <c r="Q63" s="34"/>
    </row>
    <row r="64" spans="3:17" outlineLevel="1" x14ac:dyDescent="0.35">
      <c r="C64" s="21" t="s">
        <v>122</v>
      </c>
      <c r="D64" s="21" t="s">
        <v>143</v>
      </c>
      <c r="E64" s="21" t="s">
        <v>124</v>
      </c>
      <c r="F64" s="21" t="s">
        <v>125</v>
      </c>
      <c r="G64" s="21" t="s">
        <v>89</v>
      </c>
      <c r="H64" s="85">
        <v>44196</v>
      </c>
      <c r="I64" s="35">
        <v>0.31</v>
      </c>
      <c r="J64" s="85">
        <v>44196</v>
      </c>
      <c r="K64" s="94">
        <v>0.31</v>
      </c>
      <c r="L64" s="85">
        <v>44196</v>
      </c>
      <c r="M64" s="35">
        <v>0.31</v>
      </c>
      <c r="N64" s="86"/>
      <c r="O64" s="34"/>
      <c r="P64" s="86"/>
      <c r="Q64" s="34"/>
    </row>
    <row r="65" spans="3:17" outlineLevel="1" x14ac:dyDescent="0.35">
      <c r="C65" s="21" t="s">
        <v>122</v>
      </c>
      <c r="D65" s="21" t="s">
        <v>144</v>
      </c>
      <c r="E65" s="21" t="s">
        <v>124</v>
      </c>
      <c r="F65" s="21" t="s">
        <v>125</v>
      </c>
      <c r="G65" s="21" t="s">
        <v>89</v>
      </c>
      <c r="H65" s="85">
        <v>44196</v>
      </c>
      <c r="I65" s="35">
        <v>0.41</v>
      </c>
      <c r="J65" s="85">
        <v>44196</v>
      </c>
      <c r="K65" s="94">
        <v>0.41</v>
      </c>
      <c r="L65" s="85">
        <v>44196</v>
      </c>
      <c r="M65" s="35">
        <v>0.41</v>
      </c>
      <c r="N65" s="86"/>
      <c r="O65" s="34"/>
      <c r="P65" s="86"/>
      <c r="Q65" s="34"/>
    </row>
    <row r="66" spans="3:17" outlineLevel="1" x14ac:dyDescent="0.35">
      <c r="C66" s="21" t="s">
        <v>145</v>
      </c>
      <c r="D66" s="21" t="s">
        <v>146</v>
      </c>
      <c r="E66" s="21" t="s">
        <v>124</v>
      </c>
      <c r="F66" s="21" t="s">
        <v>147</v>
      </c>
      <c r="G66" s="21" t="s">
        <v>103</v>
      </c>
      <c r="H66" s="85">
        <v>44104</v>
      </c>
      <c r="I66" s="35">
        <v>32.379354863483861</v>
      </c>
      <c r="J66" s="85">
        <v>44104</v>
      </c>
      <c r="K66" s="94">
        <v>32.379354863483861</v>
      </c>
      <c r="L66" s="85">
        <v>44104</v>
      </c>
      <c r="M66" s="35">
        <v>32.379354863483861</v>
      </c>
      <c r="N66" s="86"/>
      <c r="O66" s="34"/>
      <c r="P66" s="86"/>
      <c r="Q66" s="34"/>
    </row>
    <row r="67" spans="3:17" outlineLevel="1" x14ac:dyDescent="0.35">
      <c r="C67" s="21" t="s">
        <v>145</v>
      </c>
      <c r="D67" s="21" t="s">
        <v>148</v>
      </c>
      <c r="E67" s="21" t="s">
        <v>124</v>
      </c>
      <c r="F67" s="21" t="s">
        <v>147</v>
      </c>
      <c r="G67" s="21" t="s">
        <v>103</v>
      </c>
      <c r="H67" s="85">
        <v>44196</v>
      </c>
      <c r="I67" s="35">
        <v>35.75</v>
      </c>
      <c r="J67" s="85">
        <v>44196</v>
      </c>
      <c r="K67" s="94">
        <v>35.75</v>
      </c>
      <c r="L67" s="85">
        <v>44196</v>
      </c>
      <c r="M67" s="35">
        <v>35.75</v>
      </c>
      <c r="N67" s="86"/>
      <c r="O67" s="34"/>
      <c r="P67" s="86"/>
      <c r="Q67" s="34"/>
    </row>
    <row r="68" spans="3:17" outlineLevel="1" x14ac:dyDescent="0.35">
      <c r="C68" s="21" t="s">
        <v>145</v>
      </c>
      <c r="D68" s="21" t="s">
        <v>149</v>
      </c>
      <c r="E68" s="21" t="s">
        <v>124</v>
      </c>
      <c r="F68" s="21" t="s">
        <v>147</v>
      </c>
      <c r="G68" s="21" t="s">
        <v>103</v>
      </c>
      <c r="H68" s="85">
        <v>44196</v>
      </c>
      <c r="I68" s="35">
        <v>40</v>
      </c>
      <c r="J68" s="85">
        <v>44196</v>
      </c>
      <c r="K68" s="94">
        <v>40</v>
      </c>
      <c r="L68" s="85">
        <v>44196</v>
      </c>
      <c r="M68" s="35">
        <v>40</v>
      </c>
      <c r="N68" s="86"/>
      <c r="O68" s="34"/>
      <c r="P68" s="86"/>
      <c r="Q68" s="34"/>
    </row>
    <row r="69" spans="3:17" outlineLevel="1" x14ac:dyDescent="0.35">
      <c r="C69" s="21" t="s">
        <v>145</v>
      </c>
      <c r="D69" s="21" t="s">
        <v>150</v>
      </c>
      <c r="E69" s="21" t="s">
        <v>124</v>
      </c>
      <c r="F69" s="21" t="s">
        <v>151</v>
      </c>
      <c r="G69" s="21" t="s">
        <v>103</v>
      </c>
      <c r="H69" s="85" t="s">
        <v>75</v>
      </c>
      <c r="I69" s="35">
        <v>0.17255000000000001</v>
      </c>
      <c r="J69" s="85" t="s">
        <v>75</v>
      </c>
      <c r="K69" s="94">
        <v>0.17255000000000001</v>
      </c>
      <c r="L69" s="85" t="s">
        <v>75</v>
      </c>
      <c r="M69" s="35">
        <v>0.17255000000000001</v>
      </c>
      <c r="N69" s="86"/>
      <c r="O69" s="34"/>
      <c r="P69" s="86"/>
      <c r="Q69" s="34"/>
    </row>
    <row r="70" spans="3:17" outlineLevel="1" x14ac:dyDescent="0.35">
      <c r="C70" s="21" t="s">
        <v>145</v>
      </c>
      <c r="D70" s="21" t="s">
        <v>152</v>
      </c>
      <c r="E70" s="21" t="s">
        <v>124</v>
      </c>
      <c r="F70" s="21" t="s">
        <v>151</v>
      </c>
      <c r="G70" s="21" t="s">
        <v>103</v>
      </c>
      <c r="H70" s="85" t="s">
        <v>75</v>
      </c>
      <c r="I70" s="35">
        <v>0.17764411838867972</v>
      </c>
      <c r="J70" s="85" t="s">
        <v>75</v>
      </c>
      <c r="K70" s="94">
        <v>0.17764411838867972</v>
      </c>
      <c r="L70" s="85" t="s">
        <v>75</v>
      </c>
      <c r="M70" s="35">
        <v>0.17764411838867972</v>
      </c>
      <c r="N70" s="86"/>
      <c r="O70" s="34"/>
      <c r="P70" s="86"/>
      <c r="Q70" s="34"/>
    </row>
    <row r="71" spans="3:17" outlineLevel="1" x14ac:dyDescent="0.35">
      <c r="C71" s="21" t="s">
        <v>145</v>
      </c>
      <c r="D71" s="21" t="s">
        <v>153</v>
      </c>
      <c r="E71" s="21" t="s">
        <v>124</v>
      </c>
      <c r="F71" s="21" t="s">
        <v>151</v>
      </c>
      <c r="G71" s="21" t="s">
        <v>103</v>
      </c>
      <c r="H71" s="85" t="s">
        <v>75</v>
      </c>
      <c r="I71" s="35">
        <v>0.28149999999999997</v>
      </c>
      <c r="J71" s="85" t="s">
        <v>75</v>
      </c>
      <c r="K71" s="94">
        <v>0.28149999999999997</v>
      </c>
      <c r="L71" s="85" t="s">
        <v>75</v>
      </c>
      <c r="M71" s="35">
        <v>0.28149999999999997</v>
      </c>
      <c r="N71" s="86"/>
      <c r="O71" s="34"/>
      <c r="P71" s="86"/>
      <c r="Q71" s="34"/>
    </row>
    <row r="72" spans="3:17" outlineLevel="1" x14ac:dyDescent="0.35">
      <c r="C72" s="21" t="s">
        <v>275</v>
      </c>
      <c r="D72" s="21" t="s">
        <v>154</v>
      </c>
      <c r="E72" s="21" t="s">
        <v>124</v>
      </c>
      <c r="F72" s="21" t="s">
        <v>125</v>
      </c>
      <c r="G72" s="21" t="s">
        <v>103</v>
      </c>
      <c r="H72" s="85">
        <v>44012</v>
      </c>
      <c r="I72" s="35">
        <v>0.36799999999999999</v>
      </c>
      <c r="J72" s="85">
        <v>44012</v>
      </c>
      <c r="K72" s="94">
        <v>0.36799999999999999</v>
      </c>
      <c r="L72" s="85">
        <v>44012</v>
      </c>
      <c r="M72" s="35">
        <v>0.36799999999999999</v>
      </c>
      <c r="N72" s="86"/>
      <c r="O72" s="34"/>
      <c r="P72" s="86"/>
      <c r="Q72" s="34"/>
    </row>
    <row r="73" spans="3:17" outlineLevel="1" x14ac:dyDescent="0.35">
      <c r="C73" s="21" t="s">
        <v>275</v>
      </c>
      <c r="D73" s="21" t="s">
        <v>155</v>
      </c>
      <c r="E73" s="21" t="s">
        <v>124</v>
      </c>
      <c r="F73" s="21" t="s">
        <v>125</v>
      </c>
      <c r="G73" s="21" t="s">
        <v>103</v>
      </c>
      <c r="H73" s="85" t="s">
        <v>75</v>
      </c>
      <c r="I73" s="35" t="s">
        <v>75</v>
      </c>
      <c r="J73" s="85" t="s">
        <v>75</v>
      </c>
      <c r="K73" s="94" t="s">
        <v>75</v>
      </c>
      <c r="L73" s="85" t="s">
        <v>75</v>
      </c>
      <c r="M73" s="35" t="s">
        <v>75</v>
      </c>
      <c r="N73" s="86"/>
      <c r="O73" s="34"/>
      <c r="P73" s="86"/>
      <c r="Q73" s="34"/>
    </row>
    <row r="74" spans="3:17" outlineLevel="1" x14ac:dyDescent="0.35">
      <c r="C74" s="21" t="s">
        <v>275</v>
      </c>
      <c r="D74" s="21" t="s">
        <v>156</v>
      </c>
      <c r="E74" s="21" t="s">
        <v>124</v>
      </c>
      <c r="F74" s="21" t="s">
        <v>125</v>
      </c>
      <c r="G74" s="21" t="s">
        <v>103</v>
      </c>
      <c r="H74" s="85">
        <v>44012</v>
      </c>
      <c r="I74" s="35">
        <v>0</v>
      </c>
      <c r="J74" s="85">
        <v>44012</v>
      </c>
      <c r="K74" s="94">
        <v>0</v>
      </c>
      <c r="L74" s="85">
        <v>44012</v>
      </c>
      <c r="M74" s="35">
        <v>0</v>
      </c>
      <c r="N74" s="86"/>
      <c r="O74" s="34"/>
      <c r="P74" s="86"/>
      <c r="Q74" s="34"/>
    </row>
    <row r="75" spans="3:17" outlineLevel="1" x14ac:dyDescent="0.35">
      <c r="C75" s="21" t="s">
        <v>275</v>
      </c>
      <c r="D75" s="21" t="s">
        <v>157</v>
      </c>
      <c r="E75" s="21" t="s">
        <v>124</v>
      </c>
      <c r="F75" s="21" t="s">
        <v>125</v>
      </c>
      <c r="G75" s="21" t="s">
        <v>103</v>
      </c>
      <c r="H75" s="85">
        <v>44196</v>
      </c>
      <c r="I75" s="35">
        <v>0.36029616847724721</v>
      </c>
      <c r="J75" s="85">
        <v>44196</v>
      </c>
      <c r="K75" s="94">
        <v>0.36029616847724721</v>
      </c>
      <c r="L75" s="85">
        <v>44196</v>
      </c>
      <c r="M75" s="35">
        <v>0.36029616847724721</v>
      </c>
      <c r="N75" s="86"/>
      <c r="O75" s="34"/>
      <c r="P75" s="86"/>
      <c r="Q75" s="34"/>
    </row>
    <row r="76" spans="3:17" outlineLevel="1" x14ac:dyDescent="0.35">
      <c r="C76" s="21" t="s">
        <v>115</v>
      </c>
      <c r="D76" s="21" t="s">
        <v>158</v>
      </c>
      <c r="E76" s="21" t="s">
        <v>124</v>
      </c>
      <c r="F76" s="21" t="s">
        <v>159</v>
      </c>
      <c r="G76" s="21" t="s">
        <v>88</v>
      </c>
      <c r="H76" s="85">
        <v>44196</v>
      </c>
      <c r="I76" s="35">
        <v>10.535</v>
      </c>
      <c r="J76" s="86">
        <v>44377</v>
      </c>
      <c r="K76" s="52">
        <v>11.4503</v>
      </c>
      <c r="L76" s="86">
        <v>44377</v>
      </c>
      <c r="M76" s="34"/>
      <c r="N76" s="86"/>
      <c r="O76" s="34"/>
      <c r="P76" s="86"/>
      <c r="Q76" s="34"/>
    </row>
    <row r="77" spans="3:17" outlineLevel="1" x14ac:dyDescent="0.35">
      <c r="C77" s="21" t="s">
        <v>115</v>
      </c>
      <c r="D77" s="21" t="s">
        <v>160</v>
      </c>
      <c r="E77" s="21" t="s">
        <v>124</v>
      </c>
      <c r="F77" s="21" t="s">
        <v>159</v>
      </c>
      <c r="G77" s="21" t="s">
        <v>88</v>
      </c>
      <c r="H77" s="85">
        <v>44196</v>
      </c>
      <c r="I77" s="35">
        <v>12.073700000000001</v>
      </c>
      <c r="J77" s="86">
        <v>44377</v>
      </c>
      <c r="K77" s="52">
        <v>12.838200000000001</v>
      </c>
      <c r="L77" s="86">
        <v>44377</v>
      </c>
      <c r="M77" s="34"/>
      <c r="N77" s="86"/>
      <c r="O77" s="34"/>
      <c r="P77" s="86"/>
      <c r="Q77" s="34"/>
    </row>
    <row r="78" spans="3:17" outlineLevel="1" x14ac:dyDescent="0.35">
      <c r="C78" s="21" t="s">
        <v>115</v>
      </c>
      <c r="D78" s="21" t="s">
        <v>161</v>
      </c>
      <c r="E78" s="21" t="s">
        <v>124</v>
      </c>
      <c r="F78" s="21" t="s">
        <v>159</v>
      </c>
      <c r="G78" s="21" t="s">
        <v>88</v>
      </c>
      <c r="H78" s="85">
        <v>44196</v>
      </c>
      <c r="I78" s="35">
        <v>6.47</v>
      </c>
      <c r="J78" s="86">
        <v>44377</v>
      </c>
      <c r="K78" s="52">
        <v>8.0500000000000007</v>
      </c>
      <c r="L78" s="86">
        <v>44377</v>
      </c>
      <c r="M78" s="34"/>
      <c r="N78" s="86"/>
      <c r="O78" s="34"/>
      <c r="P78" s="86"/>
      <c r="Q78" s="34"/>
    </row>
    <row r="79" spans="3:17" outlineLevel="1" x14ac:dyDescent="0.35">
      <c r="C79" s="21" t="s">
        <v>115</v>
      </c>
      <c r="D79" s="21" t="s">
        <v>162</v>
      </c>
      <c r="E79" s="21" t="s">
        <v>124</v>
      </c>
      <c r="F79" s="21" t="s">
        <v>159</v>
      </c>
      <c r="G79" s="21" t="s">
        <v>88</v>
      </c>
      <c r="H79" s="85">
        <v>44196</v>
      </c>
      <c r="I79" s="35">
        <v>7.4139999999999997</v>
      </c>
      <c r="J79" s="86">
        <v>44377</v>
      </c>
      <c r="K79" s="52">
        <v>8.67</v>
      </c>
      <c r="L79" s="86">
        <v>44377</v>
      </c>
      <c r="M79" s="34"/>
      <c r="N79" s="86"/>
      <c r="O79" s="34"/>
      <c r="P79" s="86"/>
      <c r="Q79" s="34"/>
    </row>
    <row r="80" spans="3:17" outlineLevel="1" x14ac:dyDescent="0.35">
      <c r="C80" s="21" t="s">
        <v>115</v>
      </c>
      <c r="D80" s="21" t="s">
        <v>163</v>
      </c>
      <c r="E80" s="21" t="s">
        <v>124</v>
      </c>
      <c r="F80" s="21" t="s">
        <v>159</v>
      </c>
      <c r="G80" s="21" t="s">
        <v>88</v>
      </c>
      <c r="H80" s="85">
        <v>44196</v>
      </c>
      <c r="I80" s="35">
        <v>6.74</v>
      </c>
      <c r="J80" s="86">
        <v>44377</v>
      </c>
      <c r="K80" s="52">
        <v>8.15</v>
      </c>
      <c r="L80" s="86">
        <v>44377</v>
      </c>
      <c r="M80" s="34"/>
      <c r="N80" s="86"/>
      <c r="O80" s="34"/>
      <c r="P80" s="86"/>
      <c r="Q80" s="34"/>
    </row>
    <row r="81" spans="3:17" outlineLevel="1" x14ac:dyDescent="0.35">
      <c r="C81" s="21" t="s">
        <v>115</v>
      </c>
      <c r="D81" s="21" t="s">
        <v>164</v>
      </c>
      <c r="E81" s="21" t="s">
        <v>124</v>
      </c>
      <c r="F81" s="21" t="s">
        <v>159</v>
      </c>
      <c r="G81" s="21" t="s">
        <v>88</v>
      </c>
      <c r="H81" s="85">
        <v>44196</v>
      </c>
      <c r="I81" s="35">
        <v>7.67</v>
      </c>
      <c r="J81" s="86">
        <v>44377</v>
      </c>
      <c r="K81" s="52">
        <v>7.99</v>
      </c>
      <c r="L81" s="86">
        <v>44377</v>
      </c>
      <c r="M81" s="34"/>
      <c r="N81" s="86"/>
      <c r="O81" s="34"/>
      <c r="P81" s="86"/>
      <c r="Q81" s="34"/>
    </row>
    <row r="82" spans="3:17" outlineLevel="1" x14ac:dyDescent="0.35">
      <c r="C82" s="21" t="s">
        <v>115</v>
      </c>
      <c r="D82" s="21" t="s">
        <v>165</v>
      </c>
      <c r="E82" s="21" t="s">
        <v>124</v>
      </c>
      <c r="F82" s="21" t="s">
        <v>159</v>
      </c>
      <c r="G82" s="21" t="s">
        <v>89</v>
      </c>
      <c r="H82" s="85">
        <v>44196</v>
      </c>
      <c r="I82" s="35">
        <v>13.9602</v>
      </c>
      <c r="J82" s="86">
        <v>44377</v>
      </c>
      <c r="K82" s="52">
        <v>15.538600000000001</v>
      </c>
      <c r="L82" s="86">
        <v>44377</v>
      </c>
      <c r="M82" s="34"/>
      <c r="N82" s="86"/>
      <c r="O82" s="34"/>
      <c r="P82" s="86"/>
      <c r="Q82" s="34"/>
    </row>
    <row r="83" spans="3:17" outlineLevel="1" x14ac:dyDescent="0.35">
      <c r="C83" s="21" t="s">
        <v>115</v>
      </c>
      <c r="D83" s="21" t="s">
        <v>166</v>
      </c>
      <c r="E83" s="21" t="s">
        <v>124</v>
      </c>
      <c r="F83" s="21" t="s">
        <v>159</v>
      </c>
      <c r="G83" s="21" t="s">
        <v>89</v>
      </c>
      <c r="H83" s="85">
        <v>44196</v>
      </c>
      <c r="I83" s="35">
        <v>16.934899999999999</v>
      </c>
      <c r="J83" s="86">
        <v>44377</v>
      </c>
      <c r="K83" s="52">
        <v>18.2667</v>
      </c>
      <c r="L83" s="86">
        <v>44377</v>
      </c>
      <c r="M83" s="34"/>
      <c r="N83" s="86"/>
      <c r="O83" s="34"/>
      <c r="P83" s="86"/>
      <c r="Q83" s="34"/>
    </row>
    <row r="84" spans="3:17" outlineLevel="1" x14ac:dyDescent="0.35">
      <c r="C84" s="21" t="s">
        <v>115</v>
      </c>
      <c r="D84" s="21" t="s">
        <v>167</v>
      </c>
      <c r="E84" s="21" t="s">
        <v>124</v>
      </c>
      <c r="F84" s="21" t="s">
        <v>159</v>
      </c>
      <c r="G84" s="21" t="s">
        <v>89</v>
      </c>
      <c r="H84" s="85">
        <v>44196</v>
      </c>
      <c r="I84" s="35">
        <v>7.54</v>
      </c>
      <c r="J84" s="86">
        <v>44377</v>
      </c>
      <c r="K84" s="52">
        <v>8.2100000000000009</v>
      </c>
      <c r="L84" s="86">
        <v>44377</v>
      </c>
      <c r="M84" s="34"/>
      <c r="N84" s="86"/>
      <c r="O84" s="34"/>
      <c r="P84" s="86"/>
      <c r="Q84" s="34"/>
    </row>
    <row r="85" spans="3:17" outlineLevel="1" x14ac:dyDescent="0.35">
      <c r="C85" s="21" t="s">
        <v>115</v>
      </c>
      <c r="D85" s="21" t="s">
        <v>168</v>
      </c>
      <c r="E85" s="21" t="s">
        <v>124</v>
      </c>
      <c r="F85" s="21" t="s">
        <v>159</v>
      </c>
      <c r="G85" s="21" t="s">
        <v>89</v>
      </c>
      <c r="H85" s="85">
        <v>44196</v>
      </c>
      <c r="I85" s="35">
        <v>9.3260000000000005</v>
      </c>
      <c r="J85" s="86">
        <v>44377</v>
      </c>
      <c r="K85" s="52">
        <v>10.973000000000001</v>
      </c>
      <c r="L85" s="86">
        <v>44377</v>
      </c>
      <c r="M85" s="34"/>
      <c r="N85" s="86"/>
      <c r="O85" s="34"/>
      <c r="P85" s="86"/>
      <c r="Q85" s="34"/>
    </row>
    <row r="86" spans="3:17" outlineLevel="1" x14ac:dyDescent="0.35">
      <c r="C86" s="21" t="s">
        <v>115</v>
      </c>
      <c r="D86" s="21" t="s">
        <v>169</v>
      </c>
      <c r="E86" s="21" t="s">
        <v>124</v>
      </c>
      <c r="F86" s="21" t="s">
        <v>159</v>
      </c>
      <c r="G86" s="21" t="s">
        <v>89</v>
      </c>
      <c r="H86" s="85">
        <v>44196</v>
      </c>
      <c r="I86" s="35">
        <v>8.44</v>
      </c>
      <c r="J86" s="86">
        <v>44377</v>
      </c>
      <c r="K86" s="52">
        <v>9.2899999999999991</v>
      </c>
      <c r="L86" s="86">
        <v>44377</v>
      </c>
      <c r="M86" s="34"/>
      <c r="N86" s="86"/>
      <c r="O86" s="34"/>
      <c r="P86" s="86"/>
      <c r="Q86" s="34"/>
    </row>
    <row r="87" spans="3:17" outlineLevel="1" x14ac:dyDescent="0.35">
      <c r="C87" s="21" t="s">
        <v>115</v>
      </c>
      <c r="D87" s="21" t="s">
        <v>170</v>
      </c>
      <c r="E87" s="21" t="s">
        <v>124</v>
      </c>
      <c r="F87" s="21" t="s">
        <v>159</v>
      </c>
      <c r="G87" s="21" t="s">
        <v>89</v>
      </c>
      <c r="H87" s="85">
        <v>44196</v>
      </c>
      <c r="I87" s="35">
        <v>9.27</v>
      </c>
      <c r="J87" s="86">
        <v>44377</v>
      </c>
      <c r="K87" s="52">
        <v>8.7899999999999991</v>
      </c>
      <c r="L87" s="86">
        <v>44377</v>
      </c>
      <c r="M87" s="34"/>
      <c r="N87" s="86"/>
      <c r="O87" s="34"/>
      <c r="P87" s="86"/>
      <c r="Q87" s="34"/>
    </row>
    <row r="88" spans="3:17" outlineLevel="1" x14ac:dyDescent="0.35">
      <c r="C88" s="21" t="s">
        <v>115</v>
      </c>
      <c r="D88" s="21" t="s">
        <v>171</v>
      </c>
      <c r="E88" s="21" t="s">
        <v>124</v>
      </c>
      <c r="F88" s="21" t="s">
        <v>159</v>
      </c>
      <c r="G88" s="21" t="s">
        <v>88</v>
      </c>
      <c r="H88" s="85" t="s">
        <v>75</v>
      </c>
      <c r="I88" s="35" t="s">
        <v>75</v>
      </c>
      <c r="J88" s="86">
        <v>44377</v>
      </c>
      <c r="K88" s="52">
        <v>20.853200000000001</v>
      </c>
      <c r="L88" s="86">
        <v>44377</v>
      </c>
      <c r="M88" s="34"/>
      <c r="N88" s="86"/>
      <c r="O88" s="34"/>
      <c r="P88" s="86"/>
      <c r="Q88" s="34"/>
    </row>
    <row r="89" spans="3:17" outlineLevel="1" x14ac:dyDescent="0.35">
      <c r="C89" s="21" t="s">
        <v>115</v>
      </c>
      <c r="D89" s="21" t="s">
        <v>172</v>
      </c>
      <c r="E89" s="21" t="s">
        <v>124</v>
      </c>
      <c r="F89" s="21" t="s">
        <v>159</v>
      </c>
      <c r="G89" s="21" t="s">
        <v>88</v>
      </c>
      <c r="H89" s="85" t="s">
        <v>75</v>
      </c>
      <c r="I89" s="35" t="s">
        <v>75</v>
      </c>
      <c r="J89" s="86">
        <v>44377</v>
      </c>
      <c r="K89" s="52">
        <v>15.94</v>
      </c>
      <c r="L89" s="86">
        <v>44377</v>
      </c>
      <c r="M89" s="34"/>
      <c r="N89" s="86"/>
      <c r="O89" s="34"/>
      <c r="P89" s="86"/>
      <c r="Q89" s="34"/>
    </row>
    <row r="90" spans="3:17" outlineLevel="1" x14ac:dyDescent="0.35">
      <c r="C90" s="21" t="s">
        <v>115</v>
      </c>
      <c r="D90" s="21" t="s">
        <v>173</v>
      </c>
      <c r="E90" s="21" t="s">
        <v>124</v>
      </c>
      <c r="F90" s="21" t="s">
        <v>159</v>
      </c>
      <c r="G90" s="21" t="s">
        <v>88</v>
      </c>
      <c r="H90" s="85" t="s">
        <v>75</v>
      </c>
      <c r="I90" s="35" t="s">
        <v>75</v>
      </c>
      <c r="J90" s="86">
        <v>44377</v>
      </c>
      <c r="K90" s="52">
        <v>13.492000000000001</v>
      </c>
      <c r="L90" s="86">
        <v>44377</v>
      </c>
      <c r="M90" s="34"/>
      <c r="N90" s="86"/>
      <c r="O90" s="34"/>
      <c r="P90" s="86"/>
      <c r="Q90" s="34"/>
    </row>
    <row r="91" spans="3:17" outlineLevel="1" x14ac:dyDescent="0.35">
      <c r="C91" s="21" t="s">
        <v>115</v>
      </c>
      <c r="D91" s="21" t="s">
        <v>174</v>
      </c>
      <c r="E91" s="21" t="s">
        <v>124</v>
      </c>
      <c r="F91" s="21" t="s">
        <v>159</v>
      </c>
      <c r="G91" s="21" t="s">
        <v>88</v>
      </c>
      <c r="H91" s="85" t="s">
        <v>75</v>
      </c>
      <c r="I91" s="35" t="s">
        <v>75</v>
      </c>
      <c r="J91" s="86">
        <v>44377</v>
      </c>
      <c r="K91" s="52">
        <v>15.87</v>
      </c>
      <c r="L91" s="86">
        <v>44377</v>
      </c>
      <c r="M91" s="34"/>
      <c r="N91" s="86"/>
      <c r="O91" s="34"/>
      <c r="P91" s="86"/>
      <c r="Q91" s="34"/>
    </row>
    <row r="92" spans="3:17" outlineLevel="1" x14ac:dyDescent="0.35">
      <c r="C92" s="21" t="s">
        <v>115</v>
      </c>
      <c r="D92" s="21" t="s">
        <v>175</v>
      </c>
      <c r="E92" s="21" t="s">
        <v>124</v>
      </c>
      <c r="F92" s="21" t="s">
        <v>159</v>
      </c>
      <c r="G92" s="21" t="s">
        <v>88</v>
      </c>
      <c r="H92" s="85" t="s">
        <v>75</v>
      </c>
      <c r="I92" s="35" t="s">
        <v>75</v>
      </c>
      <c r="J92" s="86">
        <v>44377</v>
      </c>
      <c r="K92" s="52">
        <v>15.79</v>
      </c>
      <c r="L92" s="86">
        <v>44377</v>
      </c>
      <c r="M92" s="34"/>
      <c r="N92" s="86"/>
      <c r="O92" s="34"/>
      <c r="P92" s="86"/>
      <c r="Q92" s="34"/>
    </row>
    <row r="93" spans="3:17" outlineLevel="1" x14ac:dyDescent="0.35">
      <c r="C93" s="21" t="s">
        <v>115</v>
      </c>
      <c r="D93" s="21" t="s">
        <v>176</v>
      </c>
      <c r="E93" s="21" t="s">
        <v>124</v>
      </c>
      <c r="F93" s="21" t="s">
        <v>159</v>
      </c>
      <c r="G93" s="21" t="s">
        <v>88</v>
      </c>
      <c r="H93" s="85" t="s">
        <v>75</v>
      </c>
      <c r="I93" s="35" t="s">
        <v>75</v>
      </c>
      <c r="J93" s="86">
        <v>44377</v>
      </c>
      <c r="K93" s="52">
        <v>4.3418999999999999</v>
      </c>
      <c r="L93" s="86">
        <v>44377</v>
      </c>
      <c r="M93" s="34"/>
      <c r="N93" s="86"/>
      <c r="O93" s="34"/>
      <c r="P93" s="86"/>
      <c r="Q93" s="34"/>
    </row>
    <row r="94" spans="3:17" outlineLevel="1" x14ac:dyDescent="0.35">
      <c r="C94" s="21" t="s">
        <v>115</v>
      </c>
      <c r="D94" s="21" t="s">
        <v>177</v>
      </c>
      <c r="E94" s="21" t="s">
        <v>124</v>
      </c>
      <c r="F94" s="21" t="s">
        <v>159</v>
      </c>
      <c r="G94" s="21" t="s">
        <v>88</v>
      </c>
      <c r="H94" s="85" t="s">
        <v>75</v>
      </c>
      <c r="I94" s="35" t="s">
        <v>75</v>
      </c>
      <c r="J94" s="86">
        <v>44377</v>
      </c>
      <c r="K94" s="52">
        <v>3.98</v>
      </c>
      <c r="L94" s="86">
        <v>44377</v>
      </c>
      <c r="M94" s="34"/>
      <c r="N94" s="86"/>
      <c r="O94" s="34"/>
      <c r="P94" s="86"/>
      <c r="Q94" s="34"/>
    </row>
    <row r="95" spans="3:17" outlineLevel="1" x14ac:dyDescent="0.35">
      <c r="C95" s="21" t="s">
        <v>115</v>
      </c>
      <c r="D95" s="21" t="s">
        <v>178</v>
      </c>
      <c r="E95" s="21" t="s">
        <v>124</v>
      </c>
      <c r="F95" s="21" t="s">
        <v>159</v>
      </c>
      <c r="G95" s="21" t="s">
        <v>88</v>
      </c>
      <c r="H95" s="85" t="s">
        <v>75</v>
      </c>
      <c r="I95" s="35" t="s">
        <v>75</v>
      </c>
      <c r="J95" s="86">
        <v>44377</v>
      </c>
      <c r="K95" s="52">
        <v>3.89</v>
      </c>
      <c r="L95" s="86">
        <v>44377</v>
      </c>
      <c r="M95" s="34"/>
      <c r="N95" s="86"/>
      <c r="O95" s="34"/>
      <c r="P95" s="86"/>
      <c r="Q95" s="34"/>
    </row>
    <row r="96" spans="3:17" outlineLevel="1" x14ac:dyDescent="0.35">
      <c r="C96" s="21" t="s">
        <v>115</v>
      </c>
      <c r="D96" s="21" t="s">
        <v>179</v>
      </c>
      <c r="E96" s="21" t="s">
        <v>124</v>
      </c>
      <c r="F96" s="21" t="s">
        <v>159</v>
      </c>
      <c r="G96" s="21" t="s">
        <v>88</v>
      </c>
      <c r="H96" s="85" t="s">
        <v>75</v>
      </c>
      <c r="I96" s="35" t="s">
        <v>75</v>
      </c>
      <c r="J96" s="86">
        <v>44377</v>
      </c>
      <c r="K96" s="52">
        <v>3.96</v>
      </c>
      <c r="L96" s="86">
        <v>44377</v>
      </c>
      <c r="M96" s="34"/>
      <c r="N96" s="86"/>
      <c r="O96" s="34"/>
      <c r="P96" s="86"/>
      <c r="Q96" s="34"/>
    </row>
    <row r="97" spans="3:17" outlineLevel="1" x14ac:dyDescent="0.35">
      <c r="C97" s="21" t="s">
        <v>115</v>
      </c>
      <c r="D97" s="21" t="s">
        <v>180</v>
      </c>
      <c r="E97" s="21" t="s">
        <v>124</v>
      </c>
      <c r="F97" s="21" t="s">
        <v>159</v>
      </c>
      <c r="G97" s="21" t="s">
        <v>88</v>
      </c>
      <c r="H97" s="85" t="s">
        <v>75</v>
      </c>
      <c r="I97" s="35" t="s">
        <v>75</v>
      </c>
      <c r="J97" s="86">
        <v>44377</v>
      </c>
      <c r="K97" s="52">
        <v>3.95</v>
      </c>
      <c r="L97" s="86">
        <v>44377</v>
      </c>
      <c r="M97" s="34"/>
      <c r="N97" s="86"/>
      <c r="O97" s="34"/>
      <c r="P97" s="86"/>
      <c r="Q97" s="34"/>
    </row>
    <row r="98" spans="3:17" outlineLevel="1" x14ac:dyDescent="0.35">
      <c r="C98" s="21" t="s">
        <v>115</v>
      </c>
      <c r="D98" s="21" t="s">
        <v>181</v>
      </c>
      <c r="E98" s="21" t="s">
        <v>124</v>
      </c>
      <c r="F98" s="21" t="s">
        <v>159</v>
      </c>
      <c r="G98" s="21" t="s">
        <v>89</v>
      </c>
      <c r="H98" s="85" t="s">
        <v>75</v>
      </c>
      <c r="I98" s="35" t="s">
        <v>75</v>
      </c>
      <c r="J98" s="86">
        <v>44377</v>
      </c>
      <c r="K98" s="52">
        <v>17.508700000000001</v>
      </c>
      <c r="L98" s="86">
        <v>44377</v>
      </c>
      <c r="M98" s="34"/>
      <c r="N98" s="86"/>
      <c r="O98" s="34"/>
      <c r="P98" s="86"/>
      <c r="Q98" s="34"/>
    </row>
    <row r="99" spans="3:17" outlineLevel="1" x14ac:dyDescent="0.35">
      <c r="C99" s="21" t="s">
        <v>115</v>
      </c>
      <c r="D99" s="21" t="s">
        <v>182</v>
      </c>
      <c r="E99" s="21" t="s">
        <v>124</v>
      </c>
      <c r="F99" s="21" t="s">
        <v>159</v>
      </c>
      <c r="G99" s="21" t="s">
        <v>89</v>
      </c>
      <c r="H99" s="85" t="s">
        <v>75</v>
      </c>
      <c r="I99" s="35" t="s">
        <v>75</v>
      </c>
      <c r="J99" s="86">
        <v>44377</v>
      </c>
      <c r="K99" s="52">
        <v>13.02</v>
      </c>
      <c r="L99" s="86">
        <v>44377</v>
      </c>
      <c r="M99" s="34"/>
      <c r="N99" s="86"/>
      <c r="O99" s="34"/>
      <c r="P99" s="86"/>
      <c r="Q99" s="34"/>
    </row>
    <row r="100" spans="3:17" outlineLevel="1" x14ac:dyDescent="0.35">
      <c r="C100" s="21" t="s">
        <v>115</v>
      </c>
      <c r="D100" s="21" t="s">
        <v>183</v>
      </c>
      <c r="E100" s="21" t="s">
        <v>124</v>
      </c>
      <c r="F100" s="21" t="s">
        <v>159</v>
      </c>
      <c r="G100" s="21" t="s">
        <v>89</v>
      </c>
      <c r="H100" s="85" t="s">
        <v>75</v>
      </c>
      <c r="I100" s="35" t="s">
        <v>75</v>
      </c>
      <c r="J100" s="86">
        <v>44377</v>
      </c>
      <c r="K100" s="52">
        <v>14.331</v>
      </c>
      <c r="L100" s="86">
        <v>44377</v>
      </c>
      <c r="M100" s="34"/>
      <c r="N100" s="86"/>
      <c r="O100" s="34"/>
      <c r="P100" s="86"/>
      <c r="Q100" s="34"/>
    </row>
    <row r="101" spans="3:17" outlineLevel="1" x14ac:dyDescent="0.35">
      <c r="C101" s="21" t="s">
        <v>115</v>
      </c>
      <c r="D101" s="21" t="s">
        <v>184</v>
      </c>
      <c r="E101" s="21" t="s">
        <v>124</v>
      </c>
      <c r="F101" s="21" t="s">
        <v>159</v>
      </c>
      <c r="G101" s="21" t="s">
        <v>89</v>
      </c>
      <c r="H101" s="85" t="s">
        <v>75</v>
      </c>
      <c r="I101" s="35" t="s">
        <v>75</v>
      </c>
      <c r="J101" s="86">
        <v>44377</v>
      </c>
      <c r="K101" s="52">
        <v>14.75</v>
      </c>
      <c r="L101" s="86">
        <v>44377</v>
      </c>
      <c r="M101" s="34"/>
      <c r="N101" s="86"/>
      <c r="O101" s="34"/>
      <c r="P101" s="86"/>
      <c r="Q101" s="34"/>
    </row>
    <row r="102" spans="3:17" outlineLevel="1" x14ac:dyDescent="0.35">
      <c r="C102" s="21" t="s">
        <v>115</v>
      </c>
      <c r="D102" s="21" t="s">
        <v>185</v>
      </c>
      <c r="E102" s="21" t="s">
        <v>124</v>
      </c>
      <c r="F102" s="21" t="s">
        <v>159</v>
      </c>
      <c r="G102" s="21" t="s">
        <v>89</v>
      </c>
      <c r="H102" s="85" t="s">
        <v>75</v>
      </c>
      <c r="I102" s="35" t="s">
        <v>75</v>
      </c>
      <c r="J102" s="86">
        <v>44377</v>
      </c>
      <c r="K102" s="52">
        <v>13.99</v>
      </c>
      <c r="L102" s="86">
        <v>44377</v>
      </c>
      <c r="M102" s="34"/>
      <c r="N102" s="86"/>
      <c r="O102" s="34"/>
      <c r="P102" s="86"/>
      <c r="Q102" s="34"/>
    </row>
    <row r="103" spans="3:17" outlineLevel="1" x14ac:dyDescent="0.35">
      <c r="C103" s="21" t="s">
        <v>115</v>
      </c>
      <c r="D103" s="21" t="s">
        <v>186</v>
      </c>
      <c r="E103" s="21" t="s">
        <v>124</v>
      </c>
      <c r="F103" s="21" t="s">
        <v>159</v>
      </c>
      <c r="G103" s="21" t="s">
        <v>89</v>
      </c>
      <c r="H103" s="85" t="s">
        <v>75</v>
      </c>
      <c r="I103" s="35" t="s">
        <v>75</v>
      </c>
      <c r="J103" s="86">
        <v>44377</v>
      </c>
      <c r="K103" s="52">
        <v>4.2656000000000001</v>
      </c>
      <c r="L103" s="86">
        <v>44377</v>
      </c>
      <c r="M103" s="34"/>
      <c r="N103" s="86"/>
      <c r="O103" s="34"/>
      <c r="P103" s="86"/>
      <c r="Q103" s="34"/>
    </row>
    <row r="104" spans="3:17" outlineLevel="1" x14ac:dyDescent="0.35">
      <c r="C104" s="21" t="s">
        <v>115</v>
      </c>
      <c r="D104" s="21" t="s">
        <v>187</v>
      </c>
      <c r="E104" s="21" t="s">
        <v>124</v>
      </c>
      <c r="F104" s="21" t="s">
        <v>159</v>
      </c>
      <c r="G104" s="21" t="s">
        <v>89</v>
      </c>
      <c r="H104" s="85" t="s">
        <v>75</v>
      </c>
      <c r="I104" s="35" t="s">
        <v>75</v>
      </c>
      <c r="J104" s="86">
        <v>44377</v>
      </c>
      <c r="K104" s="52">
        <v>2.89</v>
      </c>
      <c r="L104" s="86">
        <v>44377</v>
      </c>
      <c r="M104" s="34"/>
      <c r="N104" s="86"/>
      <c r="O104" s="34"/>
      <c r="P104" s="86"/>
      <c r="Q104" s="34"/>
    </row>
    <row r="105" spans="3:17" outlineLevel="1" x14ac:dyDescent="0.35">
      <c r="C105" s="21" t="s">
        <v>115</v>
      </c>
      <c r="D105" s="21" t="s">
        <v>188</v>
      </c>
      <c r="E105" s="21" t="s">
        <v>124</v>
      </c>
      <c r="F105" s="21" t="s">
        <v>159</v>
      </c>
      <c r="G105" s="21" t="s">
        <v>89</v>
      </c>
      <c r="H105" s="85" t="s">
        <v>75</v>
      </c>
      <c r="I105" s="35" t="s">
        <v>75</v>
      </c>
      <c r="J105" s="86">
        <v>44377</v>
      </c>
      <c r="K105" s="52">
        <v>3.052</v>
      </c>
      <c r="L105" s="86">
        <v>44377</v>
      </c>
      <c r="M105" s="34"/>
      <c r="N105" s="86"/>
      <c r="O105" s="34"/>
      <c r="P105" s="86"/>
      <c r="Q105" s="34"/>
    </row>
    <row r="106" spans="3:17" outlineLevel="1" x14ac:dyDescent="0.35">
      <c r="C106" s="21" t="s">
        <v>115</v>
      </c>
      <c r="D106" s="21" t="s">
        <v>189</v>
      </c>
      <c r="E106" s="21" t="s">
        <v>124</v>
      </c>
      <c r="F106" s="21" t="s">
        <v>159</v>
      </c>
      <c r="G106" s="21" t="s">
        <v>89</v>
      </c>
      <c r="H106" s="85" t="s">
        <v>75</v>
      </c>
      <c r="I106" s="35" t="s">
        <v>75</v>
      </c>
      <c r="J106" s="86">
        <v>44377</v>
      </c>
      <c r="K106" s="52">
        <v>3.28</v>
      </c>
      <c r="L106" s="86">
        <v>44377</v>
      </c>
      <c r="M106" s="34"/>
      <c r="N106" s="86"/>
      <c r="O106" s="34"/>
      <c r="P106" s="86"/>
      <c r="Q106" s="34"/>
    </row>
    <row r="107" spans="3:17" outlineLevel="1" x14ac:dyDescent="0.35">
      <c r="C107" s="21" t="s">
        <v>115</v>
      </c>
      <c r="D107" s="21" t="s">
        <v>190</v>
      </c>
      <c r="E107" s="21" t="s">
        <v>124</v>
      </c>
      <c r="F107" s="21" t="s">
        <v>159</v>
      </c>
      <c r="G107" s="21" t="s">
        <v>89</v>
      </c>
      <c r="H107" s="85" t="s">
        <v>75</v>
      </c>
      <c r="I107" s="35" t="s">
        <v>75</v>
      </c>
      <c r="J107" s="86">
        <v>44377</v>
      </c>
      <c r="K107" s="52">
        <v>3.11</v>
      </c>
      <c r="L107" s="86">
        <v>44377</v>
      </c>
      <c r="M107" s="34"/>
      <c r="N107" s="86"/>
      <c r="O107" s="34"/>
      <c r="P107" s="86"/>
      <c r="Q107" s="34"/>
    </row>
    <row r="108" spans="3:17" outlineLevel="1" x14ac:dyDescent="0.35">
      <c r="C108" s="21" t="s">
        <v>115</v>
      </c>
      <c r="D108" s="21" t="s">
        <v>191</v>
      </c>
      <c r="E108" s="21" t="s">
        <v>124</v>
      </c>
      <c r="F108" s="21" t="s">
        <v>159</v>
      </c>
      <c r="G108" s="21" t="s">
        <v>88</v>
      </c>
      <c r="H108" s="85">
        <v>44196</v>
      </c>
      <c r="I108" s="35">
        <v>3.8612000000000002</v>
      </c>
      <c r="J108" s="86">
        <v>44377</v>
      </c>
      <c r="K108" s="52">
        <v>4.2622999999999998</v>
      </c>
      <c r="L108" s="86">
        <v>44377</v>
      </c>
      <c r="M108" s="34"/>
      <c r="N108" s="86"/>
      <c r="O108" s="34"/>
      <c r="P108" s="86"/>
      <c r="Q108" s="34"/>
    </row>
    <row r="109" spans="3:17" outlineLevel="1" x14ac:dyDescent="0.35">
      <c r="C109" s="21" t="s">
        <v>115</v>
      </c>
      <c r="D109" s="21" t="s">
        <v>192</v>
      </c>
      <c r="E109" s="21" t="s">
        <v>124</v>
      </c>
      <c r="F109" s="21" t="s">
        <v>159</v>
      </c>
      <c r="G109" s="21" t="s">
        <v>88</v>
      </c>
      <c r="H109" s="85">
        <v>44196</v>
      </c>
      <c r="I109" s="35">
        <v>2.09</v>
      </c>
      <c r="J109" s="86">
        <v>44377</v>
      </c>
      <c r="K109" s="52">
        <v>2.4700000000000002</v>
      </c>
      <c r="L109" s="86">
        <v>44377</v>
      </c>
      <c r="M109" s="34"/>
      <c r="N109" s="86"/>
      <c r="O109" s="34"/>
      <c r="P109" s="86"/>
      <c r="Q109" s="34"/>
    </row>
    <row r="110" spans="3:17" outlineLevel="1" x14ac:dyDescent="0.35">
      <c r="C110" s="21" t="s">
        <v>115</v>
      </c>
      <c r="D110" s="21" t="s">
        <v>193</v>
      </c>
      <c r="E110" s="21" t="s">
        <v>124</v>
      </c>
      <c r="F110" s="21" t="s">
        <v>159</v>
      </c>
      <c r="G110" s="21" t="s">
        <v>88</v>
      </c>
      <c r="H110" s="85">
        <v>44196</v>
      </c>
      <c r="I110" s="35">
        <v>2.9159999999999999</v>
      </c>
      <c r="J110" s="86">
        <v>44377</v>
      </c>
      <c r="K110" s="52">
        <v>3.5990000000000002</v>
      </c>
      <c r="L110" s="86">
        <v>44377</v>
      </c>
      <c r="M110" s="34"/>
      <c r="N110" s="86"/>
      <c r="O110" s="34"/>
      <c r="P110" s="86"/>
      <c r="Q110" s="34"/>
    </row>
    <row r="111" spans="3:17" outlineLevel="1" x14ac:dyDescent="0.35">
      <c r="C111" s="21" t="s">
        <v>115</v>
      </c>
      <c r="D111" s="21" t="s">
        <v>194</v>
      </c>
      <c r="E111" s="21" t="s">
        <v>124</v>
      </c>
      <c r="F111" s="21" t="s">
        <v>159</v>
      </c>
      <c r="G111" s="21" t="s">
        <v>88</v>
      </c>
      <c r="H111" s="85">
        <v>44196</v>
      </c>
      <c r="I111" s="35">
        <v>2.14</v>
      </c>
      <c r="J111" s="86">
        <v>44377</v>
      </c>
      <c r="K111" s="52">
        <v>2.39</v>
      </c>
      <c r="L111" s="86">
        <v>44377</v>
      </c>
      <c r="M111" s="34"/>
      <c r="N111" s="86"/>
      <c r="O111" s="34"/>
      <c r="P111" s="86"/>
      <c r="Q111" s="34"/>
    </row>
    <row r="112" spans="3:17" outlineLevel="1" x14ac:dyDescent="0.35">
      <c r="C112" s="40" t="s">
        <v>115</v>
      </c>
      <c r="D112" s="40" t="s">
        <v>195</v>
      </c>
      <c r="E112" s="40" t="s">
        <v>124</v>
      </c>
      <c r="F112" s="40" t="s">
        <v>159</v>
      </c>
      <c r="G112" s="21" t="s">
        <v>88</v>
      </c>
      <c r="H112" s="85">
        <v>44196</v>
      </c>
      <c r="I112" s="35">
        <v>1.73</v>
      </c>
      <c r="J112" s="86">
        <v>44377</v>
      </c>
      <c r="K112" s="52">
        <v>2.17</v>
      </c>
      <c r="L112" s="86">
        <v>44377</v>
      </c>
      <c r="M112" s="34"/>
      <c r="N112" s="86"/>
      <c r="O112" s="34"/>
      <c r="P112" s="86"/>
      <c r="Q112" s="34"/>
    </row>
    <row r="113" spans="1:18" outlineLevel="1" x14ac:dyDescent="0.35">
      <c r="C113" s="21" t="s">
        <v>196</v>
      </c>
      <c r="D113" s="21" t="s">
        <v>197</v>
      </c>
      <c r="E113" s="21" t="s">
        <v>9</v>
      </c>
      <c r="F113" s="21" t="s">
        <v>198</v>
      </c>
      <c r="G113" s="21" t="s">
        <v>103</v>
      </c>
      <c r="H113" s="85" t="s">
        <v>75</v>
      </c>
      <c r="I113" s="35">
        <v>6.0400000000000002E-2</v>
      </c>
      <c r="J113" s="85" t="s">
        <v>75</v>
      </c>
      <c r="K113" s="94">
        <v>6.0400000000000002E-2</v>
      </c>
      <c r="L113" s="85" t="s">
        <v>75</v>
      </c>
      <c r="M113" s="35">
        <v>6.0400000000000002E-2</v>
      </c>
      <c r="N113" s="86"/>
      <c r="O113" s="34"/>
      <c r="P113" s="86"/>
      <c r="Q113" s="34"/>
    </row>
    <row r="114" spans="1:18" outlineLevel="1" x14ac:dyDescent="0.35">
      <c r="C114" s="21" t="s">
        <v>199</v>
      </c>
      <c r="D114" s="21" t="s">
        <v>200</v>
      </c>
      <c r="E114" s="21" t="s">
        <v>9</v>
      </c>
      <c r="F114" s="21" t="s">
        <v>198</v>
      </c>
      <c r="G114" s="21" t="s">
        <v>103</v>
      </c>
      <c r="H114" s="85" t="s">
        <v>75</v>
      </c>
      <c r="I114" s="35">
        <v>0.99914999999999998</v>
      </c>
      <c r="J114" s="85" t="s">
        <v>75</v>
      </c>
      <c r="K114" s="94">
        <v>0.99914999999999998</v>
      </c>
      <c r="L114" s="85" t="s">
        <v>75</v>
      </c>
      <c r="M114" s="35">
        <v>0.99914999999999998</v>
      </c>
      <c r="N114" s="86"/>
      <c r="O114" s="34"/>
      <c r="P114" s="86"/>
      <c r="Q114" s="34"/>
    </row>
    <row r="115" spans="1:18" outlineLevel="1" x14ac:dyDescent="0.35">
      <c r="C115" s="21" t="s">
        <v>199</v>
      </c>
      <c r="D115" s="21" t="s">
        <v>201</v>
      </c>
      <c r="E115" s="21" t="s">
        <v>9</v>
      </c>
      <c r="F115" s="21" t="s">
        <v>198</v>
      </c>
      <c r="G115" s="21" t="s">
        <v>103</v>
      </c>
      <c r="H115" s="85" t="s">
        <v>75</v>
      </c>
      <c r="I115" s="35">
        <v>0.99780999999999997</v>
      </c>
      <c r="J115" s="85" t="s">
        <v>75</v>
      </c>
      <c r="K115" s="94">
        <v>0.99780999999999997</v>
      </c>
      <c r="L115" s="85" t="s">
        <v>75</v>
      </c>
      <c r="M115" s="35">
        <v>0.99780999999999997</v>
      </c>
      <c r="N115" s="86"/>
      <c r="O115" s="34"/>
      <c r="P115" s="86"/>
      <c r="Q115" s="34"/>
    </row>
    <row r="116" spans="1:18" outlineLevel="1" x14ac:dyDescent="0.35">
      <c r="C116" s="21" t="s">
        <v>199</v>
      </c>
      <c r="D116" s="21" t="s">
        <v>202</v>
      </c>
      <c r="E116" s="21" t="s">
        <v>9</v>
      </c>
      <c r="F116" s="21" t="s">
        <v>198</v>
      </c>
      <c r="G116" s="21" t="s">
        <v>103</v>
      </c>
      <c r="H116" s="85" t="s">
        <v>75</v>
      </c>
      <c r="I116" s="35">
        <v>0.99831111111111126</v>
      </c>
      <c r="J116" s="85" t="s">
        <v>75</v>
      </c>
      <c r="K116" s="94">
        <v>0.99831111111111126</v>
      </c>
      <c r="L116" s="85" t="s">
        <v>75</v>
      </c>
      <c r="M116" s="35">
        <v>0.99831111111111126</v>
      </c>
      <c r="N116" s="86"/>
      <c r="O116" s="34"/>
      <c r="P116" s="86"/>
      <c r="Q116" s="34"/>
    </row>
    <row r="117" spans="1:18" outlineLevel="1" x14ac:dyDescent="0.35">
      <c r="C117" s="21" t="s">
        <v>199</v>
      </c>
      <c r="D117" s="21" t="s">
        <v>203</v>
      </c>
      <c r="E117" s="21" t="s">
        <v>9</v>
      </c>
      <c r="F117" s="21" t="s">
        <v>198</v>
      </c>
      <c r="G117" s="21" t="s">
        <v>103</v>
      </c>
      <c r="H117" s="85" t="s">
        <v>75</v>
      </c>
      <c r="I117" s="35">
        <v>0.98904090909090892</v>
      </c>
      <c r="J117" s="85" t="s">
        <v>75</v>
      </c>
      <c r="K117" s="94">
        <v>0.98904090909090892</v>
      </c>
      <c r="L117" s="85" t="s">
        <v>75</v>
      </c>
      <c r="M117" s="35">
        <v>0.98904090909090892</v>
      </c>
      <c r="N117" s="86"/>
      <c r="O117" s="34"/>
      <c r="P117" s="86"/>
      <c r="Q117" s="34"/>
    </row>
    <row r="118" spans="1:18" outlineLevel="1" x14ac:dyDescent="0.35">
      <c r="C118" s="21" t="s">
        <v>199</v>
      </c>
      <c r="D118" s="21" t="s">
        <v>204</v>
      </c>
      <c r="E118" s="21" t="s">
        <v>9</v>
      </c>
      <c r="F118" s="21" t="s">
        <v>198</v>
      </c>
      <c r="G118" s="21" t="s">
        <v>103</v>
      </c>
      <c r="H118" s="85" t="s">
        <v>75</v>
      </c>
      <c r="I118" s="35">
        <v>0.99633000000000005</v>
      </c>
      <c r="J118" s="85" t="s">
        <v>75</v>
      </c>
      <c r="K118" s="94">
        <v>0.99633000000000005</v>
      </c>
      <c r="L118" s="85" t="s">
        <v>75</v>
      </c>
      <c r="M118" s="35">
        <v>0.99633000000000005</v>
      </c>
      <c r="N118" s="86"/>
      <c r="O118" s="34"/>
      <c r="P118" s="86"/>
      <c r="Q118" s="34"/>
    </row>
    <row r="119" spans="1:18" outlineLevel="1" x14ac:dyDescent="0.35">
      <c r="C119" s="21" t="s">
        <v>205</v>
      </c>
      <c r="D119" s="21" t="s">
        <v>206</v>
      </c>
      <c r="E119" s="21" t="s">
        <v>9</v>
      </c>
      <c r="F119" s="21" t="s">
        <v>198</v>
      </c>
      <c r="G119" s="21" t="s">
        <v>103</v>
      </c>
      <c r="H119" s="85" t="s">
        <v>75</v>
      </c>
      <c r="I119" s="35">
        <v>1.06795</v>
      </c>
      <c r="J119" s="85" t="s">
        <v>75</v>
      </c>
      <c r="K119" s="94">
        <v>1.06795</v>
      </c>
      <c r="L119" s="85" t="s">
        <v>75</v>
      </c>
      <c r="M119" s="35">
        <v>1.06795</v>
      </c>
      <c r="N119" s="86"/>
      <c r="O119" s="34"/>
      <c r="P119" s="86"/>
      <c r="Q119" s="34"/>
    </row>
    <row r="120" spans="1:18" outlineLevel="1" x14ac:dyDescent="0.35">
      <c r="C120" s="21" t="s">
        <v>205</v>
      </c>
      <c r="D120" s="21" t="s">
        <v>207</v>
      </c>
      <c r="E120" s="21" t="s">
        <v>9</v>
      </c>
      <c r="F120" s="21" t="s">
        <v>198</v>
      </c>
      <c r="G120" s="21" t="s">
        <v>103</v>
      </c>
      <c r="H120" s="85" t="s">
        <v>75</v>
      </c>
      <c r="I120" s="35">
        <v>1.0508999999999999</v>
      </c>
      <c r="J120" s="85" t="s">
        <v>75</v>
      </c>
      <c r="K120" s="94">
        <v>1.0508999999999999</v>
      </c>
      <c r="L120" s="85" t="s">
        <v>75</v>
      </c>
      <c r="M120" s="35">
        <v>1.0508999999999999</v>
      </c>
      <c r="N120" s="86"/>
      <c r="O120" s="34"/>
      <c r="P120" s="86"/>
      <c r="Q120" s="34"/>
    </row>
    <row r="121" spans="1:18" outlineLevel="1" x14ac:dyDescent="0.35">
      <c r="C121" s="21" t="s">
        <v>205</v>
      </c>
      <c r="D121" s="21" t="s">
        <v>208</v>
      </c>
      <c r="E121" s="21" t="s">
        <v>9</v>
      </c>
      <c r="F121" s="21" t="s">
        <v>198</v>
      </c>
      <c r="G121" s="21" t="s">
        <v>103</v>
      </c>
      <c r="H121" s="85" t="s">
        <v>75</v>
      </c>
      <c r="I121" s="35">
        <v>1.0394000000000001</v>
      </c>
      <c r="J121" s="85" t="s">
        <v>75</v>
      </c>
      <c r="K121" s="94">
        <v>1.0394000000000001</v>
      </c>
      <c r="L121" s="85" t="s">
        <v>75</v>
      </c>
      <c r="M121" s="35">
        <v>1.0394000000000001</v>
      </c>
      <c r="N121" s="86"/>
      <c r="O121" s="34"/>
      <c r="P121" s="86"/>
      <c r="Q121" s="34"/>
    </row>
    <row r="122" spans="1:18" outlineLevel="1" x14ac:dyDescent="0.35">
      <c r="C122" s="21" t="s">
        <v>205</v>
      </c>
      <c r="D122" s="21" t="s">
        <v>209</v>
      </c>
      <c r="E122" s="21" t="s">
        <v>9</v>
      </c>
      <c r="F122" s="21" t="s">
        <v>198</v>
      </c>
      <c r="G122" s="21" t="s">
        <v>103</v>
      </c>
      <c r="H122" s="85" t="s">
        <v>75</v>
      </c>
      <c r="I122" s="35">
        <v>1.0829499999999999</v>
      </c>
      <c r="J122" s="85" t="s">
        <v>75</v>
      </c>
      <c r="K122" s="94">
        <v>1.0829499999999999</v>
      </c>
      <c r="L122" s="85" t="s">
        <v>75</v>
      </c>
      <c r="M122" s="35">
        <v>1.0829499999999999</v>
      </c>
      <c r="N122" s="86"/>
      <c r="O122" s="34"/>
      <c r="P122" s="86"/>
      <c r="Q122" s="34"/>
    </row>
    <row r="123" spans="1:18" outlineLevel="1" x14ac:dyDescent="0.35">
      <c r="C123" s="21" t="s">
        <v>205</v>
      </c>
      <c r="D123" s="21" t="s">
        <v>210</v>
      </c>
      <c r="E123" s="21" t="s">
        <v>9</v>
      </c>
      <c r="F123" s="21" t="s">
        <v>198</v>
      </c>
      <c r="G123" s="21" t="s">
        <v>103</v>
      </c>
      <c r="H123" s="85" t="s">
        <v>75</v>
      </c>
      <c r="I123" s="35">
        <v>1.0563</v>
      </c>
      <c r="J123" s="85" t="s">
        <v>75</v>
      </c>
      <c r="K123" s="94">
        <v>1.0563</v>
      </c>
      <c r="L123" s="85" t="s">
        <v>75</v>
      </c>
      <c r="M123" s="35">
        <v>1.0563</v>
      </c>
      <c r="N123" s="86"/>
      <c r="O123" s="34"/>
      <c r="P123" s="86"/>
      <c r="Q123" s="34"/>
    </row>
    <row r="124" spans="1:18" outlineLevel="1" x14ac:dyDescent="0.35"/>
    <row r="126" spans="1:18" ht="16" thickBot="1" x14ac:dyDescent="0.4">
      <c r="A126" s="2" t="s">
        <v>22</v>
      </c>
      <c r="B126" s="8">
        <f ca="1">MAX(B$3:B125)+0.1</f>
        <v>6.1999999999999993</v>
      </c>
      <c r="C126" s="25" t="s">
        <v>211</v>
      </c>
      <c r="D126" s="25"/>
      <c r="E126" s="25"/>
      <c r="F126" s="25"/>
      <c r="G126" s="25"/>
      <c r="H126" s="25"/>
      <c r="I126" s="25"/>
      <c r="J126" s="25"/>
      <c r="K126" s="25"/>
      <c r="L126" s="25"/>
      <c r="M126" s="25"/>
      <c r="N126" s="25"/>
      <c r="O126" s="25"/>
      <c r="P126" s="25"/>
      <c r="Q126" s="25"/>
      <c r="R126" s="25"/>
    </row>
    <row r="127" spans="1:18" outlineLevel="1" x14ac:dyDescent="0.35"/>
    <row r="128" spans="1:18" ht="15.5" outlineLevel="1" x14ac:dyDescent="0.35">
      <c r="H128" s="36" t="s">
        <v>92</v>
      </c>
      <c r="I128" s="3">
        <v>2021</v>
      </c>
      <c r="J128" s="3">
        <v>2021</v>
      </c>
      <c r="K128" s="3">
        <v>2021</v>
      </c>
      <c r="L128" s="3">
        <v>2022</v>
      </c>
      <c r="M128" s="3">
        <v>2022</v>
      </c>
    </row>
    <row r="129" spans="3:14" ht="15.5" outlineLevel="1" x14ac:dyDescent="0.35">
      <c r="H129" s="36" t="s">
        <v>93</v>
      </c>
      <c r="I129" s="37" t="str">
        <f>"VDO "&amp;I128&amp;" - "&amp;IF(LEFT(I131,1)="F","Final",IF(LEFT(I131,1)="D","Draft",IF(LEFT(I131,2)="VD","Variation draft",IF(LEFT(I131,2)="VF","Variation final"))))</f>
        <v>VDO 2021 - Final</v>
      </c>
      <c r="J129" s="37" t="str">
        <f>"VDO "&amp;J128&amp;" - "&amp;IF(LEFT(J131,1)="F","Final",IF(LEFT(J131,1)="D","Draft",IF(LEFT(J131,2)="VD","Variation draft",IF(LEFT(J131,2)="VF","Variation final"))))</f>
        <v>VDO 2021 - Variation draft</v>
      </c>
      <c r="K129" s="37" t="str">
        <f>"VDO "&amp;K128&amp;" - "&amp;IF(LEFT(K131,1)="F","Final",IF(LEFT(K131,1)="D","Draft",IF(LEFT(K131,2)="VD","Variation draft",IF(LEFT(K131,2)="VF","Variation final"))))</f>
        <v>VDO 2021 - Variation final</v>
      </c>
      <c r="L129" s="37" t="str">
        <f t="shared" ref="L129" si="0">"VDO "&amp;L128&amp;" - "&amp;IF(LEFT(L131,1)="F","Final",IF(LEFT(L131,1)="D","Draft",IF(LEFT(L131,2)="VD","Variation draft",IF(LEFT(L131,2)="VF","Variation final"))))</f>
        <v>VDO 2022 - Draft</v>
      </c>
      <c r="M129" s="37" t="str">
        <f t="shared" ref="M129" si="1">"VDO "&amp;M128&amp;" - "&amp;IF(LEFT(M131,1)="F","Final",IF(LEFT(M131,1)="D","Draft",IF(LEFT(M131,2)="VD","Variation draft",IF(LEFT(M131,2)="VF","Variation final"))))</f>
        <v>VDO 2022 - Final</v>
      </c>
    </row>
    <row r="130" spans="3:14" outlineLevel="1" x14ac:dyDescent="0.35"/>
    <row r="131" spans="3:14" ht="15.5" outlineLevel="1" x14ac:dyDescent="0.35">
      <c r="C131" s="39" t="s">
        <v>212</v>
      </c>
      <c r="D131" s="39" t="s">
        <v>213</v>
      </c>
      <c r="E131" s="39" t="s">
        <v>214</v>
      </c>
      <c r="F131" s="39" t="s">
        <v>95</v>
      </c>
      <c r="G131" s="39" t="s">
        <v>87</v>
      </c>
      <c r="H131" s="39" t="s">
        <v>215</v>
      </c>
      <c r="I131" s="39" t="s">
        <v>216</v>
      </c>
      <c r="J131" s="39" t="s">
        <v>353</v>
      </c>
      <c r="K131" s="39" t="s">
        <v>354</v>
      </c>
      <c r="L131" s="39" t="s">
        <v>217</v>
      </c>
      <c r="M131" s="92" t="s">
        <v>218</v>
      </c>
    </row>
    <row r="132" spans="3:14" outlineLevel="1" x14ac:dyDescent="0.35">
      <c r="C132" s="21" t="s">
        <v>219</v>
      </c>
      <c r="D132" s="21" t="s">
        <v>220</v>
      </c>
      <c r="E132" s="70" t="str">
        <f>Input_UsageAnytime[[#This Row],[Profile name]]&amp;" - "&amp;Input_UsageAnytime[[#This Row],[Usage type]]</f>
        <v>Residential - small - Block 1</v>
      </c>
      <c r="F132" s="21" t="s">
        <v>221</v>
      </c>
      <c r="G132" s="21" t="s">
        <v>88</v>
      </c>
      <c r="H132" s="21" t="s">
        <v>215</v>
      </c>
      <c r="I132" s="35">
        <v>2000</v>
      </c>
      <c r="J132" s="34">
        <v>2000</v>
      </c>
      <c r="K132" s="34"/>
      <c r="L132" s="34"/>
      <c r="M132" s="34">
        <v>2000</v>
      </c>
      <c r="N132" s="93"/>
    </row>
    <row r="133" spans="3:14" outlineLevel="1" x14ac:dyDescent="0.35">
      <c r="C133" s="21" t="s">
        <v>222</v>
      </c>
      <c r="D133" s="21" t="s">
        <v>220</v>
      </c>
      <c r="E133" s="70" t="str">
        <f>Input_UsageAnytime[[#This Row],[Profile name]]&amp;" - "&amp;Input_UsageAnytime[[#This Row],[Usage type]]</f>
        <v>Residential - medium - Block 1</v>
      </c>
      <c r="F133" s="21" t="s">
        <v>221</v>
      </c>
      <c r="G133" s="21" t="s">
        <v>88</v>
      </c>
      <c r="H133" s="21" t="s">
        <v>215</v>
      </c>
      <c r="I133" s="35">
        <v>4000</v>
      </c>
      <c r="J133" s="34">
        <v>4000</v>
      </c>
      <c r="K133" s="34"/>
      <c r="L133" s="34"/>
      <c r="M133" s="34">
        <v>4000</v>
      </c>
      <c r="N133" s="93"/>
    </row>
    <row r="134" spans="3:14" outlineLevel="1" x14ac:dyDescent="0.35">
      <c r="C134" s="21" t="s">
        <v>223</v>
      </c>
      <c r="D134" s="21" t="s">
        <v>220</v>
      </c>
      <c r="E134" s="70" t="str">
        <f>Input_UsageAnytime[[#This Row],[Profile name]]&amp;" - "&amp;Input_UsageAnytime[[#This Row],[Usage type]]</f>
        <v>Residential - large - Block 1</v>
      </c>
      <c r="F134" s="21" t="s">
        <v>221</v>
      </c>
      <c r="G134" s="21" t="s">
        <v>88</v>
      </c>
      <c r="H134" s="21" t="s">
        <v>215</v>
      </c>
      <c r="I134" s="35">
        <v>4080</v>
      </c>
      <c r="J134" s="34">
        <v>4080</v>
      </c>
      <c r="K134" s="34"/>
      <c r="L134" s="34"/>
      <c r="M134" s="34">
        <v>4080</v>
      </c>
      <c r="N134" s="93"/>
    </row>
    <row r="135" spans="3:14" outlineLevel="1" x14ac:dyDescent="0.35">
      <c r="C135" s="21" t="s">
        <v>224</v>
      </c>
      <c r="D135" s="21" t="s">
        <v>220</v>
      </c>
      <c r="E135" s="70" t="str">
        <f>Input_UsageAnytime[[#This Row],[Profile name]]&amp;" - "&amp;Input_UsageAnytime[[#This Row],[Usage type]]</f>
        <v>Small business - small - Block 1</v>
      </c>
      <c r="F135" s="21" t="s">
        <v>221</v>
      </c>
      <c r="G135" s="21" t="s">
        <v>89</v>
      </c>
      <c r="H135" s="21" t="s">
        <v>215</v>
      </c>
      <c r="I135" s="35">
        <v>4080</v>
      </c>
      <c r="J135" s="34">
        <v>4080</v>
      </c>
      <c r="K135" s="34"/>
      <c r="L135" s="34"/>
      <c r="M135" s="34">
        <v>4080</v>
      </c>
      <c r="N135" s="93"/>
    </row>
    <row r="136" spans="3:14" outlineLevel="1" x14ac:dyDescent="0.35">
      <c r="C136" s="21" t="s">
        <v>225</v>
      </c>
      <c r="D136" s="21" t="s">
        <v>220</v>
      </c>
      <c r="E136" s="70" t="str">
        <f>Input_UsageAnytime[[#This Row],[Profile name]]&amp;" - "&amp;Input_UsageAnytime[[#This Row],[Usage type]]</f>
        <v>Small business - medium - Block 1</v>
      </c>
      <c r="F136" s="21" t="s">
        <v>221</v>
      </c>
      <c r="G136" s="21" t="s">
        <v>89</v>
      </c>
      <c r="H136" s="21" t="s">
        <v>215</v>
      </c>
      <c r="I136" s="35">
        <v>4080</v>
      </c>
      <c r="J136" s="34">
        <v>4080</v>
      </c>
      <c r="K136" s="34"/>
      <c r="L136" s="34"/>
      <c r="M136" s="34">
        <v>4080</v>
      </c>
      <c r="N136" s="93"/>
    </row>
    <row r="137" spans="3:14" outlineLevel="1" x14ac:dyDescent="0.35">
      <c r="C137" s="21" t="s">
        <v>226</v>
      </c>
      <c r="D137" s="21" t="s">
        <v>220</v>
      </c>
      <c r="E137" s="70" t="str">
        <f>Input_UsageAnytime[[#This Row],[Profile name]]&amp;" - "&amp;Input_UsageAnytime[[#This Row],[Usage type]]</f>
        <v>Small business - large - Block 1</v>
      </c>
      <c r="F137" s="21" t="s">
        <v>221</v>
      </c>
      <c r="G137" s="21" t="s">
        <v>89</v>
      </c>
      <c r="H137" s="21" t="s">
        <v>215</v>
      </c>
      <c r="I137" s="35">
        <v>4080</v>
      </c>
      <c r="J137" s="34">
        <v>4080</v>
      </c>
      <c r="K137" s="34"/>
      <c r="L137" s="34"/>
      <c r="M137" s="34">
        <v>4080</v>
      </c>
      <c r="N137" s="93"/>
    </row>
    <row r="138" spans="3:14" outlineLevel="1" x14ac:dyDescent="0.35">
      <c r="C138" s="21" t="s">
        <v>219</v>
      </c>
      <c r="D138" s="21" t="s">
        <v>227</v>
      </c>
      <c r="E138" s="70" t="str">
        <f>Input_UsageAnytime[[#This Row],[Profile name]]&amp;" - "&amp;Input_UsageAnytime[[#This Row],[Usage type]]</f>
        <v>Residential - small - Balance</v>
      </c>
      <c r="F138" s="21" t="s">
        <v>221</v>
      </c>
      <c r="G138" s="21" t="s">
        <v>88</v>
      </c>
      <c r="H138" s="21" t="s">
        <v>215</v>
      </c>
      <c r="I138" s="35">
        <v>0</v>
      </c>
      <c r="J138" s="34">
        <v>0</v>
      </c>
      <c r="K138" s="34"/>
      <c r="L138" s="34"/>
      <c r="M138" s="34">
        <v>0</v>
      </c>
      <c r="N138" s="93"/>
    </row>
    <row r="139" spans="3:14" outlineLevel="1" x14ac:dyDescent="0.35">
      <c r="C139" s="21" t="s">
        <v>222</v>
      </c>
      <c r="D139" s="21" t="s">
        <v>227</v>
      </c>
      <c r="E139" s="70" t="str">
        <f>Input_UsageAnytime[[#This Row],[Profile name]]&amp;" - "&amp;Input_UsageAnytime[[#This Row],[Usage type]]</f>
        <v>Residential - medium - Balance</v>
      </c>
      <c r="F139" s="21" t="s">
        <v>221</v>
      </c>
      <c r="G139" s="21" t="s">
        <v>88</v>
      </c>
      <c r="H139" s="21" t="s">
        <v>215</v>
      </c>
      <c r="I139" s="35">
        <v>0</v>
      </c>
      <c r="J139" s="34">
        <v>0</v>
      </c>
      <c r="K139" s="34"/>
      <c r="L139" s="34"/>
      <c r="M139" s="34">
        <v>0</v>
      </c>
      <c r="N139" s="93"/>
    </row>
    <row r="140" spans="3:14" outlineLevel="1" x14ac:dyDescent="0.35">
      <c r="C140" s="21" t="s">
        <v>223</v>
      </c>
      <c r="D140" s="21" t="s">
        <v>227</v>
      </c>
      <c r="E140" s="70" t="str">
        <f>Input_UsageAnytime[[#This Row],[Profile name]]&amp;" - "&amp;Input_UsageAnytime[[#This Row],[Usage type]]</f>
        <v>Residential - large - Balance</v>
      </c>
      <c r="F140" s="21" t="s">
        <v>221</v>
      </c>
      <c r="G140" s="21" t="s">
        <v>88</v>
      </c>
      <c r="H140" s="21" t="s">
        <v>215</v>
      </c>
      <c r="I140" s="35">
        <v>3920</v>
      </c>
      <c r="J140" s="34">
        <v>3920</v>
      </c>
      <c r="K140" s="34"/>
      <c r="L140" s="34"/>
      <c r="M140" s="34">
        <v>3920</v>
      </c>
      <c r="N140" s="93"/>
    </row>
    <row r="141" spans="3:14" outlineLevel="1" x14ac:dyDescent="0.35">
      <c r="C141" s="21" t="s">
        <v>224</v>
      </c>
      <c r="D141" s="21" t="s">
        <v>227</v>
      </c>
      <c r="E141" s="70" t="str">
        <f>Input_UsageAnytime[[#This Row],[Profile name]]&amp;" - "&amp;Input_UsageAnytime[[#This Row],[Usage type]]</f>
        <v>Small business - small - Balance</v>
      </c>
      <c r="F141" s="21" t="s">
        <v>221</v>
      </c>
      <c r="G141" s="21" t="s">
        <v>89</v>
      </c>
      <c r="H141" s="21" t="s">
        <v>215</v>
      </c>
      <c r="I141" s="35">
        <v>7920</v>
      </c>
      <c r="J141" s="34">
        <v>7920</v>
      </c>
      <c r="K141" s="34"/>
      <c r="L141" s="34"/>
      <c r="M141" s="34">
        <v>7920</v>
      </c>
      <c r="N141" s="93"/>
    </row>
    <row r="142" spans="3:14" outlineLevel="1" x14ac:dyDescent="0.35">
      <c r="C142" s="21" t="s">
        <v>225</v>
      </c>
      <c r="D142" s="21" t="s">
        <v>227</v>
      </c>
      <c r="E142" s="70" t="str">
        <f>Input_UsageAnytime[[#This Row],[Profile name]]&amp;" - "&amp;Input_UsageAnytime[[#This Row],[Usage type]]</f>
        <v>Small business - medium - Balance</v>
      </c>
      <c r="F142" s="21" t="s">
        <v>221</v>
      </c>
      <c r="G142" s="21" t="s">
        <v>89</v>
      </c>
      <c r="H142" s="21" t="s">
        <v>215</v>
      </c>
      <c r="I142" s="35">
        <v>15920</v>
      </c>
      <c r="J142" s="34">
        <v>15920</v>
      </c>
      <c r="K142" s="34"/>
      <c r="L142" s="34"/>
      <c r="M142" s="34">
        <v>15920</v>
      </c>
      <c r="N142" s="93"/>
    </row>
    <row r="143" spans="3:14" outlineLevel="1" x14ac:dyDescent="0.35">
      <c r="C143" s="21" t="s">
        <v>226</v>
      </c>
      <c r="D143" s="21" t="s">
        <v>227</v>
      </c>
      <c r="E143" s="70" t="str">
        <f>Input_UsageAnytime[[#This Row],[Profile name]]&amp;" - "&amp;Input_UsageAnytime[[#This Row],[Usage type]]</f>
        <v>Small business - large - Balance</v>
      </c>
      <c r="F143" s="21" t="s">
        <v>221</v>
      </c>
      <c r="G143" s="21" t="s">
        <v>89</v>
      </c>
      <c r="H143" s="21" t="s">
        <v>215</v>
      </c>
      <c r="I143" s="35">
        <v>35920</v>
      </c>
      <c r="J143" s="34">
        <v>35920</v>
      </c>
      <c r="K143" s="34"/>
      <c r="L143" s="34"/>
      <c r="M143" s="34">
        <v>35920</v>
      </c>
      <c r="N143" s="93"/>
    </row>
    <row r="144" spans="3:14" outlineLevel="1" x14ac:dyDescent="0.35">
      <c r="C144" s="21" t="s">
        <v>219</v>
      </c>
      <c r="D144" s="21" t="s">
        <v>228</v>
      </c>
      <c r="E144" s="70" t="str">
        <f>Input_UsageAnytime[[#This Row],[Profile name]]&amp;" - "&amp;Input_UsageAnytime[[#This Row],[Usage type]]</f>
        <v>Residential - small - Annual</v>
      </c>
      <c r="F144" s="21" t="s">
        <v>221</v>
      </c>
      <c r="G144" s="21" t="s">
        <v>88</v>
      </c>
      <c r="H144" s="21" t="s">
        <v>215</v>
      </c>
      <c r="I144" s="35">
        <v>2000</v>
      </c>
      <c r="J144" s="34">
        <v>2000</v>
      </c>
      <c r="K144" s="34"/>
      <c r="L144" s="34"/>
      <c r="M144" s="34">
        <v>2000</v>
      </c>
      <c r="N144" s="93"/>
    </row>
    <row r="145" spans="1:18" outlineLevel="1" x14ac:dyDescent="0.35">
      <c r="C145" s="21" t="s">
        <v>222</v>
      </c>
      <c r="D145" s="21" t="s">
        <v>228</v>
      </c>
      <c r="E145" s="70" t="str">
        <f>Input_UsageAnytime[[#This Row],[Profile name]]&amp;" - "&amp;Input_UsageAnytime[[#This Row],[Usage type]]</f>
        <v>Residential - medium - Annual</v>
      </c>
      <c r="F145" s="21" t="s">
        <v>221</v>
      </c>
      <c r="G145" s="21" t="s">
        <v>88</v>
      </c>
      <c r="H145" s="21" t="s">
        <v>215</v>
      </c>
      <c r="I145" s="35">
        <v>4000</v>
      </c>
      <c r="J145" s="34">
        <v>4000</v>
      </c>
      <c r="K145" s="34"/>
      <c r="L145" s="34"/>
      <c r="M145" s="34">
        <v>4000</v>
      </c>
      <c r="N145" s="93"/>
    </row>
    <row r="146" spans="1:18" outlineLevel="1" x14ac:dyDescent="0.35">
      <c r="C146" s="21" t="s">
        <v>223</v>
      </c>
      <c r="D146" s="21" t="s">
        <v>228</v>
      </c>
      <c r="E146" s="70" t="str">
        <f>Input_UsageAnytime[[#This Row],[Profile name]]&amp;" - "&amp;Input_UsageAnytime[[#This Row],[Usage type]]</f>
        <v>Residential - large - Annual</v>
      </c>
      <c r="F146" s="21" t="s">
        <v>221</v>
      </c>
      <c r="G146" s="21" t="s">
        <v>88</v>
      </c>
      <c r="H146" s="21" t="s">
        <v>215</v>
      </c>
      <c r="I146" s="35">
        <v>8000</v>
      </c>
      <c r="J146" s="34">
        <v>8000</v>
      </c>
      <c r="K146" s="34"/>
      <c r="L146" s="34"/>
      <c r="M146" s="34">
        <v>8000</v>
      </c>
      <c r="N146" s="93"/>
    </row>
    <row r="147" spans="1:18" outlineLevel="1" x14ac:dyDescent="0.35">
      <c r="C147" s="21" t="s">
        <v>224</v>
      </c>
      <c r="D147" s="21" t="s">
        <v>228</v>
      </c>
      <c r="E147" s="70" t="str">
        <f>Input_UsageAnytime[[#This Row],[Profile name]]&amp;" - "&amp;Input_UsageAnytime[[#This Row],[Usage type]]</f>
        <v>Small business - small - Annual</v>
      </c>
      <c r="F147" s="21" t="s">
        <v>221</v>
      </c>
      <c r="G147" s="21" t="s">
        <v>89</v>
      </c>
      <c r="H147" s="21" t="s">
        <v>215</v>
      </c>
      <c r="I147" s="35">
        <v>12000</v>
      </c>
      <c r="J147" s="34">
        <v>12000</v>
      </c>
      <c r="K147" s="34"/>
      <c r="L147" s="34"/>
      <c r="M147" s="34">
        <v>12000</v>
      </c>
      <c r="N147" s="93"/>
    </row>
    <row r="148" spans="1:18" outlineLevel="1" x14ac:dyDescent="0.35">
      <c r="C148" s="21" t="s">
        <v>225</v>
      </c>
      <c r="D148" s="21" t="s">
        <v>228</v>
      </c>
      <c r="E148" s="70" t="str">
        <f>Input_UsageAnytime[[#This Row],[Profile name]]&amp;" - "&amp;Input_UsageAnytime[[#This Row],[Usage type]]</f>
        <v>Small business - medium - Annual</v>
      </c>
      <c r="F148" s="21" t="s">
        <v>221</v>
      </c>
      <c r="G148" s="21" t="s">
        <v>89</v>
      </c>
      <c r="H148" s="21" t="s">
        <v>215</v>
      </c>
      <c r="I148" s="35">
        <v>20000</v>
      </c>
      <c r="J148" s="34">
        <v>20000</v>
      </c>
      <c r="K148" s="34"/>
      <c r="L148" s="34"/>
      <c r="M148" s="34">
        <v>20000</v>
      </c>
      <c r="N148" s="93"/>
    </row>
    <row r="149" spans="1:18" outlineLevel="1" x14ac:dyDescent="0.35">
      <c r="C149" s="21" t="s">
        <v>226</v>
      </c>
      <c r="D149" s="21" t="s">
        <v>228</v>
      </c>
      <c r="E149" s="70" t="str">
        <f>Input_UsageAnytime[[#This Row],[Profile name]]&amp;" - "&amp;Input_UsageAnytime[[#This Row],[Usage type]]</f>
        <v>Small business - large - Annual</v>
      </c>
      <c r="F149" s="21" t="s">
        <v>221</v>
      </c>
      <c r="G149" s="21" t="s">
        <v>89</v>
      </c>
      <c r="H149" s="21" t="s">
        <v>215</v>
      </c>
      <c r="I149" s="35">
        <v>40000</v>
      </c>
      <c r="J149" s="34">
        <v>40000</v>
      </c>
      <c r="K149" s="34"/>
      <c r="L149" s="34"/>
      <c r="M149" s="34">
        <v>40000</v>
      </c>
      <c r="N149" s="93"/>
    </row>
    <row r="150" spans="1:18" outlineLevel="1" x14ac:dyDescent="0.35"/>
    <row r="152" spans="1:18" ht="16" thickBot="1" x14ac:dyDescent="0.4">
      <c r="A152" s="2" t="s">
        <v>22</v>
      </c>
      <c r="B152" s="8">
        <f ca="1">MAX(B$3:B151)+0.1</f>
        <v>6.2999999999999989</v>
      </c>
      <c r="C152" s="25" t="s">
        <v>229</v>
      </c>
      <c r="D152" s="25"/>
      <c r="E152" s="25"/>
      <c r="F152" s="25"/>
      <c r="G152" s="25"/>
      <c r="H152" s="25"/>
      <c r="I152" s="25"/>
      <c r="J152" s="25"/>
      <c r="K152" s="25"/>
      <c r="L152" s="25"/>
      <c r="M152" s="25"/>
      <c r="N152" s="25"/>
      <c r="O152" s="25"/>
      <c r="P152" s="25"/>
      <c r="Q152" s="25"/>
      <c r="R152" s="25"/>
    </row>
    <row r="153" spans="1:18" outlineLevel="1" x14ac:dyDescent="0.35"/>
    <row r="154" spans="1:18" ht="15.5" outlineLevel="1" x14ac:dyDescent="0.35">
      <c r="H154" s="36" t="s">
        <v>92</v>
      </c>
      <c r="I154" s="3">
        <v>2021</v>
      </c>
      <c r="J154" s="3">
        <v>2021</v>
      </c>
      <c r="K154" s="3">
        <v>2021</v>
      </c>
      <c r="L154" s="3">
        <v>2022</v>
      </c>
      <c r="M154" s="3">
        <v>2022</v>
      </c>
    </row>
    <row r="155" spans="1:18" ht="15.5" outlineLevel="1" x14ac:dyDescent="0.35">
      <c r="H155" s="36" t="s">
        <v>93</v>
      </c>
      <c r="I155" s="37" t="str">
        <f>"VDO "&amp;I154&amp;" - "&amp;IF(LEFT(I157,1)="F","Final",IF(LEFT(I157,1)="D","Draft",IF(LEFT(I157,2)="VD","Variation draft",IF(LEFT(I157,2)="VF","Variation final"))))</f>
        <v>VDO 2021 - Final</v>
      </c>
      <c r="J155" s="37" t="str">
        <f>"VDO "&amp;J154&amp;" - "&amp;IF(LEFT(J157,1)="F","Final",IF(LEFT(J157,1)="D","Draft",IF(LEFT(J157,2)="VD","Variation draft",IF(LEFT(J157,2)="VF","Variation final"))))</f>
        <v>VDO 2021 - Variation draft</v>
      </c>
      <c r="K155" s="37" t="str">
        <f t="shared" ref="K155:M155" si="2">"VDO "&amp;K154&amp;" - "&amp;IF(LEFT(K157,1)="F","Final",IF(LEFT(K157,1)="D","Draft",IF(LEFT(K157,2)="VD","Variation draft",IF(LEFT(K157,2)="VF","Variation final"))))</f>
        <v>VDO 2021 - Variation final</v>
      </c>
      <c r="L155" s="37" t="str">
        <f t="shared" si="2"/>
        <v>VDO 2022 - Draft</v>
      </c>
      <c r="M155" s="37" t="str">
        <f t="shared" si="2"/>
        <v>VDO 2022 - Final</v>
      </c>
    </row>
    <row r="156" spans="1:18" outlineLevel="1" x14ac:dyDescent="0.35"/>
    <row r="157" spans="1:18" ht="15.5" outlineLevel="1" x14ac:dyDescent="0.35">
      <c r="C157" s="39" t="s">
        <v>212</v>
      </c>
      <c r="D157" s="39" t="s">
        <v>213</v>
      </c>
      <c r="E157" s="39" t="s">
        <v>214</v>
      </c>
      <c r="F157" s="39" t="s">
        <v>95</v>
      </c>
      <c r="G157" s="39" t="s">
        <v>87</v>
      </c>
      <c r="H157" s="39" t="s">
        <v>215</v>
      </c>
      <c r="I157" s="39" t="s">
        <v>216</v>
      </c>
      <c r="J157" s="39" t="s">
        <v>353</v>
      </c>
      <c r="K157" s="39" t="s">
        <v>354</v>
      </c>
      <c r="L157" s="39" t="s">
        <v>217</v>
      </c>
      <c r="M157" s="39" t="s">
        <v>218</v>
      </c>
    </row>
    <row r="158" spans="1:18" outlineLevel="1" x14ac:dyDescent="0.35">
      <c r="C158" s="21" t="s">
        <v>219</v>
      </c>
      <c r="D158" s="21" t="s">
        <v>230</v>
      </c>
      <c r="E158" s="70" t="str">
        <f>Input_UsageTOU[[#This Row],[Profile name]]&amp;" - "&amp;Input_UsageTOU[[#This Row],[Usage type]]</f>
        <v>Residential - small - Peak</v>
      </c>
      <c r="F158" s="21" t="s">
        <v>221</v>
      </c>
      <c r="G158" s="21" t="s">
        <v>88</v>
      </c>
      <c r="H158" s="21" t="s">
        <v>215</v>
      </c>
      <c r="I158" s="35" t="s">
        <v>75</v>
      </c>
      <c r="J158" s="100">
        <v>660</v>
      </c>
      <c r="K158" s="101"/>
      <c r="L158" s="34"/>
      <c r="M158" s="34"/>
    </row>
    <row r="159" spans="1:18" outlineLevel="1" x14ac:dyDescent="0.35">
      <c r="C159" s="21" t="s">
        <v>222</v>
      </c>
      <c r="D159" s="21" t="s">
        <v>230</v>
      </c>
      <c r="E159" s="70" t="str">
        <f>Input_UsageTOU[[#This Row],[Profile name]]&amp;" - "&amp;Input_UsageTOU[[#This Row],[Usage type]]</f>
        <v>Residential - medium - Peak</v>
      </c>
      <c r="F159" s="21" t="s">
        <v>221</v>
      </c>
      <c r="G159" s="21" t="s">
        <v>88</v>
      </c>
      <c r="H159" s="21" t="s">
        <v>215</v>
      </c>
      <c r="I159" s="35" t="s">
        <v>75</v>
      </c>
      <c r="J159" s="100">
        <v>1320</v>
      </c>
      <c r="K159" s="101"/>
      <c r="L159" s="34"/>
      <c r="M159" s="34"/>
    </row>
    <row r="160" spans="1:18" outlineLevel="1" x14ac:dyDescent="0.35">
      <c r="C160" s="21" t="s">
        <v>223</v>
      </c>
      <c r="D160" s="21" t="s">
        <v>230</v>
      </c>
      <c r="E160" s="70" t="str">
        <f>Input_UsageTOU[[#This Row],[Profile name]]&amp;" - "&amp;Input_UsageTOU[[#This Row],[Usage type]]</f>
        <v>Residential - large - Peak</v>
      </c>
      <c r="F160" s="21" t="s">
        <v>221</v>
      </c>
      <c r="G160" s="21" t="s">
        <v>88</v>
      </c>
      <c r="H160" s="21" t="s">
        <v>215</v>
      </c>
      <c r="I160" s="35" t="s">
        <v>75</v>
      </c>
      <c r="J160" s="100">
        <v>2640</v>
      </c>
      <c r="K160" s="101"/>
      <c r="L160" s="34"/>
      <c r="M160" s="34"/>
    </row>
    <row r="161" spans="1:18" outlineLevel="1" x14ac:dyDescent="0.35">
      <c r="C161" s="21" t="s">
        <v>224</v>
      </c>
      <c r="D161" s="21" t="s">
        <v>230</v>
      </c>
      <c r="E161" s="70" t="str">
        <f>Input_UsageTOU[[#This Row],[Profile name]]&amp;" - "&amp;Input_UsageTOU[[#This Row],[Usage type]]</f>
        <v>Small business - small - Peak</v>
      </c>
      <c r="F161" s="21" t="s">
        <v>221</v>
      </c>
      <c r="G161" s="21" t="s">
        <v>89</v>
      </c>
      <c r="H161" s="21" t="s">
        <v>215</v>
      </c>
      <c r="I161" s="35" t="s">
        <v>75</v>
      </c>
      <c r="J161" s="100">
        <v>5880</v>
      </c>
      <c r="K161" s="101"/>
      <c r="L161" s="34"/>
      <c r="M161" s="34"/>
    </row>
    <row r="162" spans="1:18" outlineLevel="1" x14ac:dyDescent="0.35">
      <c r="C162" s="21" t="s">
        <v>225</v>
      </c>
      <c r="D162" s="21" t="s">
        <v>230</v>
      </c>
      <c r="E162" s="70" t="str">
        <f>Input_UsageTOU[[#This Row],[Profile name]]&amp;" - "&amp;Input_UsageTOU[[#This Row],[Usage type]]</f>
        <v>Small business - medium - Peak</v>
      </c>
      <c r="F162" s="21" t="s">
        <v>221</v>
      </c>
      <c r="G162" s="21" t="s">
        <v>89</v>
      </c>
      <c r="H162" s="21" t="s">
        <v>215</v>
      </c>
      <c r="I162" s="35" t="s">
        <v>75</v>
      </c>
      <c r="J162" s="100">
        <v>9800</v>
      </c>
      <c r="K162" s="101"/>
      <c r="L162" s="34"/>
      <c r="M162" s="34"/>
    </row>
    <row r="163" spans="1:18" outlineLevel="1" x14ac:dyDescent="0.35">
      <c r="C163" s="21" t="s">
        <v>226</v>
      </c>
      <c r="D163" s="21" t="s">
        <v>230</v>
      </c>
      <c r="E163" s="70" t="str">
        <f>Input_UsageTOU[[#This Row],[Profile name]]&amp;" - "&amp;Input_UsageTOU[[#This Row],[Usage type]]</f>
        <v>Small business - large - Peak</v>
      </c>
      <c r="F163" s="21" t="s">
        <v>221</v>
      </c>
      <c r="G163" s="21" t="s">
        <v>89</v>
      </c>
      <c r="H163" s="21" t="s">
        <v>215</v>
      </c>
      <c r="I163" s="35" t="s">
        <v>75</v>
      </c>
      <c r="J163" s="100">
        <v>19600</v>
      </c>
      <c r="K163" s="101"/>
      <c r="L163" s="34"/>
      <c r="M163" s="34"/>
    </row>
    <row r="164" spans="1:18" outlineLevel="1" x14ac:dyDescent="0.35">
      <c r="C164" s="21" t="s">
        <v>219</v>
      </c>
      <c r="D164" s="21" t="s">
        <v>231</v>
      </c>
      <c r="E164" s="70" t="str">
        <f>Input_UsageTOU[[#This Row],[Profile name]]&amp;" - "&amp;Input_UsageTOU[[#This Row],[Usage type]]</f>
        <v>Residential - small - Off-peak</v>
      </c>
      <c r="F164" s="21" t="s">
        <v>221</v>
      </c>
      <c r="G164" s="21" t="s">
        <v>88</v>
      </c>
      <c r="H164" s="21" t="s">
        <v>215</v>
      </c>
      <c r="I164" s="35" t="s">
        <v>75</v>
      </c>
      <c r="J164" s="100">
        <v>1340</v>
      </c>
      <c r="K164" s="101"/>
      <c r="L164" s="34"/>
      <c r="M164" s="34"/>
    </row>
    <row r="165" spans="1:18" outlineLevel="1" x14ac:dyDescent="0.35">
      <c r="C165" s="21" t="s">
        <v>222</v>
      </c>
      <c r="D165" s="21" t="s">
        <v>231</v>
      </c>
      <c r="E165" s="70" t="str">
        <f>Input_UsageTOU[[#This Row],[Profile name]]&amp;" - "&amp;Input_UsageTOU[[#This Row],[Usage type]]</f>
        <v>Residential - medium - Off-peak</v>
      </c>
      <c r="F165" s="21" t="s">
        <v>221</v>
      </c>
      <c r="G165" s="21" t="s">
        <v>88</v>
      </c>
      <c r="H165" s="21" t="s">
        <v>215</v>
      </c>
      <c r="I165" s="35" t="s">
        <v>75</v>
      </c>
      <c r="J165" s="100">
        <v>2680</v>
      </c>
      <c r="K165" s="101"/>
      <c r="L165" s="34"/>
      <c r="M165" s="34"/>
    </row>
    <row r="166" spans="1:18" outlineLevel="1" x14ac:dyDescent="0.35">
      <c r="C166" s="21" t="s">
        <v>223</v>
      </c>
      <c r="D166" s="21" t="s">
        <v>231</v>
      </c>
      <c r="E166" s="70" t="str">
        <f>Input_UsageTOU[[#This Row],[Profile name]]&amp;" - "&amp;Input_UsageTOU[[#This Row],[Usage type]]</f>
        <v>Residential - large - Off-peak</v>
      </c>
      <c r="F166" s="21" t="s">
        <v>221</v>
      </c>
      <c r="G166" s="21" t="s">
        <v>88</v>
      </c>
      <c r="H166" s="21" t="s">
        <v>215</v>
      </c>
      <c r="I166" s="35" t="s">
        <v>75</v>
      </c>
      <c r="J166" s="100">
        <v>5360</v>
      </c>
      <c r="K166" s="101"/>
      <c r="L166" s="34"/>
      <c r="M166" s="34"/>
    </row>
    <row r="167" spans="1:18" outlineLevel="1" x14ac:dyDescent="0.35">
      <c r="C167" s="21" t="s">
        <v>224</v>
      </c>
      <c r="D167" s="21" t="s">
        <v>231</v>
      </c>
      <c r="E167" s="70" t="str">
        <f>Input_UsageTOU[[#This Row],[Profile name]]&amp;" - "&amp;Input_UsageTOU[[#This Row],[Usage type]]</f>
        <v>Small business - small - Off-peak</v>
      </c>
      <c r="F167" s="21" t="s">
        <v>221</v>
      </c>
      <c r="G167" s="21" t="s">
        <v>89</v>
      </c>
      <c r="H167" s="21" t="s">
        <v>215</v>
      </c>
      <c r="I167" s="35" t="s">
        <v>75</v>
      </c>
      <c r="J167" s="100">
        <v>6120</v>
      </c>
      <c r="K167" s="101"/>
      <c r="L167" s="34"/>
      <c r="M167" s="34"/>
    </row>
    <row r="168" spans="1:18" outlineLevel="1" x14ac:dyDescent="0.35">
      <c r="C168" s="21" t="s">
        <v>225</v>
      </c>
      <c r="D168" s="21" t="s">
        <v>231</v>
      </c>
      <c r="E168" s="70" t="str">
        <f>Input_UsageTOU[[#This Row],[Profile name]]&amp;" - "&amp;Input_UsageTOU[[#This Row],[Usage type]]</f>
        <v>Small business - medium - Off-peak</v>
      </c>
      <c r="F168" s="21" t="s">
        <v>221</v>
      </c>
      <c r="G168" s="21" t="s">
        <v>89</v>
      </c>
      <c r="H168" s="21" t="s">
        <v>215</v>
      </c>
      <c r="I168" s="35" t="s">
        <v>75</v>
      </c>
      <c r="J168" s="100">
        <v>10200</v>
      </c>
      <c r="K168" s="101"/>
      <c r="L168" s="34"/>
      <c r="M168" s="34"/>
    </row>
    <row r="169" spans="1:18" outlineLevel="1" x14ac:dyDescent="0.35">
      <c r="C169" s="21" t="s">
        <v>226</v>
      </c>
      <c r="D169" s="21" t="s">
        <v>231</v>
      </c>
      <c r="E169" s="70" t="str">
        <f>Input_UsageTOU[[#This Row],[Profile name]]&amp;" - "&amp;Input_UsageTOU[[#This Row],[Usage type]]</f>
        <v>Small business - large - Off-peak</v>
      </c>
      <c r="F169" s="21" t="s">
        <v>221</v>
      </c>
      <c r="G169" s="21" t="s">
        <v>89</v>
      </c>
      <c r="H169" s="21" t="s">
        <v>215</v>
      </c>
      <c r="I169" s="35" t="s">
        <v>75</v>
      </c>
      <c r="J169" s="100">
        <v>20400</v>
      </c>
      <c r="K169" s="101"/>
      <c r="L169" s="34"/>
      <c r="M169" s="34"/>
    </row>
    <row r="170" spans="1:18" outlineLevel="1" x14ac:dyDescent="0.35"/>
    <row r="172" spans="1:18" ht="16" hidden="1" thickBot="1" x14ac:dyDescent="0.4">
      <c r="A172" s="2" t="s">
        <v>22</v>
      </c>
      <c r="B172" s="8">
        <f ca="1">MAX(B$3:B171)+0.1</f>
        <v>6.3999999999999986</v>
      </c>
      <c r="C172" s="25" t="s">
        <v>232</v>
      </c>
      <c r="D172" s="25"/>
      <c r="E172" s="25"/>
      <c r="F172" s="25"/>
      <c r="G172" s="25"/>
      <c r="H172" s="25"/>
      <c r="I172" s="25"/>
      <c r="J172" s="25"/>
      <c r="K172" s="25"/>
      <c r="L172" s="25"/>
      <c r="M172" s="25"/>
      <c r="N172" s="25"/>
      <c r="O172" s="25"/>
      <c r="P172" s="25"/>
      <c r="Q172" s="25"/>
      <c r="R172" s="25"/>
    </row>
    <row r="173" spans="1:18" hidden="1" outlineLevel="1" x14ac:dyDescent="0.35"/>
    <row r="174" spans="1:18" ht="15.5" hidden="1" outlineLevel="1" x14ac:dyDescent="0.35">
      <c r="G174" s="36" t="s">
        <v>92</v>
      </c>
      <c r="H174" s="3">
        <v>2022</v>
      </c>
      <c r="I174" s="3">
        <v>2022</v>
      </c>
    </row>
    <row r="175" spans="1:18" ht="15.5" hidden="1" outlineLevel="1" x14ac:dyDescent="0.35">
      <c r="G175" s="36" t="s">
        <v>93</v>
      </c>
      <c r="H175" s="37" t="str">
        <f>"VDO "&amp;H174&amp;" - "&amp;IF(LEFT(H177,1)="F","Final","Draft")</f>
        <v>VDO 2022 - Draft</v>
      </c>
      <c r="I175" s="37" t="str">
        <f>"VDO "&amp;I174&amp;" - "&amp;IF(LEFT(I177,1)="F","Final","Draft")</f>
        <v>VDO 2022 - Final</v>
      </c>
    </row>
    <row r="176" spans="1:18" hidden="1" outlineLevel="1" x14ac:dyDescent="0.35"/>
    <row r="177" spans="3:9" ht="15.5" hidden="1" outlineLevel="1" x14ac:dyDescent="0.35">
      <c r="C177" s="39" t="s">
        <v>41</v>
      </c>
      <c r="D177" s="39" t="s">
        <v>42</v>
      </c>
      <c r="E177" s="39" t="s">
        <v>94</v>
      </c>
      <c r="F177" s="39" t="s">
        <v>95</v>
      </c>
      <c r="G177" s="39" t="s">
        <v>87</v>
      </c>
      <c r="H177" s="47" t="s">
        <v>44</v>
      </c>
      <c r="I177" s="47" t="s">
        <v>45</v>
      </c>
    </row>
    <row r="178" spans="3:9" hidden="1" outlineLevel="1" x14ac:dyDescent="0.35">
      <c r="C178" s="54" t="s">
        <v>145</v>
      </c>
      <c r="D178" s="54" t="s">
        <v>148</v>
      </c>
      <c r="E178" s="54" t="s">
        <v>75</v>
      </c>
      <c r="F178" s="54" t="s">
        <v>221</v>
      </c>
      <c r="G178" s="21" t="s">
        <v>103</v>
      </c>
      <c r="H178" s="34">
        <v>35.75</v>
      </c>
      <c r="I178" s="41"/>
    </row>
    <row r="179" spans="3:9" hidden="1" outlineLevel="1" x14ac:dyDescent="0.35">
      <c r="C179" s="54" t="s">
        <v>145</v>
      </c>
      <c r="D179" s="54" t="s">
        <v>152</v>
      </c>
      <c r="E179" s="54" t="s">
        <v>75</v>
      </c>
      <c r="F179" s="54" t="s">
        <v>198</v>
      </c>
      <c r="G179" s="21" t="s">
        <v>103</v>
      </c>
      <c r="H179" s="52">
        <v>0.18540000000000001</v>
      </c>
      <c r="I179" s="41"/>
    </row>
    <row r="180" spans="3:9" hidden="1" outlineLevel="1" x14ac:dyDescent="0.35">
      <c r="C180" s="54" t="s">
        <v>145</v>
      </c>
      <c r="D180" s="54" t="s">
        <v>149</v>
      </c>
      <c r="E180" s="54" t="s">
        <v>75</v>
      </c>
      <c r="F180" s="54" t="s">
        <v>221</v>
      </c>
      <c r="G180" s="21" t="s">
        <v>103</v>
      </c>
      <c r="H180" s="58">
        <v>40</v>
      </c>
      <c r="I180" s="41"/>
    </row>
    <row r="181" spans="3:9" hidden="1" outlineLevel="1" x14ac:dyDescent="0.35">
      <c r="C181" s="54" t="s">
        <v>145</v>
      </c>
      <c r="D181" s="54" t="s">
        <v>153</v>
      </c>
      <c r="E181" s="54" t="s">
        <v>75</v>
      </c>
      <c r="F181" s="54" t="s">
        <v>198</v>
      </c>
      <c r="G181" s="21" t="s">
        <v>103</v>
      </c>
      <c r="H181" s="52">
        <v>0.28799999999999998</v>
      </c>
      <c r="I181" s="41"/>
    </row>
    <row r="182" spans="3:9" hidden="1" outlineLevel="1" x14ac:dyDescent="0.35">
      <c r="C182" s="54" t="s">
        <v>145</v>
      </c>
      <c r="D182" s="54" t="s">
        <v>146</v>
      </c>
      <c r="E182" s="54" t="s">
        <v>75</v>
      </c>
      <c r="F182" s="54" t="s">
        <v>221</v>
      </c>
      <c r="G182" s="21" t="s">
        <v>103</v>
      </c>
      <c r="H182" s="58">
        <v>32.379354863483861</v>
      </c>
      <c r="I182" s="41"/>
    </row>
    <row r="183" spans="3:9" hidden="1" outlineLevel="1" x14ac:dyDescent="0.35">
      <c r="C183" s="54" t="s">
        <v>145</v>
      </c>
      <c r="D183" s="54" t="s">
        <v>150</v>
      </c>
      <c r="E183" s="54" t="s">
        <v>75</v>
      </c>
      <c r="F183" s="54" t="s">
        <v>198</v>
      </c>
      <c r="G183" s="21" t="s">
        <v>103</v>
      </c>
      <c r="H183" s="52">
        <v>0.17255000000000001</v>
      </c>
      <c r="I183" s="41"/>
    </row>
    <row r="184" spans="3:9" hidden="1" outlineLevel="1" x14ac:dyDescent="0.35">
      <c r="C184" s="54" t="s">
        <v>145</v>
      </c>
      <c r="D184" s="54" t="s">
        <v>392</v>
      </c>
      <c r="E184" s="54" t="s">
        <v>75</v>
      </c>
      <c r="F184" s="54" t="s">
        <v>198</v>
      </c>
      <c r="G184" s="21" t="s">
        <v>103</v>
      </c>
      <c r="H184" s="104">
        <v>6.5500000000000003E-2</v>
      </c>
      <c r="I184" s="105"/>
    </row>
    <row r="185" spans="3:9" hidden="1" outlineLevel="1" x14ac:dyDescent="0.35"/>
    <row r="186" spans="3:9" hidden="1" collapsed="1" x14ac:dyDescent="0.35"/>
    <row r="187" spans="3:9" hidden="1" x14ac:dyDescent="0.35"/>
  </sheetData>
  <mergeCells count="1">
    <mergeCell ref="A2:A3"/>
  </mergeCells>
  <phoneticPr fontId="30" type="noConversion"/>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91387222-6A44-4153-A021-02393A24BC27}">
          <x14:formula1>
            <xm:f>'Lookup refs'!$C$8:$C$10</xm:f>
          </x14:formula1>
          <xm:sqref>E11:E123</xm:sqref>
        </x14:dataValidation>
        <x14:dataValidation type="list" allowBlank="1" showInputMessage="1" showErrorMessage="1" xr:uid="{6E9DAD93-16AF-4726-A2A9-3D3AE290FDD5}">
          <x14:formula1>
            <xm:f>'Lookup refs'!$E$8:$E$18</xm:f>
          </x14:formula1>
          <xm:sqref>F132:F149 F158:F169 F11:F123</xm:sqref>
        </x14:dataValidation>
        <x14:dataValidation type="list" allowBlank="1" showInputMessage="1" showErrorMessage="1" xr:uid="{DB7F5277-E0C5-4ABC-A2EC-0899E5776FE1}">
          <x14:formula1>
            <xm:f>'Lookup refs'!$G$8:$G$10</xm:f>
          </x14:formula1>
          <xm:sqref>G11:G123 G158:G169 G132:G149 G178:G184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sheetPr>
  <dimension ref="A1:Z15"/>
  <sheetViews>
    <sheetView showGridLines="0" topLeftCell="B1" zoomScaleNormal="100" workbookViewId="0">
      <pane ySplit="3" topLeftCell="A4" activePane="bottomLeft" state="frozen"/>
      <selection pane="bottomLeft" activeCell="D28" sqref="D28"/>
    </sheetView>
  </sheetViews>
  <sheetFormatPr defaultColWidth="9.1796875" defaultRowHeight="14.5" outlineLevelCol="1" x14ac:dyDescent="0.35"/>
  <cols>
    <col min="1" max="1" width="100.7265625" hidden="1" customWidth="1" outlineLevel="1"/>
    <col min="2" max="2" width="10.7265625" style="7" customWidth="1" collapsed="1"/>
    <col min="3" max="3" width="50.7265625" customWidth="1"/>
    <col min="4" max="26" width="25.7265625" customWidth="1"/>
  </cols>
  <sheetData>
    <row r="1" spans="1:26" ht="15" customHeight="1" x14ac:dyDescent="0.35">
      <c r="A1" s="2" t="s">
        <v>19</v>
      </c>
      <c r="B1" s="19"/>
      <c r="C1" s="20"/>
      <c r="D1" s="20"/>
      <c r="E1" s="20"/>
      <c r="F1" s="20"/>
      <c r="G1" s="20"/>
      <c r="H1" s="20"/>
      <c r="I1" s="20"/>
      <c r="J1" s="20"/>
      <c r="K1" s="20"/>
      <c r="L1" s="20"/>
      <c r="M1" s="20"/>
      <c r="N1" s="20"/>
      <c r="O1" s="20"/>
      <c r="P1" s="20"/>
      <c r="Q1" s="20"/>
      <c r="R1" s="20"/>
      <c r="S1" s="20"/>
      <c r="T1" s="20"/>
      <c r="U1" s="20"/>
      <c r="V1" s="20"/>
      <c r="W1" s="20"/>
      <c r="X1" s="20"/>
      <c r="Y1" s="20"/>
      <c r="Z1" s="20"/>
    </row>
    <row r="2" spans="1:26" s="5" customFormat="1" ht="50.15" customHeight="1" x14ac:dyDescent="0.35">
      <c r="A2" s="110" t="s">
        <v>20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5" customFormat="1" ht="30" customHeight="1" x14ac:dyDescent="0.35">
      <c r="A3" s="111"/>
      <c r="B3" s="24">
        <f ca="1">_xlfn.SHEET()</f>
        <v>7</v>
      </c>
      <c r="C3" s="23" t="s">
        <v>233</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2" t="s">
        <v>22</v>
      </c>
      <c r="B5" s="8">
        <f ca="1">MAX(B$3:B4)+0.1</f>
        <v>7.1</v>
      </c>
      <c r="C5" s="25" t="s">
        <v>234</v>
      </c>
      <c r="D5" s="25"/>
      <c r="E5" s="25"/>
    </row>
    <row r="7" spans="1:26" x14ac:dyDescent="0.35">
      <c r="C7" t="s">
        <v>235</v>
      </c>
      <c r="D7" s="3">
        <v>365</v>
      </c>
      <c r="E7" s="15" t="s">
        <v>236</v>
      </c>
    </row>
    <row r="8" spans="1:26" x14ac:dyDescent="0.35">
      <c r="C8" t="s">
        <v>237</v>
      </c>
      <c r="D8" s="3">
        <v>12</v>
      </c>
      <c r="E8" s="15" t="s">
        <v>238</v>
      </c>
    </row>
    <row r="9" spans="1:26" x14ac:dyDescent="0.35">
      <c r="C9" t="s">
        <v>239</v>
      </c>
      <c r="D9" s="3">
        <v>3</v>
      </c>
      <c r="E9" s="15" t="s">
        <v>240</v>
      </c>
    </row>
    <row r="10" spans="1:26" x14ac:dyDescent="0.35">
      <c r="C10" t="s">
        <v>241</v>
      </c>
      <c r="D10" s="3">
        <v>52</v>
      </c>
      <c r="E10" s="15" t="s">
        <v>242</v>
      </c>
    </row>
    <row r="12" spans="1:26" x14ac:dyDescent="0.35">
      <c r="C12" s="9" t="s">
        <v>243</v>
      </c>
      <c r="D12" s="14" t="s">
        <v>244</v>
      </c>
      <c r="E12" s="15" t="s">
        <v>245</v>
      </c>
    </row>
    <row r="13" spans="1:26" x14ac:dyDescent="0.35">
      <c r="C13" s="9" t="s">
        <v>246</v>
      </c>
      <c r="D13" s="3">
        <v>6</v>
      </c>
      <c r="E13" s="31" t="s">
        <v>247</v>
      </c>
    </row>
    <row r="15" spans="1:26" x14ac:dyDescent="0.35">
      <c r="C15" t="s">
        <v>248</v>
      </c>
      <c r="D15" s="59">
        <v>0.1</v>
      </c>
      <c r="E15" s="15" t="s">
        <v>249</v>
      </c>
    </row>
  </sheetData>
  <mergeCells count="1">
    <mergeCell ref="A2:A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rgb="FFD3DFE9"/>
  </sheetPr>
  <dimension ref="A1:Z61"/>
  <sheetViews>
    <sheetView showGridLines="0" topLeftCell="B1" zoomScale="85" zoomScaleNormal="85" workbookViewId="0">
      <pane ySplit="3" topLeftCell="A4" activePane="bottomLeft" state="frozen"/>
      <selection pane="bottomLeft" activeCell="F28" sqref="F28"/>
    </sheetView>
  </sheetViews>
  <sheetFormatPr defaultColWidth="9.1796875" defaultRowHeight="14.5" outlineLevelCol="1" x14ac:dyDescent="0.35"/>
  <cols>
    <col min="1" max="1" width="100.7265625" hidden="1" customWidth="1" outlineLevel="1"/>
    <col min="2" max="2" width="10.7265625" style="7" customWidth="1" collapsed="1"/>
    <col min="3" max="26" width="25.7265625" customWidth="1"/>
  </cols>
  <sheetData>
    <row r="1" spans="1:26" ht="15" customHeight="1" x14ac:dyDescent="0.35">
      <c r="A1" s="2" t="s">
        <v>19</v>
      </c>
      <c r="B1" s="19"/>
      <c r="C1" s="20"/>
      <c r="D1" s="20"/>
      <c r="E1" s="20"/>
      <c r="F1" s="20"/>
      <c r="G1" s="20"/>
      <c r="H1" s="20"/>
      <c r="I1" s="20"/>
      <c r="J1" s="20"/>
      <c r="K1" s="20"/>
      <c r="L1" s="20"/>
      <c r="M1" s="20"/>
      <c r="N1" s="20"/>
      <c r="O1" s="20"/>
      <c r="P1" s="20"/>
      <c r="Q1" s="20"/>
      <c r="R1" s="20"/>
      <c r="S1" s="20"/>
      <c r="T1" s="20"/>
      <c r="U1" s="20"/>
      <c r="V1" s="20"/>
      <c r="W1" s="20"/>
      <c r="X1" s="20"/>
      <c r="Y1" s="20"/>
      <c r="Z1" s="20"/>
    </row>
    <row r="2" spans="1:26" s="5" customFormat="1" ht="50.15" customHeight="1" x14ac:dyDescent="0.35">
      <c r="A2" s="110" t="s">
        <v>250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5" customFormat="1" ht="30" customHeight="1" x14ac:dyDescent="0.35">
      <c r="A3" s="111"/>
      <c r="B3" s="24">
        <f ca="1">_xlfn.SHEET()</f>
        <v>8</v>
      </c>
      <c r="C3" s="23" t="s">
        <v>251</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2" t="s">
        <v>22</v>
      </c>
      <c r="B5" s="8">
        <f ca="1">MAX(B$3:B4)+0.1</f>
        <v>8.1</v>
      </c>
      <c r="C5" s="25" t="s">
        <v>252</v>
      </c>
      <c r="D5" s="25"/>
      <c r="E5" s="25"/>
    </row>
    <row r="7" spans="1:26" ht="15.5" x14ac:dyDescent="0.35">
      <c r="C7" s="39" t="s">
        <v>253</v>
      </c>
      <c r="D7" s="44" t="s">
        <v>254</v>
      </c>
      <c r="E7" s="45" t="s">
        <v>255</v>
      </c>
    </row>
    <row r="8" spans="1:26" x14ac:dyDescent="0.35">
      <c r="C8" s="21" t="s">
        <v>256</v>
      </c>
      <c r="D8" s="46">
        <v>43465</v>
      </c>
      <c r="E8" s="64">
        <f>IFERROR(INDEX(CPI[Indice],MATCH(D8,CPI[Period],0),1),"-")</f>
        <v>114.1</v>
      </c>
    </row>
    <row r="9" spans="1:26" x14ac:dyDescent="0.35">
      <c r="C9" s="21" t="s">
        <v>257</v>
      </c>
      <c r="D9" s="46">
        <v>43738</v>
      </c>
      <c r="E9" s="64">
        <f>IFERROR(INDEX(CPI[Indice],MATCH(D9,CPI[Period],0),1),"-")</f>
        <v>115.4</v>
      </c>
    </row>
    <row r="10" spans="1:26" x14ac:dyDescent="0.35">
      <c r="C10" s="21" t="s">
        <v>258</v>
      </c>
      <c r="D10" s="46">
        <v>44012</v>
      </c>
      <c r="E10" s="64">
        <f>IFERROR(INDEX(CPI[Indice],MATCH(D10,CPI[Period],0),1),"-")</f>
        <v>114.4</v>
      </c>
    </row>
    <row r="11" spans="1:26" x14ac:dyDescent="0.35">
      <c r="C11" s="21" t="s">
        <v>259</v>
      </c>
      <c r="D11" s="46">
        <v>44104</v>
      </c>
      <c r="E11" s="64">
        <f>IFERROR(INDEX(CPI[Indice],MATCH(D11,CPI[Period],0),1),"-")</f>
        <v>116.2</v>
      </c>
    </row>
    <row r="12" spans="1:26" x14ac:dyDescent="0.35">
      <c r="C12" s="21" t="s">
        <v>359</v>
      </c>
      <c r="D12" s="46">
        <v>44104</v>
      </c>
      <c r="E12" s="64">
        <f>IFERROR(INDEX(CPI[Indice],MATCH(D12,CPI[Period],0),1),"-")</f>
        <v>116.2</v>
      </c>
    </row>
    <row r="13" spans="1:26" x14ac:dyDescent="0.35">
      <c r="C13" s="21" t="s">
        <v>384</v>
      </c>
      <c r="D13" s="46">
        <v>44104</v>
      </c>
      <c r="E13" s="64">
        <f>IFERROR(INDEX(CPI[Indice],MATCH(D13,CPI[Period],0),1),"-")</f>
        <v>116.2</v>
      </c>
    </row>
    <row r="14" spans="1:26" x14ac:dyDescent="0.35">
      <c r="C14" s="21" t="s">
        <v>260</v>
      </c>
      <c r="D14" s="46">
        <v>44377</v>
      </c>
      <c r="E14" s="64">
        <f>IFERROR(INDEX(CPI[Indice],MATCH(D14,CPI[Period],0),1),"-")</f>
        <v>0</v>
      </c>
    </row>
    <row r="15" spans="1:26" x14ac:dyDescent="0.35">
      <c r="C15" s="21" t="s">
        <v>261</v>
      </c>
      <c r="D15" s="46">
        <v>44469</v>
      </c>
      <c r="E15" s="64">
        <f>IFERROR(INDEX(CPI[Indice],MATCH(D15,CPI[Period],0),1),"-")</f>
        <v>0</v>
      </c>
    </row>
    <row r="18" spans="1:5" ht="16" thickBot="1" x14ac:dyDescent="0.4">
      <c r="A18" s="2" t="s">
        <v>22</v>
      </c>
      <c r="B18" s="8">
        <f ca="1">MAX(B$3:B17)+0.1</f>
        <v>8.1999999999999993</v>
      </c>
      <c r="C18" s="25" t="s">
        <v>262</v>
      </c>
      <c r="D18" s="25"/>
      <c r="E18" s="25"/>
    </row>
    <row r="20" spans="1:5" ht="15.5" x14ac:dyDescent="0.35">
      <c r="C20" s="26" t="s">
        <v>263</v>
      </c>
    </row>
    <row r="21" spans="1:5" ht="15.5" x14ac:dyDescent="0.35">
      <c r="C21" s="26" t="s">
        <v>264</v>
      </c>
    </row>
    <row r="23" spans="1:5" ht="15.5" x14ac:dyDescent="0.35">
      <c r="C23" s="39" t="s">
        <v>265</v>
      </c>
      <c r="D23" s="45" t="s">
        <v>255</v>
      </c>
    </row>
    <row r="24" spans="1:5" x14ac:dyDescent="0.35">
      <c r="C24" s="42">
        <v>41090</v>
      </c>
      <c r="D24" s="43">
        <v>100.4</v>
      </c>
    </row>
    <row r="25" spans="1:5" x14ac:dyDescent="0.35">
      <c r="C25" s="42">
        <v>41182</v>
      </c>
      <c r="D25" s="43">
        <v>101.8</v>
      </c>
    </row>
    <row r="26" spans="1:5" x14ac:dyDescent="0.35">
      <c r="C26" s="42">
        <v>41274</v>
      </c>
      <c r="D26" s="43">
        <v>102</v>
      </c>
    </row>
    <row r="27" spans="1:5" x14ac:dyDescent="0.35">
      <c r="C27" s="42">
        <v>41364</v>
      </c>
      <c r="D27" s="43">
        <v>102.4</v>
      </c>
    </row>
    <row r="28" spans="1:5" x14ac:dyDescent="0.35">
      <c r="C28" s="42">
        <v>41455</v>
      </c>
      <c r="D28" s="43">
        <v>102.8</v>
      </c>
    </row>
    <row r="29" spans="1:5" x14ac:dyDescent="0.35">
      <c r="C29" s="42">
        <v>41547</v>
      </c>
      <c r="D29" s="43">
        <v>104</v>
      </c>
    </row>
    <row r="30" spans="1:5" x14ac:dyDescent="0.35">
      <c r="C30" s="42">
        <v>41639</v>
      </c>
      <c r="D30" s="43">
        <v>104.8</v>
      </c>
    </row>
    <row r="31" spans="1:5" x14ac:dyDescent="0.35">
      <c r="C31" s="42">
        <v>41729</v>
      </c>
      <c r="D31" s="43">
        <v>105.4</v>
      </c>
    </row>
    <row r="32" spans="1:5" x14ac:dyDescent="0.35">
      <c r="C32" s="42">
        <v>41820</v>
      </c>
      <c r="D32" s="43">
        <v>105.9</v>
      </c>
    </row>
    <row r="33" spans="3:4" x14ac:dyDescent="0.35">
      <c r="C33" s="42">
        <v>41912</v>
      </c>
      <c r="D33" s="43">
        <v>106.4</v>
      </c>
    </row>
    <row r="34" spans="3:4" x14ac:dyDescent="0.35">
      <c r="C34" s="42">
        <v>42004</v>
      </c>
      <c r="D34" s="43">
        <v>106.6</v>
      </c>
    </row>
    <row r="35" spans="3:4" x14ac:dyDescent="0.35">
      <c r="C35" s="42">
        <v>42094</v>
      </c>
      <c r="D35" s="43">
        <v>106.8</v>
      </c>
    </row>
    <row r="36" spans="3:4" x14ac:dyDescent="0.35">
      <c r="C36" s="42">
        <v>42185</v>
      </c>
      <c r="D36" s="43">
        <v>107.5</v>
      </c>
    </row>
    <row r="37" spans="3:4" x14ac:dyDescent="0.35">
      <c r="C37" s="42">
        <v>42277</v>
      </c>
      <c r="D37" s="43">
        <v>108</v>
      </c>
    </row>
    <row r="38" spans="3:4" x14ac:dyDescent="0.35">
      <c r="C38" s="42">
        <v>42369</v>
      </c>
      <c r="D38" s="43">
        <v>108.4</v>
      </c>
    </row>
    <row r="39" spans="3:4" x14ac:dyDescent="0.35">
      <c r="C39" s="42">
        <v>42460</v>
      </c>
      <c r="D39" s="43">
        <v>108.2</v>
      </c>
    </row>
    <row r="40" spans="3:4" x14ac:dyDescent="0.35">
      <c r="C40" s="42">
        <v>42551</v>
      </c>
      <c r="D40" s="43">
        <v>108.6</v>
      </c>
    </row>
    <row r="41" spans="3:4" x14ac:dyDescent="0.35">
      <c r="C41" s="42">
        <v>42643</v>
      </c>
      <c r="D41" s="43">
        <v>109.4</v>
      </c>
    </row>
    <row r="42" spans="3:4" x14ac:dyDescent="0.35">
      <c r="C42" s="42">
        <v>42735</v>
      </c>
      <c r="D42" s="43">
        <v>110</v>
      </c>
    </row>
    <row r="43" spans="3:4" x14ac:dyDescent="0.35">
      <c r="C43" s="42">
        <v>42825</v>
      </c>
      <c r="D43" s="43">
        <v>110.5</v>
      </c>
    </row>
    <row r="44" spans="3:4" x14ac:dyDescent="0.35">
      <c r="C44" s="42">
        <v>42916</v>
      </c>
      <c r="D44" s="43">
        <v>110.7</v>
      </c>
    </row>
    <row r="45" spans="3:4" x14ac:dyDescent="0.35">
      <c r="C45" s="42">
        <v>43008</v>
      </c>
      <c r="D45" s="43">
        <v>111.4</v>
      </c>
    </row>
    <row r="46" spans="3:4" x14ac:dyDescent="0.35">
      <c r="C46" s="42">
        <v>43100</v>
      </c>
      <c r="D46" s="43">
        <v>112.1</v>
      </c>
    </row>
    <row r="47" spans="3:4" x14ac:dyDescent="0.35">
      <c r="C47" s="42">
        <v>43190</v>
      </c>
      <c r="D47" s="43">
        <v>112.6</v>
      </c>
    </row>
    <row r="48" spans="3:4" x14ac:dyDescent="0.35">
      <c r="C48" s="42">
        <v>43281</v>
      </c>
      <c r="D48" s="43">
        <v>113</v>
      </c>
    </row>
    <row r="49" spans="3:4" x14ac:dyDescent="0.35">
      <c r="C49" s="42">
        <v>43373</v>
      </c>
      <c r="D49" s="43">
        <v>113.5</v>
      </c>
    </row>
    <row r="50" spans="3:4" x14ac:dyDescent="0.35">
      <c r="C50" s="42">
        <v>43465</v>
      </c>
      <c r="D50" s="43">
        <v>114.1</v>
      </c>
    </row>
    <row r="51" spans="3:4" x14ac:dyDescent="0.35">
      <c r="C51" s="42">
        <v>43555</v>
      </c>
      <c r="D51" s="43">
        <v>114.1</v>
      </c>
    </row>
    <row r="52" spans="3:4" x14ac:dyDescent="0.35">
      <c r="C52" s="42">
        <v>43646</v>
      </c>
      <c r="D52" s="43">
        <v>114.8</v>
      </c>
    </row>
    <row r="53" spans="3:4" x14ac:dyDescent="0.35">
      <c r="C53" s="42">
        <v>43738</v>
      </c>
      <c r="D53" s="43">
        <v>115.4</v>
      </c>
    </row>
    <row r="54" spans="3:4" x14ac:dyDescent="0.35">
      <c r="C54" s="42">
        <v>43830</v>
      </c>
      <c r="D54" s="43">
        <v>116.2</v>
      </c>
    </row>
    <row r="55" spans="3:4" x14ac:dyDescent="0.35">
      <c r="C55" s="42">
        <v>43921</v>
      </c>
      <c r="D55" s="43">
        <v>116.6</v>
      </c>
    </row>
    <row r="56" spans="3:4" x14ac:dyDescent="0.35">
      <c r="C56" s="42">
        <v>44012</v>
      </c>
      <c r="D56" s="43">
        <v>114.4</v>
      </c>
    </row>
    <row r="57" spans="3:4" x14ac:dyDescent="0.35">
      <c r="C57" s="42">
        <v>44104</v>
      </c>
      <c r="D57" s="43">
        <v>116.2</v>
      </c>
    </row>
    <row r="58" spans="3:4" x14ac:dyDescent="0.35">
      <c r="C58" s="42">
        <v>44196</v>
      </c>
      <c r="D58" s="43">
        <v>117.2</v>
      </c>
    </row>
    <row r="59" spans="3:4" x14ac:dyDescent="0.35">
      <c r="C59" s="87">
        <v>44286</v>
      </c>
      <c r="D59" s="43">
        <v>117.9</v>
      </c>
    </row>
    <row r="60" spans="3:4" x14ac:dyDescent="0.35">
      <c r="C60" s="87">
        <v>44377</v>
      </c>
      <c r="D60" s="43"/>
    </row>
    <row r="61" spans="3:4" x14ac:dyDescent="0.35">
      <c r="C61" s="87">
        <v>44469</v>
      </c>
      <c r="D61" s="43"/>
    </row>
  </sheetData>
  <mergeCells count="1">
    <mergeCell ref="A2:A3"/>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sheetPr>
  <dimension ref="A1:N479"/>
  <sheetViews>
    <sheetView showGridLines="0" topLeftCell="B1" zoomScale="85" zoomScaleNormal="85" workbookViewId="0">
      <pane ySplit="3" topLeftCell="A4" activePane="bottomLeft" state="frozen"/>
      <selection pane="bottomLeft" activeCell="M12" sqref="M12"/>
    </sheetView>
  </sheetViews>
  <sheetFormatPr defaultColWidth="9.1796875" defaultRowHeight="14.5" outlineLevelRow="2" outlineLevelCol="1" x14ac:dyDescent="0.35"/>
  <cols>
    <col min="1" max="1" width="100.7265625" hidden="1" customWidth="1" outlineLevel="1" collapsed="1"/>
    <col min="2" max="2" width="10.7265625" style="7" customWidth="1" collapsed="1"/>
    <col min="3" max="3" width="50.7265625" customWidth="1"/>
    <col min="4" max="11" width="20.7265625" customWidth="1"/>
  </cols>
  <sheetData>
    <row r="1" spans="1:11" ht="15" customHeight="1" x14ac:dyDescent="0.35">
      <c r="A1" s="2" t="s">
        <v>19</v>
      </c>
      <c r="B1" s="19"/>
      <c r="C1" s="20"/>
      <c r="D1" s="96" t="s">
        <v>266</v>
      </c>
      <c r="E1" s="83"/>
      <c r="F1" s="20"/>
      <c r="G1" s="20"/>
      <c r="H1" s="20"/>
      <c r="I1" s="20"/>
      <c r="J1" s="20"/>
      <c r="K1" s="20"/>
    </row>
    <row r="2" spans="1:11" s="5" customFormat="1" ht="50.15" customHeight="1" x14ac:dyDescent="0.35">
      <c r="A2" s="110" t="s">
        <v>20</v>
      </c>
      <c r="B2" s="22"/>
      <c r="C2" s="22" t="str">
        <f>Disclaimer!$B$1</f>
        <v>VDO calculation model</v>
      </c>
      <c r="D2" s="107" t="str">
        <f>$D$5</f>
        <v>VDO 2021 - Final</v>
      </c>
      <c r="E2" s="107" t="str">
        <f>$D$244</f>
        <v>VDO 2021 - Variation draft</v>
      </c>
      <c r="F2" s="22"/>
      <c r="G2" s="22"/>
      <c r="H2" s="22"/>
      <c r="I2" s="22"/>
      <c r="J2" s="22"/>
      <c r="K2" s="22"/>
    </row>
    <row r="3" spans="1:11" s="5" customFormat="1" ht="30" customHeight="1" x14ac:dyDescent="0.35">
      <c r="A3" s="111"/>
      <c r="B3" s="24">
        <f ca="1">_xlfn.SHEET()</f>
        <v>9</v>
      </c>
      <c r="C3" s="23" t="s">
        <v>267</v>
      </c>
      <c r="D3" s="82">
        <f>SUM($G$23:$K$23,$G$48:$K$48,$G$65:$K$65,$G$72:$K$72,$G$79:$K$79,$G$86:$K$86,$G$100:$K$100,$G$108:$K$108,$G$115:$K$115,$G$122:$K$122,$G$129:$K$129,$G$136:$K$136,$G$93:$K$93)</f>
        <v>0</v>
      </c>
      <c r="E3" s="82">
        <f>SUM($G$262:$K$262,$G$287:$K$287,$G$304:$K$304,$G$311:$K$311,$G$318:$K$318,$G$325:$K$325,$G$332:$K$332,$G$339:$K$339,$G$347:$K$347,$G$354:$K$354,$G$361:$K$361,$G$368:$K$368,$G$375:$K$375)</f>
        <v>0</v>
      </c>
      <c r="F3" s="23"/>
      <c r="G3" s="23"/>
      <c r="H3" s="23"/>
      <c r="I3" s="23"/>
      <c r="J3" s="23"/>
      <c r="K3" s="23"/>
    </row>
    <row r="4" spans="1:11" x14ac:dyDescent="0.35">
      <c r="B4"/>
    </row>
    <row r="5" spans="1:11" ht="15.5" x14ac:dyDescent="0.35">
      <c r="B5"/>
      <c r="C5" s="51" t="s">
        <v>93</v>
      </c>
      <c r="D5" s="84" t="s">
        <v>259</v>
      </c>
    </row>
    <row r="6" spans="1:11" outlineLevel="1" x14ac:dyDescent="0.35">
      <c r="B6"/>
    </row>
    <row r="7" spans="1:11" ht="16" outlineLevel="1" thickBot="1" x14ac:dyDescent="0.4">
      <c r="A7" s="2" t="s">
        <v>22</v>
      </c>
      <c r="B7" s="8">
        <f ca="1">MAX(B$3:B6)+0.1</f>
        <v>9.1</v>
      </c>
      <c r="C7" s="25" t="s">
        <v>268</v>
      </c>
      <c r="D7" s="25"/>
      <c r="E7" s="25"/>
      <c r="F7" s="25"/>
      <c r="G7" s="25"/>
      <c r="H7" s="25"/>
      <c r="I7" s="25"/>
      <c r="J7" s="25"/>
      <c r="K7" s="25"/>
    </row>
    <row r="8" spans="1:11" outlineLevel="1" x14ac:dyDescent="0.35">
      <c r="B8"/>
      <c r="I8" s="75"/>
    </row>
    <row r="9" spans="1:11" ht="15.5" outlineLevel="2" x14ac:dyDescent="0.35">
      <c r="B9"/>
      <c r="C9" s="39" t="s">
        <v>269</v>
      </c>
      <c r="D9" s="39" t="s">
        <v>94</v>
      </c>
      <c r="E9" s="39" t="s">
        <v>95</v>
      </c>
      <c r="F9" s="39" t="s">
        <v>87</v>
      </c>
      <c r="G9" s="55" t="s">
        <v>270</v>
      </c>
      <c r="H9" s="55" t="s">
        <v>271</v>
      </c>
      <c r="I9" s="55" t="s">
        <v>272</v>
      </c>
      <c r="J9" s="55" t="s">
        <v>273</v>
      </c>
      <c r="K9" s="55" t="s">
        <v>274</v>
      </c>
    </row>
    <row r="10" spans="1:11" outlineLevel="2" x14ac:dyDescent="0.35">
      <c r="B10"/>
      <c r="C10" s="21" t="s">
        <v>99</v>
      </c>
      <c r="D10" s="21" t="s">
        <v>101</v>
      </c>
      <c r="E10" s="21" t="s">
        <v>102</v>
      </c>
      <c r="F10" s="21" t="s">
        <v>103</v>
      </c>
      <c r="G10" s="62">
        <f>SUMIFS(Calc_Retail_1[Ausnet],Calc_Retail_1[[Fixed/Variable]:[Fixed/Variable]],$D10,Calc_Retail_1[[Customer type]:[Customer type]],$F10)</f>
        <v>181.75878095302619</v>
      </c>
      <c r="H10" s="62">
        <f>SUMIFS(Calc_Retail_1[Citipower],Calc_Retail_1[[Fixed/Variable]:[Fixed/Variable]],$D10,Calc_Retail_1[[Customer type]:[Customer type]],$F10)</f>
        <v>181.75878095302619</v>
      </c>
      <c r="I10" s="62">
        <f>SUMIFS(Calc_Retail_1[Jemena],Calc_Retail_1[[Fixed/Variable]:[Fixed/Variable]],$D10,Calc_Retail_1[[Customer type]:[Customer type]],$F10)</f>
        <v>181.75878095302619</v>
      </c>
      <c r="J10" s="62">
        <f>SUMIFS(Calc_Retail_1[Powercor],Calc_Retail_1[[Fixed/Variable]:[Fixed/Variable]],$D10,Calc_Retail_1[[Customer type]:[Customer type]],$F10)</f>
        <v>181.75878095302619</v>
      </c>
      <c r="K10" s="62">
        <f>SUMIFS(Calc_Retail_1[United Energy],Calc_Retail_1[[Fixed/Variable]:[Fixed/Variable]],$D10,Calc_Retail_1[[Customer type]:[Customer type]],$F10)</f>
        <v>181.75878095302619</v>
      </c>
    </row>
    <row r="11" spans="1:11" outlineLevel="2" x14ac:dyDescent="0.35">
      <c r="B11"/>
      <c r="C11" s="21" t="s">
        <v>275</v>
      </c>
      <c r="D11" s="21" t="s">
        <v>101</v>
      </c>
      <c r="E11" s="21" t="s">
        <v>102</v>
      </c>
      <c r="F11" s="21" t="s">
        <v>103</v>
      </c>
      <c r="G11" s="66">
        <f>SUMIFS(Calc_OtherCosts_1[Ausnet],Calc_OtherCosts_1[[Fixed/Variable]:[Fixed/Variable]],$D11,Calc_OtherCosts_1[[Customer type]:[Customer type]],$F11)</f>
        <v>6.126692642408659</v>
      </c>
      <c r="H11" s="62">
        <f>SUMIFS(Calc_OtherCosts_1[Citipower],Calc_OtherCosts_1[[Fixed/Variable]:[Fixed/Variable]],$D11,Calc_OtherCosts_1[[Customer type]:[Customer type]],$F11)</f>
        <v>6.126692642408659</v>
      </c>
      <c r="I11" s="62">
        <f>SUMIFS(Calc_OtherCosts_1[Jemena],Calc_OtherCosts_1[[Fixed/Variable]:[Fixed/Variable]],$D11,Calc_OtherCosts_1[[Customer type]:[Customer type]],$F11)</f>
        <v>6.126692642408659</v>
      </c>
      <c r="J11" s="62">
        <f>SUMIFS(Calc_OtherCosts_1[Powercor],Calc_OtherCosts_1[[Fixed/Variable]:[Fixed/Variable]],$D11,Calc_OtherCosts_1[[Customer type]:[Customer type]],$F11)</f>
        <v>6.126692642408659</v>
      </c>
      <c r="K11" s="62">
        <f>SUMIFS(Calc_OtherCosts_1[United Energy],Calc_OtherCosts_1[[Fixed/Variable]:[Fixed/Variable]],$D11,Calc_OtherCosts_1[[Customer type]:[Customer type]],$F11)</f>
        <v>6.126692642408659</v>
      </c>
    </row>
    <row r="12" spans="1:11" outlineLevel="2" x14ac:dyDescent="0.35">
      <c r="B12"/>
      <c r="C12" s="21" t="s">
        <v>276</v>
      </c>
      <c r="D12" s="21" t="s">
        <v>101</v>
      </c>
      <c r="E12" s="21" t="s">
        <v>102</v>
      </c>
      <c r="F12" s="21" t="s">
        <v>103</v>
      </c>
      <c r="G12" s="62">
        <f>SUMIFS(Calc_FiT_1[Ausnet],Calc_FiT_1[[Fixed/Variable]:[Fixed/Variable]],$D12,Calc_FiT_1[[Customer type]:[Customer type]],$F12)</f>
        <v>10.849248189087444</v>
      </c>
      <c r="H12" s="62">
        <f>SUMIFS(Calc_FiT_1[Citipower],Calc_FiT_1[[Fixed/Variable]:[Fixed/Variable]],$D12,Calc_FiT_1[[Customer type]:[Customer type]],$F12)</f>
        <v>10.849248189087444</v>
      </c>
      <c r="I12" s="62">
        <f>SUMIFS(Calc_FiT_1[Jemena],Calc_FiT_1[[Fixed/Variable]:[Fixed/Variable]],$D12,Calc_FiT_1[[Customer type]:[Customer type]],$F12)</f>
        <v>10.849248189087444</v>
      </c>
      <c r="J12" s="62">
        <f>SUMIFS(Calc_FiT_1[Powercor],Calc_FiT_1[[Fixed/Variable]:[Fixed/Variable]],$D12,Calc_FiT_1[[Customer type]:[Customer type]],$F12)</f>
        <v>10.849248189087444</v>
      </c>
      <c r="K12" s="62">
        <f>SUMIFS(Calc_FiT_1[United Energy],Calc_FiT_1[[Fixed/Variable]:[Fixed/Variable]],$D12,Calc_FiT_1[[Customer type]:[Customer type]],$F12)</f>
        <v>10.849248189087444</v>
      </c>
    </row>
    <row r="13" spans="1:11" outlineLevel="2" x14ac:dyDescent="0.35">
      <c r="B13"/>
      <c r="C13" s="21" t="s">
        <v>277</v>
      </c>
      <c r="D13" s="21" t="s">
        <v>101</v>
      </c>
      <c r="E13" s="21" t="s">
        <v>102</v>
      </c>
      <c r="F13" s="21" t="s">
        <v>103</v>
      </c>
      <c r="G13" s="62">
        <f>SUMIFS(Calc_NetworkF_1[Ausnet],Calc_NetworkF_1[[Fixed/Variable]:[Fixed/Variable]],$D13,Calc_NetworkF_1[[Customer type]:[Customer type]],$F13)</f>
        <v>59.6</v>
      </c>
      <c r="H13" s="62">
        <f>SUMIFS(Calc_NetworkF_1[Citipower],Calc_NetworkF_1[[Fixed/Variable]:[Fixed/Variable]],$D13,Calc_NetworkF_1[[Customer type]:[Customer type]],$F13)</f>
        <v>65.8</v>
      </c>
      <c r="I13" s="62">
        <f>SUMIFS(Calc_NetworkF_1[Jemena],Calc_NetworkF_1[[Fixed/Variable]:[Fixed/Variable]],$D13,Calc_NetworkF_1[[Customer type]:[Customer type]],$F13)</f>
        <v>66.28</v>
      </c>
      <c r="J13" s="62">
        <f>SUMIFS(Calc_NetworkF_1[Powercor],Calc_NetworkF_1[[Fixed/Variable]:[Fixed/Variable]],$D13,Calc_NetworkF_1[[Customer type]:[Customer type]],$F13)</f>
        <v>65.5</v>
      </c>
      <c r="K13" s="62">
        <f>SUMIFS(Calc_NetworkF_1[United Energy],Calc_NetworkF_1[[Fixed/Variable]:[Fixed/Variable]],$D13,Calc_NetworkF_1[[Customer type]:[Customer type]],$F13)</f>
        <v>48.82</v>
      </c>
    </row>
    <row r="14" spans="1:11" outlineLevel="2" x14ac:dyDescent="0.35">
      <c r="B14"/>
    </row>
    <row r="15" spans="1:11" ht="15.5" outlineLevel="2" x14ac:dyDescent="0.35">
      <c r="B15"/>
      <c r="C15" s="26" t="s">
        <v>278</v>
      </c>
    </row>
    <row r="16" spans="1:11" ht="15.5" outlineLevel="2" x14ac:dyDescent="0.35">
      <c r="B16"/>
      <c r="C16" s="69" t="s">
        <v>380</v>
      </c>
    </row>
    <row r="17" spans="2:11" outlineLevel="2" x14ac:dyDescent="0.35">
      <c r="B17"/>
      <c r="C17" s="21" t="s">
        <v>289</v>
      </c>
      <c r="D17" s="21" t="s">
        <v>9</v>
      </c>
      <c r="E17" s="21" t="s">
        <v>102</v>
      </c>
      <c r="F17" s="21" t="s">
        <v>88</v>
      </c>
      <c r="G17" s="56">
        <f>SUMIFS(Calc_NetworkF_1[Ausnet],Calc_NetworkF_1[[Cost item]:[Cost item]],$C16,Calc_NetworkF_1[[Customer type]:[Customer type]],$F17)</f>
        <v>106</v>
      </c>
      <c r="H17" s="56">
        <f>SUMIFS(Calc_NetworkF_1[Citipower],Calc_NetworkF_1[[Cost item]:[Cost item]],$C16,Calc_NetworkF_1[[Customer type]:[Customer type]],$F17)</f>
        <v>90</v>
      </c>
      <c r="I17" s="56">
        <f>SUMIFS(Calc_NetworkF_1[Jemena],Calc_NetworkF_1[[Cost item]:[Cost item]],$C16,Calc_NetworkF_1[[Customer type]:[Customer type]],$F17)</f>
        <v>69.03</v>
      </c>
      <c r="J17" s="56">
        <f>SUMIFS(Calc_NetworkF_1[Powercor],Calc_NetworkF_1[[Cost item]:[Cost item]],$C16,Calc_NetworkF_1[[Customer type]:[Customer type]],$F17)</f>
        <v>140</v>
      </c>
      <c r="K17" s="56">
        <f>SUMIFS(Calc_NetworkF_1[United Energy],Calc_NetworkF_1[[Cost item]:[Cost item]],$C16,Calc_NetworkF_1[[Customer type]:[Customer type]],$F17)</f>
        <v>59.859999999999992</v>
      </c>
    </row>
    <row r="18" spans="2:11" outlineLevel="2" x14ac:dyDescent="0.35">
      <c r="B18"/>
      <c r="C18" s="21" t="s">
        <v>269</v>
      </c>
      <c r="D18" s="21" t="s">
        <v>9</v>
      </c>
      <c r="E18" s="21" t="s">
        <v>102</v>
      </c>
      <c r="F18" s="21" t="s">
        <v>88</v>
      </c>
      <c r="G18" s="62">
        <f>IF(G17=0,"-",SUMIFS(Calc_Fixed_1[Ausnet],Calc_Fixed_1[[Customer type]:[Customer type]],"All")+SUMIFS(Calc_Fixed_1[Ausnet],Calc_Fixed_1[[Customer type]:[Customer type]],$F19))</f>
        <v>258.33472178452229</v>
      </c>
      <c r="H18" s="62">
        <f>IF(H17=0,"-",SUMIFS(Calc_Fixed_1[Citipower],Calc_Fixed_1[[Customer type]:[Customer type]],"All")+SUMIFS(Calc_Fixed_1[Citipower],Calc_Fixed_1[[Customer type]:[Customer type]],$F19))</f>
        <v>264.53472178452228</v>
      </c>
      <c r="I18" s="62">
        <f>IF(I17=0,"-",SUMIFS(Calc_Fixed_1[Jemena],Calc_Fixed_1[[Customer type]:[Customer type]],"All")+SUMIFS(Calc_Fixed_1[Jemena],Calc_Fixed_1[[Customer type]:[Customer type]],$F19))</f>
        <v>265.01472178452229</v>
      </c>
      <c r="J18" s="62">
        <f>IF(J17=0,"-",SUMIFS(Calc_Fixed_1[Powercor],Calc_Fixed_1[[Customer type]:[Customer type]],"All")+SUMIFS(Calc_Fixed_1[Powercor],Calc_Fixed_1[[Customer type]:[Customer type]],$F19))</f>
        <v>264.23472178452232</v>
      </c>
      <c r="K18" s="62">
        <f>IF(K17=0,"-",SUMIFS(Calc_Fixed_1[United Energy],Calc_Fixed_1[[Customer type]:[Customer type]],"All")+SUMIFS(Calc_Fixed_1[United Energy],Calc_Fixed_1[[Customer type]:[Customer type]],$F19))</f>
        <v>247.55472178452229</v>
      </c>
    </row>
    <row r="19" spans="2:11" outlineLevel="2" x14ac:dyDescent="0.35">
      <c r="B19"/>
      <c r="C19" s="21" t="s">
        <v>197</v>
      </c>
      <c r="D19" s="21" t="s">
        <v>9</v>
      </c>
      <c r="E19" s="21" t="s">
        <v>102</v>
      </c>
      <c r="F19" s="21" t="s">
        <v>88</v>
      </c>
      <c r="G19" s="62" cm="1">
        <f t="array" ref="G19">IF(G17=0,"-",(G17+G18)*Calc_ROM_1[Ausnet])</f>
        <v>22.005817195785148</v>
      </c>
      <c r="H19" s="62" cm="1">
        <f t="array" ref="H19">IF(H17=0,"-",(H17+H18)*Calc_ROM_1[Citipower])</f>
        <v>21.413897195785147</v>
      </c>
      <c r="I19" s="62" cm="1">
        <f t="array" ref="I19">IF(I17=0,"-",(I17+I18)*Calc_ROM_1[Jemena])</f>
        <v>20.176301195785147</v>
      </c>
      <c r="J19" s="62" cm="1">
        <f t="array" ref="J19">IF(J17=0,"-",(J17+J18)*Calc_ROM_1[Powercor])</f>
        <v>24.41577719578515</v>
      </c>
      <c r="K19" s="62" cm="1">
        <f t="array" ref="K19">IF(K17=0,"-",(K17+K18)*Calc_ROM_1[United Energy])</f>
        <v>18.567849195785147</v>
      </c>
    </row>
    <row r="20" spans="2:11" outlineLevel="2" x14ac:dyDescent="0.35">
      <c r="B20"/>
      <c r="C20" s="21" t="s">
        <v>279</v>
      </c>
      <c r="D20" s="21" t="s">
        <v>9</v>
      </c>
      <c r="E20" s="21" t="s">
        <v>102</v>
      </c>
      <c r="F20" s="21" t="s">
        <v>88</v>
      </c>
      <c r="G20" s="62">
        <f>IF(G17=0,"-",(G17+G18+G19)*GST)</f>
        <v>38.634053898030743</v>
      </c>
      <c r="H20" s="62">
        <f>IF(H17=0,"-",(H17+H18+H19)*GST)</f>
        <v>37.594861898030743</v>
      </c>
      <c r="I20" s="62">
        <f>IF(I17=0,"-",(I17+I18+I19)*GST)</f>
        <v>35.422102298030744</v>
      </c>
      <c r="J20" s="62">
        <f>IF(J17=0,"-",(J17+J18+J19)*GST)</f>
        <v>42.865049898030747</v>
      </c>
      <c r="K20" s="62">
        <f>IF(K17=0,"-",(K17+K18+K19)*GST)</f>
        <v>32.598257098030743</v>
      </c>
    </row>
    <row r="21" spans="2:11" outlineLevel="2" x14ac:dyDescent="0.35">
      <c r="B21"/>
      <c r="C21" s="21" t="s">
        <v>280</v>
      </c>
      <c r="D21" s="21" t="s">
        <v>9</v>
      </c>
      <c r="E21" s="21" t="s">
        <v>102</v>
      </c>
      <c r="F21" s="21" t="s">
        <v>88</v>
      </c>
      <c r="G21" s="62">
        <f>IF(G17=0,"-",G17+G18+G19+G20)</f>
        <v>424.97459287833817</v>
      </c>
      <c r="H21" s="62">
        <f t="shared" ref="H21:K21" si="0">IF(H17=0,"-",H17+H18+H19+H20)</f>
        <v>413.54348087833813</v>
      </c>
      <c r="I21" s="62">
        <f t="shared" si="0"/>
        <v>389.64312527833812</v>
      </c>
      <c r="J21" s="62">
        <f t="shared" si="0"/>
        <v>471.51554887833822</v>
      </c>
      <c r="K21" s="62">
        <f t="shared" si="0"/>
        <v>358.58082807833813</v>
      </c>
    </row>
    <row r="22" spans="2:11" outlineLevel="2" x14ac:dyDescent="0.35">
      <c r="B22"/>
      <c r="C22" s="21" t="str">
        <f>C16</f>
        <v>Anytime - supply charge</v>
      </c>
      <c r="D22" s="21" t="s">
        <v>9</v>
      </c>
      <c r="E22" s="21" t="s">
        <v>102</v>
      </c>
      <c r="F22" s="21" t="s">
        <v>88</v>
      </c>
      <c r="G22" s="63">
        <f>IF(G17=0,"-",G21/DiY)</f>
        <v>1.1643139530913376</v>
      </c>
      <c r="H22" s="63">
        <f>IF(H17=0,"-",H21/DiY)</f>
        <v>1.1329958380228442</v>
      </c>
      <c r="I22" s="63">
        <f>IF(I17=0,"-",I21/DiY)</f>
        <v>1.0675154117214742</v>
      </c>
      <c r="J22" s="63">
        <f>IF(J17=0,"-",J21/DiY)</f>
        <v>1.2918234215844884</v>
      </c>
      <c r="K22" s="63">
        <f>IF(K17=0,"-",K21/DiY)</f>
        <v>0.98241322761188532</v>
      </c>
    </row>
    <row r="23" spans="2:11" outlineLevel="2" x14ac:dyDescent="0.35">
      <c r="B23"/>
      <c r="G23" s="88" cm="1">
        <f t="array" ref="G23">IF(G17=0,"-",
IF($D$244='Lookup refs'!$D$23,
IF(G22=INDEX(RateCheck_VDO2021F[[Ausnet]:[United Energy]],MATCH(Calc_Rates!$C22&amp;"_"&amp;Calc_Rates!$F22,RateCheck_VDO2021F[[Rate]:[Rate]],0),MATCH(Calc_Rates!G$9,RateCheck_VDO2021F[[#Headers],[Ausnet]:[United Energy]],0)),0,1),
IF(G22=(((SUMIFS(Calc_NetworkF_1[Ausnet],Calc_NetworkF_1[[Cost item]:[Cost item]],$C16,Calc_NetworkF_1[[Customer type]:[Customer type]],$F17)+SUMIFS(Calc_Fixed_1[Ausnet],Calc_Fixed_1[[Customer type]:[Customer type]],Calc_Rates!$F22)+SUMIFS(Calc_Fixed_1[Ausnet],Calc_Fixed_1[[Customer type]:[Customer type]],"All"))*
(1+Calc_ROM_1[Ausnet]))*(1+GST))/DiY,0,1)))</f>
        <v>0</v>
      </c>
      <c r="H23" s="88" cm="1">
        <f t="array" ref="H23">IF(H17=0,"-",
IF($D$244='Lookup refs'!$D$23,
IF(H22=INDEX(RateCheck_VDO2021F[[Ausnet]:[United Energy]],MATCH(Calc_Rates!$C22&amp;"_"&amp;Calc_Rates!$F22,RateCheck_VDO2021F[[Rate]:[Rate]],0),MATCH(Calc_Rates!H$9,RateCheck_VDO2021F[[#Headers],[Ausnet]:[United Energy]],0)),0,1),
IF(H22=(((SUMIFS(Calc_NetworkF_1[Citipower],Calc_NetworkF_1[[Cost item]:[Cost item]],$C16,Calc_NetworkF_1[[Customer type]:[Customer type]],$F17)+SUMIFS(Calc_Fixed_1[Citipower],Calc_Fixed_1[[Customer type]:[Customer type]],Calc_Rates!$F22)+SUMIFS(Calc_Fixed_1[Citipower],Calc_Fixed_1[[Customer type]:[Customer type]],"All"))*
(1+Calc_ROM_1[Citipower]))*(1+GST))/DiY,0,1)))</f>
        <v>0</v>
      </c>
      <c r="I23" s="88" cm="1">
        <f t="array" ref="I23">IF(I17=0,"-",
IF($D$244='Lookup refs'!$D$23,
IF(I22=INDEX(RateCheck_VDO2021F[[Ausnet]:[United Energy]],MATCH(Calc_Rates!$C22&amp;"_"&amp;Calc_Rates!$F22,RateCheck_VDO2021F[[Rate]:[Rate]],0),MATCH(Calc_Rates!I$9,RateCheck_VDO2021F[[#Headers],[Ausnet]:[United Energy]],0)),0,1),
IF(I22=(((SUMIFS(Calc_NetworkF_1[Jemena],Calc_NetworkF_1[[Cost item]:[Cost item]],$C16,Calc_NetworkF_1[[Customer type]:[Customer type]],$F17)+SUMIFS(Calc_Fixed_1[Jemena],Calc_Fixed_1[[Customer type]:[Customer type]],Calc_Rates!$F22)+SUMIFS(Calc_Fixed_1[Jemena],Calc_Fixed_1[[Customer type]:[Customer type]],"All"))*
(1+Calc_ROM_1[Jemena]))*(1+GST))/DiY,0,1)))</f>
        <v>0</v>
      </c>
      <c r="J23" s="88" cm="1">
        <f t="array" ref="J23">IF(J17=0,"-",
IF($D$244='Lookup refs'!$D$23,
IF(J22=INDEX(RateCheck_VDO2021F[[Ausnet]:[United Energy]],MATCH(Calc_Rates!$C22&amp;"_"&amp;Calc_Rates!$F22,RateCheck_VDO2021F[[Rate]:[Rate]],0),MATCH(Calc_Rates!J$9,RateCheck_VDO2021F[[#Headers],[Ausnet]:[United Energy]],0)),0,1),
IF(J22=(((SUMIFS(Calc_NetworkF_1[Powercor],Calc_NetworkF_1[[Cost item]:[Cost item]],$C16,Calc_NetworkF_1[[Customer type]:[Customer type]],$F17)+SUMIFS(Calc_Fixed_1[Powercor],Calc_Fixed_1[[Customer type]:[Customer type]],Calc_Rates!$F22)+SUMIFS(Calc_Fixed_1[Powercor],Calc_Fixed_1[[Customer type]:[Customer type]],"All"))*
(1+Calc_ROM_1[Powercor]))*(1+GST))/DiY,0,1)))</f>
        <v>0</v>
      </c>
      <c r="K23" s="88" cm="1">
        <f t="array" ref="K23">IF(K17=0,"-",
IF($D$244='Lookup refs'!$D$23,
IF(K22=INDEX(RateCheck_VDO2021F[[Ausnet]:[United Energy]],MATCH(Calc_Rates!$C22&amp;"_"&amp;Calc_Rates!$F22,RateCheck_VDO2021F[[Rate]:[Rate]],0),MATCH(Calc_Rates!K$9,RateCheck_VDO2021F[[#Headers],[Ausnet]:[United Energy]],0)),0,1),
IF(K22=(((SUMIFS(Calc_NetworkF_1[United Energy],Calc_NetworkF_1[[Cost item]:[Cost item]],$C16,Calc_NetworkF_1[[Customer type]:[Customer type]],$F17)+SUMIFS(Calc_Fixed_1[United Energy],Calc_Fixed_1[[Customer type]:[Customer type]],Calc_Rates!$F22)+SUMIFS(Calc_Fixed_1[United Energy],Calc_Fixed_1[[Customer type]:[Customer type]],"All"))*
(1+Calc_ROM_1[United Energy]))*(1+GST))/DiY,0,1)))</f>
        <v>0</v>
      </c>
    </row>
    <row r="24" spans="2:11" ht="15.5" hidden="1" outlineLevel="2" x14ac:dyDescent="0.35">
      <c r="B24"/>
      <c r="C24" s="69" t="s">
        <v>381</v>
      </c>
    </row>
    <row r="25" spans="2:11" hidden="1" outlineLevel="2" x14ac:dyDescent="0.35">
      <c r="B25"/>
      <c r="C25" s="21" t="s">
        <v>289</v>
      </c>
      <c r="D25" s="21" t="s">
        <v>9</v>
      </c>
      <c r="E25" s="21" t="s">
        <v>102</v>
      </c>
      <c r="F25" s="21" t="s">
        <v>88</v>
      </c>
      <c r="G25" s="56">
        <f>SUMIFS(Calc_NetworkF_1[Ausnet],Calc_NetworkF_1[[Cost item]:[Cost item]],$C24,Calc_NetworkF_1[[Customer type]:[Customer type]],$F25)</f>
        <v>0</v>
      </c>
      <c r="H25" s="56">
        <f>SUMIFS(Calc_NetworkF_1[Citipower],Calc_NetworkF_1[[Cost item]:[Cost item]],$C24,Calc_NetworkF_1[[Customer type]:[Customer type]],$F25)</f>
        <v>0</v>
      </c>
      <c r="I25" s="56">
        <f>SUMIFS(Calc_NetworkF_1[Jemena],Calc_NetworkF_1[[Cost item]:[Cost item]],$C24,Calc_NetworkF_1[[Customer type]:[Customer type]],$F25)</f>
        <v>0</v>
      </c>
      <c r="J25" s="56">
        <f>SUMIFS(Calc_NetworkF_1[Powercor],Calc_NetworkF_1[[Cost item]:[Cost item]],$C24,Calc_NetworkF_1[[Customer type]:[Customer type]],$F25)</f>
        <v>0</v>
      </c>
      <c r="K25" s="56">
        <f>SUMIFS(Calc_NetworkF_1[United Energy],Calc_NetworkF_1[[Cost item]:[Cost item]],$C24,Calc_NetworkF_1[[Customer type]:[Customer type]],$F25)</f>
        <v>0</v>
      </c>
    </row>
    <row r="26" spans="2:11" hidden="1" outlineLevel="2" x14ac:dyDescent="0.35">
      <c r="B26"/>
      <c r="C26" s="21" t="s">
        <v>269</v>
      </c>
      <c r="D26" s="21" t="s">
        <v>9</v>
      </c>
      <c r="E26" s="21" t="s">
        <v>102</v>
      </c>
      <c r="F26" s="21" t="s">
        <v>88</v>
      </c>
      <c r="G26" s="62" t="str">
        <f>IF(G25=0,"-",SUMIFS(Calc_Fixed_1[Ausnet],Calc_Fixed_1[[Customer type]:[Customer type]],"All")+SUMIFS(Calc_Fixed_1[Ausnet],Calc_Fixed_1[[Customer type]:[Customer type]],$F27))</f>
        <v>-</v>
      </c>
      <c r="H26" s="62" t="str">
        <f>IF(H25=0,"-",SUMIFS(Calc_Fixed_1[Citipower],Calc_Fixed_1[[Customer type]:[Customer type]],"All")+SUMIFS(Calc_Fixed_1[Citipower],Calc_Fixed_1[[Customer type]:[Customer type]],$F27))</f>
        <v>-</v>
      </c>
      <c r="I26" s="62" t="str">
        <f>IF(I25=0,"-",SUMIFS(Calc_Fixed_1[Jemena],Calc_Fixed_1[[Customer type]:[Customer type]],"All")+SUMIFS(Calc_Fixed_1[Jemena],Calc_Fixed_1[[Customer type]:[Customer type]],$F27))</f>
        <v>-</v>
      </c>
      <c r="J26" s="62" t="str">
        <f>IF(J25=0,"-",SUMIFS(Calc_Fixed_1[Powercor],Calc_Fixed_1[[Customer type]:[Customer type]],"All")+SUMIFS(Calc_Fixed_1[Powercor],Calc_Fixed_1[[Customer type]:[Customer type]],$F27))</f>
        <v>-</v>
      </c>
      <c r="K26" s="62" t="str">
        <f>IF(K25=0,"-",SUMIFS(Calc_Fixed_1[United Energy],Calc_Fixed_1[[Customer type]:[Customer type]],"All")+SUMIFS(Calc_Fixed_1[United Energy],Calc_Fixed_1[[Customer type]:[Customer type]],$F27))</f>
        <v>-</v>
      </c>
    </row>
    <row r="27" spans="2:11" hidden="1" outlineLevel="2" x14ac:dyDescent="0.35">
      <c r="B27"/>
      <c r="C27" s="21" t="s">
        <v>197</v>
      </c>
      <c r="D27" s="21" t="s">
        <v>9</v>
      </c>
      <c r="E27" s="21" t="s">
        <v>102</v>
      </c>
      <c r="F27" s="21" t="s">
        <v>88</v>
      </c>
      <c r="G27" s="62" t="str" cm="1">
        <f t="array" ref="G27">IF(G25=0,"-",(G25+G26)*Calc_ROM_1[Ausnet])</f>
        <v>-</v>
      </c>
      <c r="H27" s="62" t="str" cm="1">
        <f t="array" ref="H27">IF(H25=0,"-",(H25+H26)*Calc_ROM_1[Citipower])</f>
        <v>-</v>
      </c>
      <c r="I27" s="62" t="str" cm="1">
        <f t="array" ref="I27">IF(I25=0,"-",(I25+I26)*Calc_ROM_1[Jemena])</f>
        <v>-</v>
      </c>
      <c r="J27" s="62" t="str" cm="1">
        <f t="array" ref="J27">IF(J25=0,"-",(J25+J26)*Calc_ROM_1[Powercor])</f>
        <v>-</v>
      </c>
      <c r="K27" s="62" t="str" cm="1">
        <f t="array" ref="K27">IF(K25=0,"-",(K25+K26)*Calc_ROM_1[United Energy])</f>
        <v>-</v>
      </c>
    </row>
    <row r="28" spans="2:11" hidden="1" outlineLevel="2" x14ac:dyDescent="0.35">
      <c r="B28"/>
      <c r="C28" s="21" t="s">
        <v>279</v>
      </c>
      <c r="D28" s="21" t="s">
        <v>9</v>
      </c>
      <c r="E28" s="21" t="s">
        <v>102</v>
      </c>
      <c r="F28" s="21" t="s">
        <v>88</v>
      </c>
      <c r="G28" s="62" t="str">
        <f>IF(G25=0,"-",(G25+G26+G27)*GST)</f>
        <v>-</v>
      </c>
      <c r="H28" s="62" t="str">
        <f>IF(H25=0,"-",(H25+H26+H27)*GST)</f>
        <v>-</v>
      </c>
      <c r="I28" s="62" t="str">
        <f>IF(I25=0,"-",(I25+I26+I27)*GST)</f>
        <v>-</v>
      </c>
      <c r="J28" s="62" t="str">
        <f>IF(J25=0,"-",(J25+J26+J27)*GST)</f>
        <v>-</v>
      </c>
      <c r="K28" s="62" t="str">
        <f>IF(K25=0,"-",(K25+K26+K27)*GST)</f>
        <v>-</v>
      </c>
    </row>
    <row r="29" spans="2:11" hidden="1" outlineLevel="2" x14ac:dyDescent="0.35">
      <c r="B29"/>
      <c r="C29" s="21" t="s">
        <v>280</v>
      </c>
      <c r="D29" s="21" t="s">
        <v>9</v>
      </c>
      <c r="E29" s="21" t="s">
        <v>102</v>
      </c>
      <c r="F29" s="21" t="s">
        <v>88</v>
      </c>
      <c r="G29" s="62" t="str">
        <f>IF(G25=0,"-",G25+G26+G27+G28)</f>
        <v>-</v>
      </c>
      <c r="H29" s="62" t="str">
        <f t="shared" ref="H29" si="1">IF(H25=0,"-",H25+H26+H27+H28)</f>
        <v>-</v>
      </c>
      <c r="I29" s="62" t="str">
        <f t="shared" ref="I29" si="2">IF(I25=0,"-",I25+I26+I27+I28)</f>
        <v>-</v>
      </c>
      <c r="J29" s="62" t="str">
        <f t="shared" ref="J29" si="3">IF(J25=0,"-",J25+J26+J27+J28)</f>
        <v>-</v>
      </c>
      <c r="K29" s="62" t="str">
        <f t="shared" ref="K29" si="4">IF(K25=0,"-",K25+K26+K27+K28)</f>
        <v>-</v>
      </c>
    </row>
    <row r="30" spans="2:11" hidden="1" outlineLevel="2" x14ac:dyDescent="0.35">
      <c r="B30"/>
      <c r="C30" s="21" t="str">
        <f>C24</f>
        <v>TOU - supply charge</v>
      </c>
      <c r="D30" s="21" t="s">
        <v>9</v>
      </c>
      <c r="E30" s="21" t="s">
        <v>102</v>
      </c>
      <c r="F30" s="21" t="s">
        <v>88</v>
      </c>
      <c r="G30" s="63" t="str">
        <f>IF(G25=0,"-",G29/DiY)</f>
        <v>-</v>
      </c>
      <c r="H30" s="63" t="str">
        <f>IF(H25=0,"-",H29/DiY)</f>
        <v>-</v>
      </c>
      <c r="I30" s="63" t="str">
        <f>IF(I25=0,"-",I29/DiY)</f>
        <v>-</v>
      </c>
      <c r="J30" s="63" t="str">
        <f>IF(J25=0,"-",J29/DiY)</f>
        <v>-</v>
      </c>
      <c r="K30" s="63" t="str">
        <f>IF(K25=0,"-",K29/DiY)</f>
        <v>-</v>
      </c>
    </row>
    <row r="31" spans="2:11" hidden="1" outlineLevel="2" x14ac:dyDescent="0.35">
      <c r="B31"/>
      <c r="G31" s="88" t="str" cm="1">
        <f t="array" ref="G31">IF(G25=0,"-",
IF($D$244='Lookup refs'!$D$23,
IF(G30=INDEX(RateCheck_VDO2021F[[Ausnet]:[United Energy]],MATCH(Calc_Rates!$C30&amp;"_"&amp;Calc_Rates!$F30,RateCheck_VDO2021F[[Rate]:[Rate]],0),MATCH(Calc_Rates!G$9,RateCheck_VDO2021F[[#Headers],[Ausnet]:[United Energy]],0)),0,1),
IF(G30=(((SUMIFS(Calc_NetworkF_1[Ausnet],Calc_NetworkF_1[[Cost item]:[Cost item]],$C24,Calc_NetworkF_1[[Customer type]:[Customer type]],$F25)+SUMIFS(Calc_Fixed_1[Ausnet],Calc_Fixed_1[[Customer type]:[Customer type]],Calc_Rates!$F30)+SUMIFS(Calc_Fixed_1[Ausnet],Calc_Fixed_1[[Customer type]:[Customer type]],"All"))*
(1+Calc_ROM_1[Ausnet]))*(1+GST))/DiY,0,1)))</f>
        <v>-</v>
      </c>
      <c r="H31" s="88" t="str" cm="1">
        <f t="array" ref="H31">IF(H25=0,"-",
IF($D$244='Lookup refs'!$D$23,
IF(H30=INDEX(RateCheck_VDO2021F[[Ausnet]:[United Energy]],MATCH(Calc_Rates!$C30&amp;"_"&amp;Calc_Rates!$F30,RateCheck_VDO2021F[[Rate]:[Rate]],0),MATCH(Calc_Rates!H$9,RateCheck_VDO2021F[[#Headers],[Ausnet]:[United Energy]],0)),0,1),
IF(H30=(((SUMIFS(Calc_NetworkF_1[Citipower],Calc_NetworkF_1[[Cost item]:[Cost item]],$C24,Calc_NetworkF_1[[Customer type]:[Customer type]],$F25)+SUMIFS(Calc_Fixed_1[Citipower],Calc_Fixed_1[[Customer type]:[Customer type]],Calc_Rates!$F30)+SUMIFS(Calc_Fixed_1[Citipower],Calc_Fixed_1[[Customer type]:[Customer type]],"All"))*
(1+Calc_ROM_1[Citipower]))*(1+GST))/DiY,0,1)))</f>
        <v>-</v>
      </c>
      <c r="I31" s="88" t="str" cm="1">
        <f t="array" ref="I31">IF(I25=0,"-",
IF($D$244='Lookup refs'!$D$23,
IF(I30=INDEX(RateCheck_VDO2021F[[Ausnet]:[United Energy]],MATCH(Calc_Rates!$C30&amp;"_"&amp;Calc_Rates!$F30,RateCheck_VDO2021F[[Rate]:[Rate]],0),MATCH(Calc_Rates!I$9,RateCheck_VDO2021F[[#Headers],[Ausnet]:[United Energy]],0)),0,1),
IF(I30=(((SUMIFS(Calc_NetworkF_1[Jemena],Calc_NetworkF_1[[Cost item]:[Cost item]],$C24,Calc_NetworkF_1[[Customer type]:[Customer type]],$F25)+SUMIFS(Calc_Fixed_1[Jemena],Calc_Fixed_1[[Customer type]:[Customer type]],Calc_Rates!$F30)+SUMIFS(Calc_Fixed_1[Jemena],Calc_Fixed_1[[Customer type]:[Customer type]],"All"))*
(1+Calc_ROM_1[Jemena]))*(1+GST))/DiY,0,1)))</f>
        <v>-</v>
      </c>
      <c r="J31" s="88" t="str" cm="1">
        <f t="array" ref="J31">IF(J25=0,"-",
IF($D$244='Lookup refs'!$D$23,
IF(J30=INDEX(RateCheck_VDO2021F[[Ausnet]:[United Energy]],MATCH(Calc_Rates!$C30&amp;"_"&amp;Calc_Rates!$F30,RateCheck_VDO2021F[[Rate]:[Rate]],0),MATCH(Calc_Rates!J$9,RateCheck_VDO2021F[[#Headers],[Ausnet]:[United Energy]],0)),0,1),
IF(J30=(((SUMIFS(Calc_NetworkF_1[Powercor],Calc_NetworkF_1[[Cost item]:[Cost item]],$C24,Calc_NetworkF_1[[Customer type]:[Customer type]],$F25)+SUMIFS(Calc_Fixed_1[Powercor],Calc_Fixed_1[[Customer type]:[Customer type]],Calc_Rates!$F30)+SUMIFS(Calc_Fixed_1[Powercor],Calc_Fixed_1[[Customer type]:[Customer type]],"All"))*
(1+Calc_ROM_1[Powercor]))*(1+GST))/DiY,0,1)))</f>
        <v>-</v>
      </c>
      <c r="K31" s="88" t="str" cm="1">
        <f t="array" ref="K31">IF(K25=0,"-",
IF($D$244='Lookup refs'!$D$23,
IF(K30=INDEX(RateCheck_VDO2021F[[Ausnet]:[United Energy]],MATCH(Calc_Rates!$C30&amp;"_"&amp;Calc_Rates!$F30,RateCheck_VDO2021F[[Rate]:[Rate]],0),MATCH(Calc_Rates!K$9,RateCheck_VDO2021F[[#Headers],[Ausnet]:[United Energy]],0)),0,1),
IF(K30=(((SUMIFS(Calc_NetworkF_1[United Energy],Calc_NetworkF_1[[Cost item]:[Cost item]],$C24,Calc_NetworkF_1[[Customer type]:[Customer type]],$F25)+SUMIFS(Calc_Fixed_1[United Energy],Calc_Fixed_1[[Customer type]:[Customer type]],Calc_Rates!$F30)+SUMIFS(Calc_Fixed_1[United Energy],Calc_Fixed_1[[Customer type]:[Customer type]],"All"))*
(1+Calc_ROM_1[United Energy]))*(1+GST))/DiY,0,1)))</f>
        <v>-</v>
      </c>
    </row>
    <row r="32" spans="2:11" ht="15.5" outlineLevel="2" x14ac:dyDescent="0.35">
      <c r="B32"/>
      <c r="C32" s="26" t="s">
        <v>281</v>
      </c>
    </row>
    <row r="33" spans="2:11" ht="15.5" outlineLevel="2" x14ac:dyDescent="0.35">
      <c r="B33"/>
      <c r="C33" s="69" t="s">
        <v>380</v>
      </c>
    </row>
    <row r="34" spans="2:11" outlineLevel="2" x14ac:dyDescent="0.35">
      <c r="B34"/>
      <c r="C34" s="21" t="s">
        <v>289</v>
      </c>
      <c r="D34" s="21" t="s">
        <v>9</v>
      </c>
      <c r="E34" s="21" t="s">
        <v>102</v>
      </c>
      <c r="F34" s="21" t="s">
        <v>89</v>
      </c>
      <c r="G34" s="56">
        <f>SUMIFS(Calc_NetworkF_1[Ausnet],Calc_NetworkF_1[[Cost item]:[Cost item]],$C33,Calc_NetworkF_1[[Customer type]:[Customer type]],$F34)</f>
        <v>106</v>
      </c>
      <c r="H34" s="56">
        <f>SUMIFS(Calc_NetworkF_1[Citipower],Calc_NetworkF_1[[Cost item]:[Cost item]],$C33,Calc_NetworkF_1[[Customer type]:[Customer type]],$F34)</f>
        <v>160</v>
      </c>
      <c r="I34" s="56">
        <f>SUMIFS(Calc_NetworkF_1[Jemena],Calc_NetworkF_1[[Cost item]:[Cost item]],$C33,Calc_NetworkF_1[[Customer type]:[Customer type]],$F34)</f>
        <v>118.741</v>
      </c>
      <c r="J34" s="56">
        <f>SUMIFS(Calc_NetworkF_1[Powercor],Calc_NetworkF_1[[Cost item]:[Cost item]],$C33,Calc_NetworkF_1[[Customer type]:[Customer type]],$F34)</f>
        <v>180</v>
      </c>
      <c r="K34" s="56">
        <f>SUMIFS(Calc_NetworkF_1[United Energy],Calc_NetworkF_1[[Cost item]:[Cost item]],$C33,Calc_NetworkF_1[[Customer type]:[Customer type]],$F34)</f>
        <v>79.861999999999995</v>
      </c>
    </row>
    <row r="35" spans="2:11" outlineLevel="2" x14ac:dyDescent="0.35">
      <c r="B35"/>
      <c r="C35" s="21" t="s">
        <v>269</v>
      </c>
      <c r="D35" s="21" t="s">
        <v>9</v>
      </c>
      <c r="E35" s="21" t="s">
        <v>102</v>
      </c>
      <c r="F35" s="21" t="s">
        <v>89</v>
      </c>
      <c r="G35" s="62">
        <f>IF(G34=0,"-",SUMIFS(Calc_Fixed_1[Ausnet],Calc_Fixed_1[[Customer type]:[Customer type]],"All")+SUMIFS(Calc_Fixed_1[Ausnet],Calc_Fixed_1[[Customer type]:[Customer type]],$F36))</f>
        <v>258.33472178452229</v>
      </c>
      <c r="H35" s="62">
        <f>IF(H34=0,"-",SUMIFS(Calc_Fixed_1[Citipower],Calc_Fixed_1[[Customer type]:[Customer type]],"All")+SUMIFS(Calc_Fixed_1[Citipower],Calc_Fixed_1[[Customer type]:[Customer type]],$F36))</f>
        <v>264.53472178452228</v>
      </c>
      <c r="I35" s="62">
        <f>IF(I34=0,"-",SUMIFS(Calc_Fixed_1[Jemena],Calc_Fixed_1[[Customer type]:[Customer type]],"All")+SUMIFS(Calc_Fixed_1[Jemena],Calc_Fixed_1[[Customer type]:[Customer type]],$F36))</f>
        <v>265.01472178452229</v>
      </c>
      <c r="J35" s="62">
        <f>IF(J34=0,"-",SUMIFS(Calc_Fixed_1[Powercor],Calc_Fixed_1[[Customer type]:[Customer type]],"All")+SUMIFS(Calc_Fixed_1[Powercor],Calc_Fixed_1[[Customer type]:[Customer type]],$F36))</f>
        <v>264.23472178452232</v>
      </c>
      <c r="K35" s="62">
        <f>IF(K34=0,"-",SUMIFS(Calc_Fixed_1[United Energy],Calc_Fixed_1[[Customer type]:[Customer type]],"All")+SUMIFS(Calc_Fixed_1[United Energy],Calc_Fixed_1[[Customer type]:[Customer type]],$F36))</f>
        <v>247.55472178452229</v>
      </c>
    </row>
    <row r="36" spans="2:11" outlineLevel="2" x14ac:dyDescent="0.35">
      <c r="B36"/>
      <c r="C36" s="21" t="s">
        <v>197</v>
      </c>
      <c r="D36" s="21" t="s">
        <v>9</v>
      </c>
      <c r="E36" s="21" t="s">
        <v>102</v>
      </c>
      <c r="F36" s="21" t="s">
        <v>89</v>
      </c>
      <c r="G36" s="62" cm="1">
        <f t="array" ref="G36">IF(G34=0,"-",(G34+G35)*Calc_ROM_1[Ausnet])</f>
        <v>22.005817195785148</v>
      </c>
      <c r="H36" s="62" cm="1">
        <f t="array" ref="H36">IF(H34=0,"-",(H34+H35)*Calc_ROM_1[Citipower])</f>
        <v>25.641897195785145</v>
      </c>
      <c r="I36" s="62" cm="1">
        <f t="array" ref="I36">IF(I34=0,"-",(I34+I35)*Calc_ROM_1[Jemena])</f>
        <v>23.178845595785148</v>
      </c>
      <c r="J36" s="62" cm="1">
        <f t="array" ref="J36">IF(J34=0,"-",(J34+J35)*Calc_ROM_1[Powercor])</f>
        <v>26.831777195785151</v>
      </c>
      <c r="K36" s="62" cm="1">
        <f t="array" ref="K36">IF(K34=0,"-",(K34+K35)*Calc_ROM_1[United Energy])</f>
        <v>19.775969995785147</v>
      </c>
    </row>
    <row r="37" spans="2:11" outlineLevel="2" x14ac:dyDescent="0.35">
      <c r="B37"/>
      <c r="C37" s="21" t="s">
        <v>279</v>
      </c>
      <c r="D37" s="21" t="s">
        <v>9</v>
      </c>
      <c r="E37" s="21" t="s">
        <v>102</v>
      </c>
      <c r="F37" s="21" t="s">
        <v>89</v>
      </c>
      <c r="G37" s="62">
        <f>IF(G34=0,"-",(G34+G35+G36)*GST)</f>
        <v>38.634053898030743</v>
      </c>
      <c r="H37" s="62">
        <f>IF(H34=0,"-",(H34+H35+H36)*GST)</f>
        <v>45.017661898030745</v>
      </c>
      <c r="I37" s="62">
        <f>IF(I34=0,"-",(I34+I35+I36)*GST)</f>
        <v>40.693456738030747</v>
      </c>
      <c r="J37" s="62">
        <f>IF(J34=0,"-",(J34+J35+J36)*GST)</f>
        <v>47.106649898030753</v>
      </c>
      <c r="K37" s="62">
        <f>IF(K34=0,"-",(K34+K35+K36)*GST)</f>
        <v>34.719269178030743</v>
      </c>
    </row>
    <row r="38" spans="2:11" outlineLevel="2" x14ac:dyDescent="0.35">
      <c r="B38"/>
      <c r="C38" s="21" t="s">
        <v>280</v>
      </c>
      <c r="D38" s="21" t="s">
        <v>9</v>
      </c>
      <c r="E38" s="21" t="s">
        <v>102</v>
      </c>
      <c r="F38" s="21" t="s">
        <v>89</v>
      </c>
      <c r="G38" s="62">
        <f>IF(G34=0,"-",G34+G35+G36+G37)</f>
        <v>424.97459287833817</v>
      </c>
      <c r="H38" s="62">
        <f t="shared" ref="H38" si="5">IF(H34=0,"-",H34+H35+H36+H37)</f>
        <v>495.19428087833813</v>
      </c>
      <c r="I38" s="62">
        <f t="shared" ref="I38" si="6">IF(I34=0,"-",I34+I35+I36+I37)</f>
        <v>447.6280241183382</v>
      </c>
      <c r="J38" s="62">
        <f t="shared" ref="J38" si="7">IF(J34=0,"-",J34+J35+J36+J37)</f>
        <v>518.17314887833822</v>
      </c>
      <c r="K38" s="62">
        <f t="shared" ref="K38" si="8">IF(K34=0,"-",K34+K35+K36+K37)</f>
        <v>381.91196095833817</v>
      </c>
    </row>
    <row r="39" spans="2:11" outlineLevel="2" x14ac:dyDescent="0.35">
      <c r="B39"/>
      <c r="C39" s="21" t="str">
        <f>C33</f>
        <v>Anytime - supply charge</v>
      </c>
      <c r="D39" s="21" t="s">
        <v>9</v>
      </c>
      <c r="E39" s="21" t="s">
        <v>102</v>
      </c>
      <c r="F39" s="21" t="s">
        <v>89</v>
      </c>
      <c r="G39" s="63">
        <f>IF(G34=0,"-",G38/DiY)</f>
        <v>1.1643139530913376</v>
      </c>
      <c r="H39" s="63">
        <f>IF(H34=0,"-",H38/DiY)</f>
        <v>1.3566966599406525</v>
      </c>
      <c r="I39" s="63">
        <f>IF(I34=0,"-",I38/DiY)</f>
        <v>1.2263781482694198</v>
      </c>
      <c r="J39" s="63">
        <f>IF(J34=0,"-",J38/DiY)</f>
        <v>1.4196524626803786</v>
      </c>
      <c r="K39" s="63">
        <f>IF(K34=0,"-",K38/DiY)</f>
        <v>1.0463341396118855</v>
      </c>
    </row>
    <row r="40" spans="2:11" outlineLevel="2" x14ac:dyDescent="0.35">
      <c r="B40"/>
      <c r="G40" s="88" cm="1">
        <f t="array" ref="G40">IF(G34=0,"-",
IF($D$244='Lookup refs'!$D$23,
IF(G39=INDEX(RateCheck_VDO2021F[[Ausnet]:[United Energy]],MATCH(Calc_Rates!$C39&amp;"_"&amp;Calc_Rates!$F39,RateCheck_VDO2021F[[Rate]:[Rate]],0),MATCH(Calc_Rates!G$9,RateCheck_VDO2021F[[#Headers],[Ausnet]:[United Energy]],0)),0,1),
IF(G39=(((SUMIFS(Calc_NetworkF_1[Ausnet],Calc_NetworkF_1[[Cost item]:[Cost item]],$C33,Calc_NetworkF_1[[Customer type]:[Customer type]],$F34)+SUMIFS(Calc_Fixed_1[Ausnet],Calc_Fixed_1[[Customer type]:[Customer type]],Calc_Rates!$F39)+SUMIFS(Calc_Fixed_1[Ausnet],Calc_Fixed_1[[Customer type]:[Customer type]],"All"))*
(1+Calc_ROM_1[Ausnet]))*(1+GST))/DiY,0,1)))</f>
        <v>0</v>
      </c>
      <c r="H40" s="88" cm="1">
        <f t="array" ref="H40">IF(H34=0,"-",
IF($D$244='Lookup refs'!$D$23,
IF(H39=INDEX(RateCheck_VDO2021F[[Ausnet]:[United Energy]],MATCH(Calc_Rates!$C39&amp;"_"&amp;Calc_Rates!$F39,RateCheck_VDO2021F[[Rate]:[Rate]],0),MATCH(Calc_Rates!H$9,RateCheck_VDO2021F[[#Headers],[Ausnet]:[United Energy]],0)),0,1),
IF(H39=(((SUMIFS(Calc_NetworkF_1[Citipower],Calc_NetworkF_1[[Cost item]:[Cost item]],$C33,Calc_NetworkF_1[[Customer type]:[Customer type]],$F34)+SUMIFS(Calc_Fixed_1[Citipower],Calc_Fixed_1[[Customer type]:[Customer type]],Calc_Rates!$F39)+SUMIFS(Calc_Fixed_1[Citipower],Calc_Fixed_1[[Customer type]:[Customer type]],"All"))*
(1+Calc_ROM_1[Citipower]))*(1+GST))/DiY,0,1)))</f>
        <v>0</v>
      </c>
      <c r="I40" s="88" cm="1">
        <f t="array" ref="I40">IF(I34=0,"-",
IF($D$244='Lookup refs'!$D$23,
IF(I39=INDEX(RateCheck_VDO2021F[[Ausnet]:[United Energy]],MATCH(Calc_Rates!$C39&amp;"_"&amp;Calc_Rates!$F39,RateCheck_VDO2021F[[Rate]:[Rate]],0),MATCH(Calc_Rates!I$9,RateCheck_VDO2021F[[#Headers],[Ausnet]:[United Energy]],0)),0,1),
IF(I39=(((SUMIFS(Calc_NetworkF_1[Jemena],Calc_NetworkF_1[[Cost item]:[Cost item]],$C33,Calc_NetworkF_1[[Customer type]:[Customer type]],$F34)+SUMIFS(Calc_Fixed_1[Jemena],Calc_Fixed_1[[Customer type]:[Customer type]],Calc_Rates!$F39)+SUMIFS(Calc_Fixed_1[Jemena],Calc_Fixed_1[[Customer type]:[Customer type]],"All"))*
(1+Calc_ROM_1[Jemena]))*(1+GST))/DiY,0,1)))</f>
        <v>0</v>
      </c>
      <c r="J40" s="88" cm="1">
        <f t="array" ref="J40">IF(J34=0,"-",
IF($D$244='Lookup refs'!$D$23,
IF(J39=INDEX(RateCheck_VDO2021F[[Ausnet]:[United Energy]],MATCH(Calc_Rates!$C39&amp;"_"&amp;Calc_Rates!$F39,RateCheck_VDO2021F[[Rate]:[Rate]],0),MATCH(Calc_Rates!J$9,RateCheck_VDO2021F[[#Headers],[Ausnet]:[United Energy]],0)),0,1),
IF(J39=(((SUMIFS(Calc_NetworkF_1[Powercor],Calc_NetworkF_1[[Cost item]:[Cost item]],$C33,Calc_NetworkF_1[[Customer type]:[Customer type]],$F34)+SUMIFS(Calc_Fixed_1[Powercor],Calc_Fixed_1[[Customer type]:[Customer type]],Calc_Rates!$F39)+SUMIFS(Calc_Fixed_1[Powercor],Calc_Fixed_1[[Customer type]:[Customer type]],"All"))*
(1+Calc_ROM_1[Powercor]))*(1+GST))/DiY,0,1)))</f>
        <v>0</v>
      </c>
      <c r="K40" s="88" cm="1">
        <f t="array" ref="K40">IF(K34=0,"-",
IF($D$244='Lookup refs'!$D$23,
IF(K39=INDEX(RateCheck_VDO2021F[[Ausnet]:[United Energy]],MATCH(Calc_Rates!$C39&amp;"_"&amp;Calc_Rates!$F39,RateCheck_VDO2021F[[Rate]:[Rate]],0),MATCH(Calc_Rates!K$9,RateCheck_VDO2021F[[#Headers],[Ausnet]:[United Energy]],0)),0,1),
IF(K39=(((SUMIFS(Calc_NetworkF_1[United Energy],Calc_NetworkF_1[[Cost item]:[Cost item]],$C33,Calc_NetworkF_1[[Customer type]:[Customer type]],$F34)+SUMIFS(Calc_Fixed_1[United Energy],Calc_Fixed_1[[Customer type]:[Customer type]],Calc_Rates!$F39)+SUMIFS(Calc_Fixed_1[United Energy],Calc_Fixed_1[[Customer type]:[Customer type]],"All"))*
(1+Calc_ROM_1[United Energy]))*(1+GST))/DiY,0,1)))</f>
        <v>0</v>
      </c>
    </row>
    <row r="41" spans="2:11" ht="15.5" hidden="1" outlineLevel="2" x14ac:dyDescent="0.35">
      <c r="B41"/>
      <c r="C41" s="69" t="s">
        <v>381</v>
      </c>
    </row>
    <row r="42" spans="2:11" hidden="1" outlineLevel="2" x14ac:dyDescent="0.35">
      <c r="B42"/>
      <c r="C42" s="21" t="s">
        <v>289</v>
      </c>
      <c r="D42" s="21" t="s">
        <v>9</v>
      </c>
      <c r="E42" s="21" t="s">
        <v>102</v>
      </c>
      <c r="F42" s="21" t="s">
        <v>89</v>
      </c>
      <c r="G42" s="56">
        <f>SUMIFS(Calc_NetworkF_1[Ausnet],Calc_NetworkF_1[[Cost item]:[Cost item]],$C41,Calc_NetworkF_1[[Customer type]:[Customer type]],$F42)</f>
        <v>0</v>
      </c>
      <c r="H42" s="56">
        <f>SUMIFS(Calc_NetworkF_1[Citipower],Calc_NetworkF_1[[Cost item]:[Cost item]],$C41,Calc_NetworkF_1[[Customer type]:[Customer type]],$F42)</f>
        <v>0</v>
      </c>
      <c r="I42" s="56">
        <f>SUMIFS(Calc_NetworkF_1[Jemena],Calc_NetworkF_1[[Cost item]:[Cost item]],$C41,Calc_NetworkF_1[[Customer type]:[Customer type]],$F42)</f>
        <v>0</v>
      </c>
      <c r="J42" s="56">
        <f>SUMIFS(Calc_NetworkF_1[Powercor],Calc_NetworkF_1[[Cost item]:[Cost item]],$C41,Calc_NetworkF_1[[Customer type]:[Customer type]],$F42)</f>
        <v>0</v>
      </c>
      <c r="K42" s="56">
        <f>SUMIFS(Calc_NetworkF_1[United Energy],Calc_NetworkF_1[[Cost item]:[Cost item]],$C41,Calc_NetworkF_1[[Customer type]:[Customer type]],$F42)</f>
        <v>0</v>
      </c>
    </row>
    <row r="43" spans="2:11" hidden="1" outlineLevel="2" x14ac:dyDescent="0.35">
      <c r="B43"/>
      <c r="C43" s="21" t="s">
        <v>269</v>
      </c>
      <c r="D43" s="21" t="s">
        <v>9</v>
      </c>
      <c r="E43" s="21" t="s">
        <v>102</v>
      </c>
      <c r="F43" s="21" t="s">
        <v>89</v>
      </c>
      <c r="G43" s="62" t="str">
        <f>IF(G42=0,"-",SUMIFS(Calc_Fixed_1[Ausnet],Calc_Fixed_1[[Customer type]:[Customer type]],"All")+SUMIFS(Calc_Fixed_1[Ausnet],Calc_Fixed_1[[Customer type]:[Customer type]],$F44))</f>
        <v>-</v>
      </c>
      <c r="H43" s="62" t="str">
        <f>IF(H42=0,"-",SUMIFS(Calc_Fixed_1[Citipower],Calc_Fixed_1[[Customer type]:[Customer type]],"All")+SUMIFS(Calc_Fixed_1[Citipower],Calc_Fixed_1[[Customer type]:[Customer type]],$F44))</f>
        <v>-</v>
      </c>
      <c r="I43" s="62" t="str">
        <f>IF(I42=0,"-",SUMIFS(Calc_Fixed_1[Jemena],Calc_Fixed_1[[Customer type]:[Customer type]],"All")+SUMIFS(Calc_Fixed_1[Jemena],Calc_Fixed_1[[Customer type]:[Customer type]],$F44))</f>
        <v>-</v>
      </c>
      <c r="J43" s="62" t="str">
        <f>IF(J42=0,"-",SUMIFS(Calc_Fixed_1[Powercor],Calc_Fixed_1[[Customer type]:[Customer type]],"All")+SUMIFS(Calc_Fixed_1[Powercor],Calc_Fixed_1[[Customer type]:[Customer type]],$F44))</f>
        <v>-</v>
      </c>
      <c r="K43" s="62" t="str">
        <f>IF(K42=0,"-",SUMIFS(Calc_Fixed_1[United Energy],Calc_Fixed_1[[Customer type]:[Customer type]],"All")+SUMIFS(Calc_Fixed_1[United Energy],Calc_Fixed_1[[Customer type]:[Customer type]],$F44))</f>
        <v>-</v>
      </c>
    </row>
    <row r="44" spans="2:11" hidden="1" outlineLevel="2" x14ac:dyDescent="0.35">
      <c r="B44"/>
      <c r="C44" s="21" t="s">
        <v>197</v>
      </c>
      <c r="D44" s="21" t="s">
        <v>9</v>
      </c>
      <c r="E44" s="21" t="s">
        <v>102</v>
      </c>
      <c r="F44" s="21" t="s">
        <v>89</v>
      </c>
      <c r="G44" s="62" t="str" cm="1">
        <f t="array" ref="G44">IF(G42=0,"-",(G42+G43)*Calc_ROM_1[Ausnet])</f>
        <v>-</v>
      </c>
      <c r="H44" s="62" t="str" cm="1">
        <f t="array" ref="H44">IF(H42=0,"-",(H42+H43)*Calc_ROM_1[Citipower])</f>
        <v>-</v>
      </c>
      <c r="I44" s="62" t="str" cm="1">
        <f t="array" ref="I44">IF(I42=0,"-",(I42+I43)*Calc_ROM_1[Jemena])</f>
        <v>-</v>
      </c>
      <c r="J44" s="62" t="str" cm="1">
        <f t="array" ref="J44">IF(J42=0,"-",(J42+J43)*Calc_ROM_1[Powercor])</f>
        <v>-</v>
      </c>
      <c r="K44" s="62" t="str" cm="1">
        <f t="array" ref="K44">IF(K42=0,"-",(K42+K43)*Calc_ROM_1[United Energy])</f>
        <v>-</v>
      </c>
    </row>
    <row r="45" spans="2:11" hidden="1" outlineLevel="2" x14ac:dyDescent="0.35">
      <c r="B45"/>
      <c r="C45" s="21" t="s">
        <v>279</v>
      </c>
      <c r="D45" s="21" t="s">
        <v>9</v>
      </c>
      <c r="E45" s="21" t="s">
        <v>102</v>
      </c>
      <c r="F45" s="21" t="s">
        <v>89</v>
      </c>
      <c r="G45" s="62" t="str">
        <f>IF(G42=0,"-",(G42+G43+G44)*GST)</f>
        <v>-</v>
      </c>
      <c r="H45" s="62" t="str">
        <f>IF(H42=0,"-",(H42+H43+H44)*GST)</f>
        <v>-</v>
      </c>
      <c r="I45" s="62" t="str">
        <f>IF(I42=0,"-",(I42+I43+I44)*GST)</f>
        <v>-</v>
      </c>
      <c r="J45" s="62" t="str">
        <f>IF(J42=0,"-",(J42+J43+J44)*GST)</f>
        <v>-</v>
      </c>
      <c r="K45" s="62" t="str">
        <f>IF(K42=0,"-",(K42+K43+K44)*GST)</f>
        <v>-</v>
      </c>
    </row>
    <row r="46" spans="2:11" hidden="1" outlineLevel="2" x14ac:dyDescent="0.35">
      <c r="B46"/>
      <c r="C46" s="21" t="s">
        <v>280</v>
      </c>
      <c r="D46" s="21" t="s">
        <v>9</v>
      </c>
      <c r="E46" s="21" t="s">
        <v>102</v>
      </c>
      <c r="F46" s="21" t="s">
        <v>89</v>
      </c>
      <c r="G46" s="62" t="str">
        <f>IF(G42=0,"-",G42+G43+G44+G45)</f>
        <v>-</v>
      </c>
      <c r="H46" s="62" t="str">
        <f t="shared" ref="H46" si="9">IF(H42=0,"-",H42+H43+H44+H45)</f>
        <v>-</v>
      </c>
      <c r="I46" s="62" t="str">
        <f t="shared" ref="I46" si="10">IF(I42=0,"-",I42+I43+I44+I45)</f>
        <v>-</v>
      </c>
      <c r="J46" s="62" t="str">
        <f t="shared" ref="J46" si="11">IF(J42=0,"-",J42+J43+J44+J45)</f>
        <v>-</v>
      </c>
      <c r="K46" s="62" t="str">
        <f t="shared" ref="K46" si="12">IF(K42=0,"-",K42+K43+K44+K45)</f>
        <v>-</v>
      </c>
    </row>
    <row r="47" spans="2:11" hidden="1" outlineLevel="2" x14ac:dyDescent="0.35">
      <c r="B47"/>
      <c r="C47" s="21" t="str">
        <f>C41</f>
        <v>TOU - supply charge</v>
      </c>
      <c r="D47" s="21" t="s">
        <v>9</v>
      </c>
      <c r="E47" s="21" t="s">
        <v>102</v>
      </c>
      <c r="F47" s="21" t="s">
        <v>89</v>
      </c>
      <c r="G47" s="63" t="str">
        <f>IF(G42=0,"-",G46/DiY)</f>
        <v>-</v>
      </c>
      <c r="H47" s="63" t="str">
        <f>IF(H42=0,"-",H46/DiY)</f>
        <v>-</v>
      </c>
      <c r="I47" s="63" t="str">
        <f>IF(I42=0,"-",I46/DiY)</f>
        <v>-</v>
      </c>
      <c r="J47" s="63" t="str">
        <f>IF(J42=0,"-",J46/DiY)</f>
        <v>-</v>
      </c>
      <c r="K47" s="63" t="str">
        <f>IF(K42=0,"-",K46/DiY)</f>
        <v>-</v>
      </c>
    </row>
    <row r="48" spans="2:11" hidden="1" outlineLevel="2" x14ac:dyDescent="0.35">
      <c r="B48"/>
      <c r="G48" s="88" t="str" cm="1">
        <f t="array" ref="G48">IF(G42=0,"-",
IF($D$244='Lookup refs'!$D$23,
IF(G47=INDEX(RateCheck_VDO2021F[[Ausnet]:[United Energy]],MATCH(Calc_Rates!$C47&amp;"_"&amp;Calc_Rates!$F47,RateCheck_VDO2021F[[Rate]:[Rate]],0),MATCH(Calc_Rates!G$9,RateCheck_VDO2021F[[#Headers],[Ausnet]:[United Energy]],0)),0,1),
IF(G47=(((SUMIFS(Calc_NetworkF_1[Ausnet],Calc_NetworkF_1[[Cost item]:[Cost item]],$C41,Calc_NetworkF_1[[Customer type]:[Customer type]],$F42)+SUMIFS(Calc_Fixed_1[Ausnet],Calc_Fixed_1[[Customer type]:[Customer type]],Calc_Rates!$F47)+SUMIFS(Calc_Fixed_1[Ausnet],Calc_Fixed_1[[Customer type]:[Customer type]],"All"))*
(1+Calc_ROM_1[Ausnet]))*(1+GST))/DiY,0,1)))</f>
        <v>-</v>
      </c>
      <c r="H48" s="88" t="str" cm="1">
        <f t="array" ref="H48">IF(H42=0,"-",
IF($D$244='Lookup refs'!$D$23,
IF(H47=INDEX(RateCheck_VDO2021F[[Ausnet]:[United Energy]],MATCH(Calc_Rates!$C47&amp;"_"&amp;Calc_Rates!$F47,RateCheck_VDO2021F[[Rate]:[Rate]],0),MATCH(Calc_Rates!H$9,RateCheck_VDO2021F[[#Headers],[Ausnet]:[United Energy]],0)),0,1),
IF(H47=(((SUMIFS(Calc_NetworkF_1[Citipower],Calc_NetworkF_1[[Cost item]:[Cost item]],$C41,Calc_NetworkF_1[[Customer type]:[Customer type]],$F42)+SUMIFS(Calc_Fixed_1[Citipower],Calc_Fixed_1[[Customer type]:[Customer type]],Calc_Rates!$F47)+SUMIFS(Calc_Fixed_1[Citipower],Calc_Fixed_1[[Customer type]:[Customer type]],"All"))*
(1+Calc_ROM_1[Citipower]))*(1+GST))/DiY,0,1)))</f>
        <v>-</v>
      </c>
      <c r="I48" s="88" t="str" cm="1">
        <f t="array" ref="I48">IF(I42=0,"-",
IF($D$244='Lookup refs'!$D$23,
IF(I47=INDEX(RateCheck_VDO2021F[[Ausnet]:[United Energy]],MATCH(Calc_Rates!$C47&amp;"_"&amp;Calc_Rates!$F47,RateCheck_VDO2021F[[Rate]:[Rate]],0),MATCH(Calc_Rates!I$9,RateCheck_VDO2021F[[#Headers],[Ausnet]:[United Energy]],0)),0,1),
IF(I47=(((SUMIFS(Calc_NetworkF_1[Jemena],Calc_NetworkF_1[[Cost item]:[Cost item]],$C41,Calc_NetworkF_1[[Customer type]:[Customer type]],$F42)+SUMIFS(Calc_Fixed_1[Jemena],Calc_Fixed_1[[Customer type]:[Customer type]],Calc_Rates!$F47)+SUMIFS(Calc_Fixed_1[Jemena],Calc_Fixed_1[[Customer type]:[Customer type]],"All"))*
(1+Calc_ROM_1[Jemena]))*(1+GST))/DiY,0,1)))</f>
        <v>-</v>
      </c>
      <c r="J48" s="88" t="str" cm="1">
        <f t="array" ref="J48">IF(J42=0,"-",
IF($D$244='Lookup refs'!$D$23,
IF(J47=INDEX(RateCheck_VDO2021F[[Ausnet]:[United Energy]],MATCH(Calc_Rates!$C47&amp;"_"&amp;Calc_Rates!$F47,RateCheck_VDO2021F[[Rate]:[Rate]],0),MATCH(Calc_Rates!J$9,RateCheck_VDO2021F[[#Headers],[Ausnet]:[United Energy]],0)),0,1),
IF(J47=(((SUMIFS(Calc_NetworkF_1[Powercor],Calc_NetworkF_1[[Cost item]:[Cost item]],$C41,Calc_NetworkF_1[[Customer type]:[Customer type]],$F42)+SUMIFS(Calc_Fixed_1[Powercor],Calc_Fixed_1[[Customer type]:[Customer type]],Calc_Rates!$F47)+SUMIFS(Calc_Fixed_1[Powercor],Calc_Fixed_1[[Customer type]:[Customer type]],"All"))*
(1+Calc_ROM_1[Powercor]))*(1+GST))/DiY,0,1)))</f>
        <v>-</v>
      </c>
      <c r="K48" s="88" t="str" cm="1">
        <f t="array" ref="K48">IF(K42=0,"-",
IF($D$244='Lookup refs'!$D$23,
IF(K47=INDEX(RateCheck_VDO2021F[[Ausnet]:[United Energy]],MATCH(Calc_Rates!$C47&amp;"_"&amp;Calc_Rates!$F47,RateCheck_VDO2021F[[Rate]:[Rate]],0),MATCH(Calc_Rates!K$9,RateCheck_VDO2021F[[#Headers],[Ausnet]:[United Energy]],0)),0,1),
IF(K47=(((SUMIFS(Calc_NetworkF_1[United Energy],Calc_NetworkF_1[[Cost item]:[Cost item]],$C41,Calc_NetworkF_1[[Customer type]:[Customer type]],$F42)+SUMIFS(Calc_Fixed_1[United Energy],Calc_Fixed_1[[Customer type]:[Customer type]],Calc_Rates!$F47)+SUMIFS(Calc_Fixed_1[United Energy],Calc_Fixed_1[[Customer type]:[Customer type]],"All"))*
(1+Calc_ROM_1[United Energy]))*(1+GST))/DiY,0,1)))</f>
        <v>-</v>
      </c>
    </row>
    <row r="49" spans="2:14" outlineLevel="2" x14ac:dyDescent="0.35">
      <c r="B49"/>
    </row>
    <row r="50" spans="2:14" ht="15.5" outlineLevel="2" x14ac:dyDescent="0.35">
      <c r="B50"/>
      <c r="C50" s="39" t="s">
        <v>282</v>
      </c>
      <c r="D50" s="39" t="s">
        <v>94</v>
      </c>
      <c r="E50" s="39" t="s">
        <v>95</v>
      </c>
      <c r="F50" s="39" t="s">
        <v>87</v>
      </c>
      <c r="G50" s="55" t="s">
        <v>270</v>
      </c>
      <c r="H50" s="55" t="s">
        <v>271</v>
      </c>
      <c r="I50" s="55" t="s">
        <v>272</v>
      </c>
      <c r="J50" s="55" t="s">
        <v>273</v>
      </c>
      <c r="K50" s="55" t="s">
        <v>274</v>
      </c>
    </row>
    <row r="51" spans="2:14" outlineLevel="2" x14ac:dyDescent="0.35">
      <c r="B51"/>
      <c r="C51" s="21" t="s">
        <v>283</v>
      </c>
      <c r="D51" s="21" t="s">
        <v>124</v>
      </c>
      <c r="E51" s="21" t="s">
        <v>284</v>
      </c>
      <c r="F51" s="21" t="s">
        <v>103</v>
      </c>
      <c r="G51" s="68">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2.3197834914089437E-2</v>
      </c>
      <c r="H51" s="68">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2.3197834914089437E-2</v>
      </c>
      <c r="I51" s="68">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2.3197834914089437E-2</v>
      </c>
      <c r="J51" s="68">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2.3197834914089437E-2</v>
      </c>
      <c r="K51" s="68">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2.3197834914089437E-2</v>
      </c>
    </row>
    <row r="52" spans="2:14" outlineLevel="2" x14ac:dyDescent="0.35">
      <c r="B52"/>
      <c r="C52" s="21" t="s">
        <v>275</v>
      </c>
      <c r="D52" s="21" t="s">
        <v>124</v>
      </c>
      <c r="E52" s="21" t="s">
        <v>284</v>
      </c>
      <c r="F52" s="21" t="s">
        <v>103</v>
      </c>
      <c r="G52" s="68">
        <f>SUMIFS(Calc_OtherCosts_1[Ausnet],Calc_OtherCosts_1[[Fixed/Variable]:[Fixed/Variable]],$D52,Calc_OtherCosts_1[[Customer type]:[Customer type]],$F52)</f>
        <v>7.3408637826745697E-4</v>
      </c>
      <c r="H52" s="68">
        <f>SUMIFS(Calc_OtherCosts_1[Citipower],Calc_OtherCosts_1[[Fixed/Variable]:[Fixed/Variable]],$D52,Calc_OtherCosts_1[[Customer type]:[Customer type]],$F52)</f>
        <v>7.3408637826745697E-4</v>
      </c>
      <c r="I52" s="68">
        <f>SUMIFS(Calc_OtherCosts_1[Jemena],Calc_OtherCosts_1[[Fixed/Variable]:[Fixed/Variable]],$D52,Calc_OtherCosts_1[[Customer type]:[Customer type]],$F52)</f>
        <v>7.3408637826745697E-4</v>
      </c>
      <c r="J52" s="68">
        <f>SUMIFS(Calc_OtherCosts_1[Powercor],Calc_OtherCosts_1[[Fixed/Variable]:[Fixed/Variable]],$D52,Calc_OtherCosts_1[[Customer type]:[Customer type]],$F52)</f>
        <v>7.3408637826745697E-4</v>
      </c>
      <c r="K52" s="68">
        <f>SUMIFS(Calc_OtherCosts_1[United Energy],Calc_OtherCosts_1[[Fixed/Variable]:[Fixed/Variable]],$D52,Calc_OtherCosts_1[[Customer type]:[Customer type]],$F52)</f>
        <v>7.3408637826745697E-4</v>
      </c>
    </row>
    <row r="53" spans="2:14" outlineLevel="2" x14ac:dyDescent="0.35">
      <c r="B53"/>
      <c r="C53" s="21" t="s">
        <v>285</v>
      </c>
      <c r="D53" s="21" t="s">
        <v>124</v>
      </c>
      <c r="E53" s="21" t="s">
        <v>284</v>
      </c>
      <c r="F53" s="21" t="s">
        <v>88</v>
      </c>
      <c r="G53" s="66">
        <f>SUMIFS(Calc_WholesaleRES_1[Ausnet],Calc_WholesaleRES_1[[Fixed/Variable]:[Fixed/Variable]],$D53,Calc_WholesaleRES_1[[Customer type]:[Customer type]],$F53,Calc_WholesaleRES_1[[Cost item]:[Cost item]],$C53)</f>
        <v>9.4499999999999987E-2</v>
      </c>
      <c r="H53" s="66">
        <f>SUMIFS(Calc_WholesaleRES_1[Citipower],Calc_WholesaleRES_1[[Fixed/Variable]:[Fixed/Variable]],$D53,Calc_WholesaleRES_1[[Customer type]:[Customer type]],$F53,Calc_WholesaleRES_1[[Cost item]:[Cost item]],$C53)</f>
        <v>8.931E-2</v>
      </c>
      <c r="I53" s="66">
        <f>SUMIFS(Calc_WholesaleRES_1[Jemena],Calc_WholesaleRES_1[[Fixed/Variable]:[Fixed/Variable]],$D53,Calc_WholesaleRES_1[[Customer type]:[Customer type]],$F53,Calc_WholesaleRES_1[[Cost item]:[Cost item]],$C53)</f>
        <v>9.8250000000000004E-2</v>
      </c>
      <c r="J53" s="66">
        <f>SUMIFS(Calc_WholesaleRES_1[Powercor],Calc_WholesaleRES_1[[Fixed/Variable]:[Fixed/Variable]],$D53,Calc_WholesaleRES_1[[Customer type]:[Customer type]],$F53,Calc_WholesaleRES_1[[Cost item]:[Cost item]],$C53)</f>
        <v>9.2450000000000004E-2</v>
      </c>
      <c r="K53" s="66">
        <f>SUMIFS(Calc_WholesaleRES_1[United Energy],Calc_WholesaleRES_1[[Fixed/Variable]:[Fixed/Variable]],$D53,Calc_WholesaleRES_1[[Customer type]:[Customer type]],$F53,Calc_WholesaleRES_1[[Cost item]:[Cost item]],$C53)</f>
        <v>9.8670000000000008E-2</v>
      </c>
    </row>
    <row r="54" spans="2:14" outlineLevel="2" x14ac:dyDescent="0.35">
      <c r="B54"/>
      <c r="C54" s="21" t="s">
        <v>285</v>
      </c>
      <c r="D54" s="21" t="s">
        <v>124</v>
      </c>
      <c r="E54" s="21" t="s">
        <v>284</v>
      </c>
      <c r="F54" s="21" t="s">
        <v>89</v>
      </c>
      <c r="G54" s="66">
        <f>SUMIFS(Calc_WholesaleSME_1[Ausnet],Calc_WholesaleSME_1[[Fixed/Variable]:[Fixed/Variable]],$D54,Calc_WholesaleSME_1[[Customer type]:[Customer type]],$F54,Calc_WholesaleSME_1[[Cost item]:[Cost item]],$C54)</f>
        <v>8.2619999999999999E-2</v>
      </c>
      <c r="H54" s="66">
        <f>SUMIFS(Calc_WholesaleSME_1[Citipower],Calc_WholesaleSME_1[[Fixed/Variable]:[Fixed/Variable]],$D54,Calc_WholesaleSME_1[[Customer type]:[Customer type]],$F54,Calc_WholesaleSME_1[[Cost item]:[Cost item]],$C54)</f>
        <v>8.548E-2</v>
      </c>
      <c r="I54" s="66">
        <f>SUMIFS(Calc_WholesaleSME_1[Jemena],Calc_WholesaleSME_1[[Fixed/Variable]:[Fixed/Variable]],$D54,Calc_WholesaleSME_1[[Customer type]:[Customer type]],$F54,Calc_WholesaleSME_1[[Cost item]:[Cost item]],$C54)</f>
        <v>8.4870000000000001E-2</v>
      </c>
      <c r="J54" s="66">
        <f>SUMIFS(Calc_WholesaleSME_1[Powercor],Calc_WholesaleSME_1[[Fixed/Variable]:[Fixed/Variable]],$D54,Calc_WholesaleSME_1[[Customer type]:[Customer type]],$F54,Calc_WholesaleSME_1[[Cost item]:[Cost item]],$C54)</f>
        <v>8.0420000000000005E-2</v>
      </c>
      <c r="K54" s="66">
        <f>SUMIFS(Calc_WholesaleSME_1[United Energy],Calc_WholesaleSME_1[[Fixed/Variable]:[Fixed/Variable]],$D54,Calc_WholesaleSME_1[[Customer type]:[Customer type]],$F54,Calc_WholesaleSME_1[[Cost item]:[Cost item]],$C54)</f>
        <v>8.7039999999999992E-2</v>
      </c>
      <c r="N54" s="67"/>
    </row>
    <row r="55" spans="2:14" outlineLevel="2" x14ac:dyDescent="0.35">
      <c r="B55"/>
      <c r="C55" s="21" t="s">
        <v>286</v>
      </c>
      <c r="D55" s="21" t="s">
        <v>124</v>
      </c>
      <c r="E55" s="21" t="s">
        <v>284</v>
      </c>
      <c r="F55" s="21" t="s">
        <v>88</v>
      </c>
      <c r="G55" s="68">
        <f>(SUMIFS(G$51:G$54,$F$51:$F$54,"All")+SUMIFS(G$51:G$54,$F$51:$F$54,$F55))*INDEX($G$155:$K$155,1,MATCH(G$50,Calc_Losses_1[[#Headers],[Ausnet]:[United Energy]],0))</f>
        <v>7.9399415870230923E-3</v>
      </c>
      <c r="H55" s="68">
        <f>(SUMIFS(H$51:H$54,$F$51:$F$54,"All")+SUMIFS(H$51:H$54,$F$51:$F$54,$F55))*INDEX($G$155:$K$155,1,MATCH(H$50,Calc_Losses_1[[#Headers],[Ausnet]:[United Energy]],0))</f>
        <v>5.5033907959423176E-3</v>
      </c>
      <c r="I55" s="68">
        <f>(SUMIFS(I$51:I$54,$F$51:$F$54,"All")+SUMIFS(I$51:I$54,$F$51:$F$54,$F55))*INDEX($G$155:$K$155,1,MATCH(I$50,Calc_Losses_1[[#Headers],[Ausnet]:[United Energy]],0))</f>
        <v>4.5994857530669573E-3</v>
      </c>
      <c r="J55" s="68">
        <f>(SUMIFS(J$51:J$54,$F$51:$F$54,"All")+SUMIFS(J$51:J$54,$F$51:$F$54,$F55))*INDEX($G$155:$K$155,1,MATCH(J$50,Calc_Losses_1[[#Headers],[Ausnet]:[United Energy]],0))</f>
        <v>8.2726425629698827E-3</v>
      </c>
      <c r="K55" s="68">
        <f>(SUMIFS(K$51:K$54,$F$51:$F$54,"All")+SUMIFS(K$51:K$54,$F$51:$F$54,$F55))*INDEX($G$155:$K$155,1,MATCH(K$50,Calc_Losses_1[[#Headers],[Ausnet]:[United Energy]],0))</f>
        <v>6.4272069860374153E-3</v>
      </c>
    </row>
    <row r="56" spans="2:14" outlineLevel="2" x14ac:dyDescent="0.35">
      <c r="B56"/>
      <c r="C56" s="21" t="s">
        <v>286</v>
      </c>
      <c r="D56" s="21" t="s">
        <v>124</v>
      </c>
      <c r="E56" s="21" t="s">
        <v>284</v>
      </c>
      <c r="F56" s="21" t="s">
        <v>89</v>
      </c>
      <c r="G56" s="68">
        <f>(SUMIFS(G$51:G$54,$F$51:$F$54,"All")+SUMIFS(G$51:G$54,$F$51:$F$54,$F56))*INDEX($G$155:$K$155,1,MATCH(G$50,Calc_Losses_1[[#Headers],[Ausnet]:[United Energy]],0))</f>
        <v>7.1434797461230942E-3</v>
      </c>
      <c r="H56" s="68">
        <f>(SUMIFS(H$51:H$54,$F$51:$F$54,"All")+SUMIFS(H$51:H$54,$F$51:$F$54,$F56))*INDEX($G$155:$K$155,1,MATCH(H$50,Calc_Losses_1[[#Headers],[Ausnet]:[United Energy]],0))</f>
        <v>5.3172584298723184E-3</v>
      </c>
      <c r="I56" s="68">
        <f>(SUMIFS(I$51:I$54,$F$51:$F$54,"All")+SUMIFS(I$51:I$54,$F$51:$F$54,$F56))*INDEX($G$155:$K$155,1,MATCH(I$50,Calc_Losses_1[[#Headers],[Ausnet]:[United Energy]],0))</f>
        <v>4.0958014213336212E-3</v>
      </c>
      <c r="J56" s="68">
        <f>(SUMIFS(J$51:J$54,$F$51:$F$54,"All")+SUMIFS(J$51:J$54,$F$51:$F$54,$F56))*INDEX($G$155:$K$155,1,MATCH(J$50,Calc_Losses_1[[#Headers],[Ausnet]:[United Energy]],0))</f>
        <v>7.4175278773948869E-3</v>
      </c>
      <c r="K56" s="68">
        <f>(SUMIFS(K$51:K$54,$F$51:$F$54,"All")+SUMIFS(K$51:K$54,$F$51:$F$54,$F56))*INDEX($G$155:$K$155,1,MATCH(K$50,Calc_Losses_1[[#Headers],[Ausnet]:[United Energy]],0))</f>
        <v>5.8175230882674123E-3</v>
      </c>
    </row>
    <row r="57" spans="2:14" outlineLevel="2" x14ac:dyDescent="0.35">
      <c r="B57"/>
    </row>
    <row r="58" spans="2:14" ht="15.5" outlineLevel="2" x14ac:dyDescent="0.35">
      <c r="B58"/>
      <c r="C58" s="26" t="s">
        <v>287</v>
      </c>
    </row>
    <row r="59" spans="2:14" ht="15.5" outlineLevel="2" x14ac:dyDescent="0.35">
      <c r="B59"/>
      <c r="C59" s="69" t="s">
        <v>288</v>
      </c>
    </row>
    <row r="60" spans="2:14" outlineLevel="2" x14ac:dyDescent="0.35">
      <c r="B60"/>
      <c r="C60" s="21" t="s">
        <v>289</v>
      </c>
      <c r="D60" s="21" t="s">
        <v>9</v>
      </c>
      <c r="E60" s="21" t="s">
        <v>284</v>
      </c>
      <c r="F60" s="21" t="s">
        <v>88</v>
      </c>
      <c r="G60" s="56">
        <f>SUMIFS(Calc_NetworkV_1[Ausnet],Calc_NetworkV_1[[Cost item]:[Cost item]],$C59,Calc_NetworkV_1[[Customer type]:[Customer type]],$F60)</f>
        <v>0.10535</v>
      </c>
      <c r="H60" s="56">
        <f>SUMIFS(Calc_NetworkV_1[Citipower],Calc_NetworkV_1[[Cost item]:[Cost item]],$C59,Calc_NetworkV_1[[Customer type]:[Customer type]],$F60)</f>
        <v>0</v>
      </c>
      <c r="I60" s="56">
        <f>SUMIFS(Calc_NetworkV_1[Jemena],Calc_NetworkV_1[[Cost item]:[Cost item]],$C59,Calc_NetworkV_1[[Customer type]:[Customer type]],$F60)</f>
        <v>0</v>
      </c>
      <c r="J60" s="56">
        <f>SUMIFS(Calc_NetworkV_1[Powercor],Calc_NetworkV_1[[Cost item]:[Cost item]],$C59,Calc_NetworkV_1[[Customer type]:[Customer type]],$F60)</f>
        <v>0</v>
      </c>
      <c r="K60" s="56">
        <f>SUMIFS(Calc_NetworkV_1[United Energy],Calc_NetworkV_1[[Cost item]:[Cost item]],$C59,Calc_NetworkV_1[[Customer type]:[Customer type]],$F60)</f>
        <v>0</v>
      </c>
    </row>
    <row r="61" spans="2:14" outlineLevel="2" x14ac:dyDescent="0.35">
      <c r="B61"/>
      <c r="C61" s="21" t="s">
        <v>282</v>
      </c>
      <c r="D61" s="21" t="s">
        <v>9</v>
      </c>
      <c r="E61" s="21" t="s">
        <v>284</v>
      </c>
      <c r="F61" s="21" t="s">
        <v>88</v>
      </c>
      <c r="G61" s="56">
        <f>SUMIFS(Calc_Variable_1[Ausnet],Calc_Variable_1[[Customer type]:[Customer type]],"All")+SUMIFS(Calc_Variable_1[Ausnet],Calc_Variable_1[[Customer type]:[Customer type]],$F61)</f>
        <v>0.12637186287937996</v>
      </c>
      <c r="H61" s="56">
        <f>SUMIFS(Calc_Variable_1[Citipower],Calc_Variable_1[[Customer type]:[Customer type]],"All")+SUMIFS(Calc_Variable_1[Citipower],Calc_Variable_1[[Customer type]:[Customer type]],$F61)</f>
        <v>0.11874531208829922</v>
      </c>
      <c r="I61" s="56">
        <f>SUMIFS(Calc_Variable_1[Jemena],Calc_Variable_1[[Customer type]:[Customer type]],"All")+SUMIFS(Calc_Variable_1[Jemena],Calc_Variable_1[[Customer type]:[Customer type]],$F61)</f>
        <v>0.12678140704542384</v>
      </c>
      <c r="J61" s="56">
        <f>SUMIFS(Calc_Variable_1[Powercor],Calc_Variable_1[[Customer type]:[Customer type]],"All")+SUMIFS(Calc_Variable_1[Powercor],Calc_Variable_1[[Customer type]:[Customer type]],$F61)</f>
        <v>0.12465456385532679</v>
      </c>
      <c r="K61" s="56">
        <f>SUMIFS(Calc_Variable_1[United Energy],Calc_Variable_1[[Customer type]:[Customer type]],"All")+SUMIFS(Calc_Variable_1[United Energy],Calc_Variable_1[[Customer type]:[Customer type]],$F61)</f>
        <v>0.1290291282783943</v>
      </c>
    </row>
    <row r="62" spans="2:14" outlineLevel="2" x14ac:dyDescent="0.35">
      <c r="B62"/>
      <c r="C62" s="21" t="s">
        <v>197</v>
      </c>
      <c r="D62" s="21" t="s">
        <v>9</v>
      </c>
      <c r="E62" s="21" t="s">
        <v>284</v>
      </c>
      <c r="F62" s="21" t="s">
        <v>88</v>
      </c>
      <c r="G62" s="62" cm="1">
        <f t="array" ref="G62">IF(G60=0,"-",
(G60+G61)*Calc_ROM_1[Ausnet])</f>
        <v>1.399600051791455E-2</v>
      </c>
      <c r="H62" s="62" t="str" cm="1">
        <f t="array" ref="H62">IF(H60=0,"-",
(H60+H61)*Calc_ROM_1[Citipower])</f>
        <v>-</v>
      </c>
      <c r="I62" s="62" t="str" cm="1">
        <f t="array" ref="I62">IF(I60=0,"-",
(I60+I61)*Calc_ROM_1[Jemena])</f>
        <v>-</v>
      </c>
      <c r="J62" s="62" t="str" cm="1">
        <f t="array" ref="J62">IF(J60=0,"-",
(J60+J61)*Calc_ROM_1[Powercor])</f>
        <v>-</v>
      </c>
      <c r="K62" s="62" t="str" cm="1">
        <f t="array" ref="K62">IF(K60=0,"-",
(K60+K61)*Calc_ROM_1[United Energy])</f>
        <v>-</v>
      </c>
    </row>
    <row r="63" spans="2:14" outlineLevel="2" x14ac:dyDescent="0.35">
      <c r="B63"/>
      <c r="C63" s="21" t="s">
        <v>279</v>
      </c>
      <c r="D63" s="21" t="s">
        <v>9</v>
      </c>
      <c r="E63" s="21" t="s">
        <v>284</v>
      </c>
      <c r="F63" s="21" t="s">
        <v>88</v>
      </c>
      <c r="G63" s="62">
        <f>IF(G60=0,"-",
(G60+G61+G62)*GST)</f>
        <v>2.4571786339729451E-2</v>
      </c>
      <c r="H63" s="62" t="str">
        <f>IF(H60=0,"-",
(SUMIFS(#REF!,#REF!,$F60)+H60+H62)*GST)</f>
        <v>-</v>
      </c>
      <c r="I63" s="62" t="str">
        <f>IF(I60=0,"-",
(SUMIFS(#REF!,#REF!,$F60)+I60+I62)*GST)</f>
        <v>-</v>
      </c>
      <c r="J63" s="62" t="str">
        <f>IF(J60=0,"-",
(SUMIFS(#REF!,#REF!,$F60)+J60+J62)*GST)</f>
        <v>-</v>
      </c>
      <c r="K63" s="62" t="str">
        <f>IF(K60=0,"-",
(SUMIFS(#REF!,#REF!,$F60)+K60+K62)*GST)</f>
        <v>-</v>
      </c>
    </row>
    <row r="64" spans="2:14" outlineLevel="2" x14ac:dyDescent="0.35">
      <c r="B64"/>
      <c r="C64" s="21" t="str">
        <f>C59&amp;" charge"</f>
        <v>Anytime - Block 1 charge</v>
      </c>
      <c r="D64" s="21" t="s">
        <v>9</v>
      </c>
      <c r="E64" s="21" t="s">
        <v>284</v>
      </c>
      <c r="F64" s="21" t="s">
        <v>88</v>
      </c>
      <c r="G64" s="63">
        <f>IF(G60=0,"-",
SUM(G60:G63))</f>
        <v>0.27028964973702396</v>
      </c>
      <c r="H64" s="63" t="str">
        <f t="shared" ref="H64:K64" si="13">IF(H60=0,"-",
SUM(H60:H63))</f>
        <v>-</v>
      </c>
      <c r="I64" s="63" t="str">
        <f t="shared" si="13"/>
        <v>-</v>
      </c>
      <c r="J64" s="63" t="str">
        <f t="shared" si="13"/>
        <v>-</v>
      </c>
      <c r="K64" s="63" t="str">
        <f t="shared" si="13"/>
        <v>-</v>
      </c>
    </row>
    <row r="65" spans="2:11" outlineLevel="2" x14ac:dyDescent="0.35">
      <c r="B65"/>
      <c r="G65" s="88" cm="1">
        <f t="array" ref="G65">IF($D$5='Lookup refs'!$D$23,
IF(G64=INDEX(RateCheck_VDO2021F[[Ausnet]:[United Energy]],MATCH(Calc_Rates!$C64&amp;"_"&amp;Calc_Rates!$F64,RateCheck_VDO2021F[[Rate]:[Rate]],0),MATCH(Calc_Rates!G$9,RateCheck_VDO2021F[[#Headers],[Ausnet]:[United Energy]],0)),0,1),
IF(G64="-","-",
IF(G64=(((SUMIFS(Calc_Variable_1[Ausnet],Calc_Variable_1[[Customer type]:[Customer type]],Calc_Rates!$F64)+SUMIFS(Calc_Variable_1[Ausnet],Calc_Variable_1[[Customer type]:[Customer type]],"All")+G60)*(1+Calc_ROM_1[Ausnet]))*(1+GST)),0,1)))</f>
        <v>0</v>
      </c>
      <c r="H65" s="88" cm="1">
        <f t="array" ref="H65">IF($D$5='Lookup refs'!$D$23,
IF(H64=INDEX(RateCheck_VDO2021F[[Ausnet]:[United Energy]],MATCH(Calc_Rates!$C64&amp;"_"&amp;Calc_Rates!$F64,RateCheck_VDO2021F[[Rate]:[Rate]],0),MATCH(Calc_Rates!H$9,RateCheck_VDO2021F[[#Headers],[Ausnet]:[United Energy]],0)),0,1),
IF(H64="-","-",
IF(H64=(((SUMIFS(Calc_Variable_1[Citipower],Calc_Variable_1[[Customer type]:[Customer type]],Calc_Rates!$F64)+SUMIFS(Calc_Variable_1[Citipower],Calc_Variable_1[[Customer type]:[Customer type]],"All")+H60)*(1+Calc_ROM_1[Citipower]))*(1+GST)),0,1)))</f>
        <v>0</v>
      </c>
      <c r="I65" s="88" cm="1">
        <f t="array" ref="I65">IF($D$5='Lookup refs'!$D$23,
IF(I64=INDEX(RateCheck_VDO2021F[[Ausnet]:[United Energy]],MATCH(Calc_Rates!$C64&amp;"_"&amp;Calc_Rates!$F64,RateCheck_VDO2021F[[Rate]:[Rate]],0),MATCH(Calc_Rates!I$9,RateCheck_VDO2021F[[#Headers],[Ausnet]:[United Energy]],0)),0,1),
IF(I64="-","-",
IF(I64=(((SUMIFS(Calc_Variable_1[Jemena],Calc_Variable_1[[Customer type]:[Customer type]],Calc_Rates!$F64)+SUMIFS(Calc_Variable_1[Jemena],Calc_Variable_1[[Customer type]:[Customer type]],"All")+I60)*(1+Calc_ROM_1[Jemena]))*(1+GST)),0,1)))</f>
        <v>0</v>
      </c>
      <c r="J65" s="88" cm="1">
        <f t="array" ref="J65">IF($D$5='Lookup refs'!$D$23,
IF(J64=INDEX(RateCheck_VDO2021F[[Ausnet]:[United Energy]],MATCH(Calc_Rates!$C64&amp;"_"&amp;Calc_Rates!$F64,RateCheck_VDO2021F[[Rate]:[Rate]],0),MATCH(Calc_Rates!J$9,RateCheck_VDO2021F[[#Headers],[Ausnet]:[United Energy]],0)),0,1),
IF(J64="-","-",
IF(J64=(((SUMIFS(Calc_Variable_1[Powercor],Calc_Variable_1[[Customer type]:[Customer type]],Calc_Rates!$F64)+SUMIFS(Calc_Variable_1[Powercor],Calc_Variable_1[[Customer type]:[Customer type]],"All")+J60)*(1+Calc_ROM_1[Powercor]))*(1+GST)),0,1)))</f>
        <v>0</v>
      </c>
      <c r="K65" s="88" cm="1">
        <f t="array" ref="K65">IF($D$5='Lookup refs'!$D$23,
IF(K64=INDEX(RateCheck_VDO2021F[[Ausnet]:[United Energy]],MATCH(Calc_Rates!$C64&amp;"_"&amp;Calc_Rates!$F64,RateCheck_VDO2021F[[Rate]:[Rate]],0),MATCH(Calc_Rates!K$9,RateCheck_VDO2021F[[#Headers],[Ausnet]:[United Energy]],0)),0,1),
IF(K64="-","-",
IF(K64=(((SUMIFS(Calc_Variable_1[United Energy],Calc_Variable_1[[Customer type]:[Customer type]],Calc_Rates!$F64)+SUMIFS(Calc_Variable_1[United Energy],Calc_Variable_1[[Customer type]:[Customer type]],"All")+K60)*(1+Calc_ROM_1[United Energy]))*(1+GST)),0,1)))</f>
        <v>0</v>
      </c>
    </row>
    <row r="66" spans="2:11" ht="15.5" outlineLevel="2" x14ac:dyDescent="0.35">
      <c r="B66"/>
      <c r="C66" s="69" t="s">
        <v>290</v>
      </c>
    </row>
    <row r="67" spans="2:11" outlineLevel="2" x14ac:dyDescent="0.35">
      <c r="B67"/>
      <c r="C67" s="21" t="s">
        <v>289</v>
      </c>
      <c r="D67" s="21" t="s">
        <v>9</v>
      </c>
      <c r="E67" s="21" t="s">
        <v>284</v>
      </c>
      <c r="F67" s="21" t="s">
        <v>88</v>
      </c>
      <c r="G67" s="56">
        <f>SUMIFS(Calc_NetworkV_1[Ausnet],Calc_NetworkV_1[[Cost item]:[Cost item]],$C66,Calc_NetworkV_1[[Customer type]:[Customer type]],$F67)</f>
        <v>0.12073700000000001</v>
      </c>
      <c r="H67" s="56">
        <f>SUMIFS(Calc_NetworkV_1[Citipower],Calc_NetworkV_1[[Cost item]:[Cost item]],$C66,Calc_NetworkV_1[[Customer type]:[Customer type]],$F67)</f>
        <v>0</v>
      </c>
      <c r="I67" s="56">
        <f>SUMIFS(Calc_NetworkV_1[Jemena],Calc_NetworkV_1[[Cost item]:[Cost item]],$C66,Calc_NetworkV_1[[Customer type]:[Customer type]],$F67)</f>
        <v>0</v>
      </c>
      <c r="J67" s="56">
        <f>SUMIFS(Calc_NetworkV_1[Powercor],Calc_NetworkV_1[[Cost item]:[Cost item]],$C66,Calc_NetworkV_1[[Customer type]:[Customer type]],$F67)</f>
        <v>0</v>
      </c>
      <c r="K67" s="56">
        <f>SUMIFS(Calc_NetworkV_1[United Energy],Calc_NetworkV_1[[Cost item]:[Cost item]],$C66,Calc_NetworkV_1[[Customer type]:[Customer type]],$F67)</f>
        <v>0</v>
      </c>
    </row>
    <row r="68" spans="2:11" outlineLevel="2" x14ac:dyDescent="0.35">
      <c r="B68"/>
      <c r="C68" s="21" t="s">
        <v>282</v>
      </c>
      <c r="D68" s="21" t="s">
        <v>9</v>
      </c>
      <c r="E68" s="21" t="s">
        <v>284</v>
      </c>
      <c r="F68" s="21" t="s">
        <v>88</v>
      </c>
      <c r="G68" s="56">
        <f>SUMIFS(Calc_Variable_1[Ausnet],Calc_Variable_1[[Customer type]:[Customer type]],"All")+SUMIFS(Calc_Variable_1[Ausnet],Calc_Variable_1[[Customer type]:[Customer type]],$F68)</f>
        <v>0.12637186287937996</v>
      </c>
      <c r="H68" s="56">
        <f>SUMIFS(Calc_Variable_1[Citipower],Calc_Variable_1[[Customer type]:[Customer type]],"All")+SUMIFS(Calc_Variable_1[Citipower],Calc_Variable_1[[Customer type]:[Customer type]],$F68)</f>
        <v>0.11874531208829922</v>
      </c>
      <c r="I68" s="56">
        <f>SUMIFS(Calc_Variable_1[Jemena],Calc_Variable_1[[Customer type]:[Customer type]],"All")+SUMIFS(Calc_Variable_1[Jemena],Calc_Variable_1[[Customer type]:[Customer type]],$F68)</f>
        <v>0.12678140704542384</v>
      </c>
      <c r="J68" s="56">
        <f>SUMIFS(Calc_Variable_1[Powercor],Calc_Variable_1[[Customer type]:[Customer type]],"All")+SUMIFS(Calc_Variable_1[Powercor],Calc_Variable_1[[Customer type]:[Customer type]],$F68)</f>
        <v>0.12465456385532679</v>
      </c>
      <c r="K68" s="56">
        <f>SUMIFS(Calc_Variable_1[United Energy],Calc_Variable_1[[Customer type]:[Customer type]],"All")+SUMIFS(Calc_Variable_1[United Energy],Calc_Variable_1[[Customer type]:[Customer type]],$F68)</f>
        <v>0.1290291282783943</v>
      </c>
    </row>
    <row r="69" spans="2:11" outlineLevel="2" x14ac:dyDescent="0.35">
      <c r="B69"/>
      <c r="C69" s="21" t="s">
        <v>197</v>
      </c>
      <c r="D69" s="21" t="s">
        <v>9</v>
      </c>
      <c r="E69" s="21" t="s">
        <v>284</v>
      </c>
      <c r="F69" s="21" t="s">
        <v>88</v>
      </c>
      <c r="G69" s="62" cm="1">
        <f t="array" ref="G69">IF(G67=0,"-",
(G67+G68)*Calc_ROM_1[Ausnet])</f>
        <v>1.492537531791455E-2</v>
      </c>
      <c r="H69" s="62" t="str" cm="1">
        <f t="array" ref="H69">IF(H67=0,"-",
(H67+H68)*Calc_ROM_1[Citipower])</f>
        <v>-</v>
      </c>
      <c r="I69" s="62" t="str" cm="1">
        <f t="array" ref="I69">IF(I67=0,"-",
(I67+I68)*Calc_ROM_1[Jemena])</f>
        <v>-</v>
      </c>
      <c r="J69" s="62" t="str" cm="1">
        <f t="array" ref="J69">IF(J67=0,"-",
(J67+J68)*Calc_ROM_1[Powercor])</f>
        <v>-</v>
      </c>
      <c r="K69" s="62" t="str" cm="1">
        <f t="array" ref="K69">IF(K67=0,"-",
(K67+K68)*Calc_ROM_1[United Energy])</f>
        <v>-</v>
      </c>
    </row>
    <row r="70" spans="2:11" outlineLevel="2" x14ac:dyDescent="0.35">
      <c r="B70"/>
      <c r="C70" s="21" t="s">
        <v>279</v>
      </c>
      <c r="D70" s="21" t="s">
        <v>9</v>
      </c>
      <c r="E70" s="21" t="s">
        <v>284</v>
      </c>
      <c r="F70" s="21" t="s">
        <v>88</v>
      </c>
      <c r="G70" s="62">
        <f>IF(G67=0,"-",
(G67+G68+G69)*GST)</f>
        <v>2.6203423819729454E-2</v>
      </c>
      <c r="H70" s="62" t="str">
        <f>IF(H67=0,"-",
(SUMIFS(#REF!,#REF!,$F67)+H67+H69)*GST)</f>
        <v>-</v>
      </c>
      <c r="I70" s="62" t="str">
        <f>IF(I67=0,"-",
(SUMIFS(#REF!,#REF!,$F67)+I67+I69)*GST)</f>
        <v>-</v>
      </c>
      <c r="J70" s="62" t="str">
        <f>IF(J67=0,"-",
(SUMIFS(#REF!,#REF!,$F67)+J67+J69)*GST)</f>
        <v>-</v>
      </c>
      <c r="K70" s="62" t="str">
        <f>IF(K67=0,"-",
(SUMIFS(#REF!,#REF!,$F67)+K67+K69)*GST)</f>
        <v>-</v>
      </c>
    </row>
    <row r="71" spans="2:11" outlineLevel="2" x14ac:dyDescent="0.35">
      <c r="B71"/>
      <c r="C71" s="21" t="str">
        <f>C66&amp;" charge"</f>
        <v>Anytime - Balance charge</v>
      </c>
      <c r="D71" s="21" t="s">
        <v>9</v>
      </c>
      <c r="E71" s="21" t="s">
        <v>284</v>
      </c>
      <c r="F71" s="21" t="s">
        <v>88</v>
      </c>
      <c r="G71" s="63">
        <f>IF(G67=0,"-",
SUM(G67:G70))</f>
        <v>0.288237662017024</v>
      </c>
      <c r="H71" s="63" t="str">
        <f t="shared" ref="H71" si="14">IF(H67=0,"-",
SUM(H67:H70))</f>
        <v>-</v>
      </c>
      <c r="I71" s="63" t="str">
        <f t="shared" ref="I71" si="15">IF(I67=0,"-",
SUM(I67:I70))</f>
        <v>-</v>
      </c>
      <c r="J71" s="63" t="str">
        <f t="shared" ref="J71" si="16">IF(J67=0,"-",
SUM(J67:J70))</f>
        <v>-</v>
      </c>
      <c r="K71" s="63" t="str">
        <f t="shared" ref="K71" si="17">IF(K67=0,"-",
SUM(K67:K70))</f>
        <v>-</v>
      </c>
    </row>
    <row r="72" spans="2:11" outlineLevel="2" x14ac:dyDescent="0.35">
      <c r="B72"/>
      <c r="G72" s="88" cm="1">
        <f t="array" ref="G72">IF($D$5='Lookup refs'!$D$23,
IF(G71=INDEX(RateCheck_VDO2021F[[Ausnet]:[United Energy]],MATCH(Calc_Rates!$C71&amp;"_"&amp;Calc_Rates!$F71,RateCheck_VDO2021F[[Rate]:[Rate]],0),MATCH(Calc_Rates!G$9,RateCheck_VDO2021F[[#Headers],[Ausnet]:[United Energy]],0)),0,1),
IF(G71="-","-",
IF(G71=(((SUMIFS(Calc_Variable_1[Ausnet],Calc_Variable_1[[Customer type]:[Customer type]],Calc_Rates!$F71)+SUMIFS(Calc_Variable_1[Ausnet],Calc_Variable_1[[Customer type]:[Customer type]],"All")+G67)*(1+Calc_ROM_1[Ausnet]))*(1+GST)),0,1)))</f>
        <v>0</v>
      </c>
      <c r="H72" s="88" cm="1">
        <f t="array" ref="H72">IF($D$5='Lookup refs'!$D$23,
IF(H71=INDEX(RateCheck_VDO2021F[[Ausnet]:[United Energy]],MATCH(Calc_Rates!$C71&amp;"_"&amp;Calc_Rates!$F71,RateCheck_VDO2021F[[Rate]:[Rate]],0),MATCH(Calc_Rates!H$9,RateCheck_VDO2021F[[#Headers],[Ausnet]:[United Energy]],0)),0,1),
IF(H71="-","-",
IF(H71=(((SUMIFS(Calc_Variable_1[Citipower],Calc_Variable_1[[Customer type]:[Customer type]],Calc_Rates!$F71)+SUMIFS(Calc_Variable_1[Citipower],Calc_Variable_1[[Customer type]:[Customer type]],"All")+H67)*(1+Calc_ROM_1[Citipower]))*(1+GST)),0,1)))</f>
        <v>0</v>
      </c>
      <c r="I72" s="88" cm="1">
        <f t="array" ref="I72">IF($D$5='Lookup refs'!$D$23,
IF(I71=INDEX(RateCheck_VDO2021F[[Ausnet]:[United Energy]],MATCH(Calc_Rates!$C71&amp;"_"&amp;Calc_Rates!$F71,RateCheck_VDO2021F[[Rate]:[Rate]],0),MATCH(Calc_Rates!I$9,RateCheck_VDO2021F[[#Headers],[Ausnet]:[United Energy]],0)),0,1),
IF(I71="-","-",
IF(I71=(((SUMIFS(Calc_Variable_1[Jemena],Calc_Variable_1[[Customer type]:[Customer type]],Calc_Rates!$F71)+SUMIFS(Calc_Variable_1[Jemena],Calc_Variable_1[[Customer type]:[Customer type]],"All")+I67)*(1+Calc_ROM_1[Jemena]))*(1+GST)),0,1)))</f>
        <v>0</v>
      </c>
      <c r="J72" s="88" cm="1">
        <f t="array" ref="J72">IF($D$5='Lookup refs'!$D$23,
IF(J71=INDEX(RateCheck_VDO2021F[[Ausnet]:[United Energy]],MATCH(Calc_Rates!$C71&amp;"_"&amp;Calc_Rates!$F71,RateCheck_VDO2021F[[Rate]:[Rate]],0),MATCH(Calc_Rates!J$9,RateCheck_VDO2021F[[#Headers],[Ausnet]:[United Energy]],0)),0,1),
IF(J71="-","-",
IF(J71=(((SUMIFS(Calc_Variable_1[Powercor],Calc_Variable_1[[Customer type]:[Customer type]],Calc_Rates!$F71)+SUMIFS(Calc_Variable_1[Powercor],Calc_Variable_1[[Customer type]:[Customer type]],"All")+J67)*(1+Calc_ROM_1[Powercor]))*(1+GST)),0,1)))</f>
        <v>0</v>
      </c>
      <c r="K72" s="88" cm="1">
        <f t="array" ref="K72">IF($D$5='Lookup refs'!$D$23,
IF(K71=INDEX(RateCheck_VDO2021F[[Ausnet]:[United Energy]],MATCH(Calc_Rates!$C71&amp;"_"&amp;Calc_Rates!$F71,RateCheck_VDO2021F[[Rate]:[Rate]],0),MATCH(Calc_Rates!K$9,RateCheck_VDO2021F[[#Headers],[Ausnet]:[United Energy]],0)),0,1),
IF(K71="-","-",
IF(K71=(((SUMIFS(Calc_Variable_1[United Energy],Calc_Variable_1[[Customer type]:[Customer type]],Calc_Rates!$F71)+SUMIFS(Calc_Variable_1[United Energy],Calc_Variable_1[[Customer type]:[Customer type]],"All")+K67)*(1+Calc_ROM_1[United Energy]))*(1+GST)),0,1)))</f>
        <v>0</v>
      </c>
    </row>
    <row r="73" spans="2:11" ht="15.5" outlineLevel="2" x14ac:dyDescent="0.35">
      <c r="B73"/>
      <c r="C73" s="69" t="s">
        <v>291</v>
      </c>
    </row>
    <row r="74" spans="2:11" outlineLevel="2" x14ac:dyDescent="0.35">
      <c r="B74"/>
      <c r="C74" s="21" t="s">
        <v>289</v>
      </c>
      <c r="D74" s="21" t="s">
        <v>9</v>
      </c>
      <c r="E74" s="21" t="s">
        <v>284</v>
      </c>
      <c r="F74" s="21" t="s">
        <v>88</v>
      </c>
      <c r="G74" s="56">
        <f>SUMIFS(Calc_NetworkV_1[Ausnet],Calc_NetworkV_1[[Cost item]:[Cost item]],$C73,Calc_NetworkV_1[[Customer type]:[Customer type]],$F74)</f>
        <v>0</v>
      </c>
      <c r="H74" s="56">
        <f>SUMIFS(Calc_NetworkV_1[Citipower],Calc_NetworkV_1[[Cost item]:[Cost item]],$C73,Calc_NetworkV_1[[Customer type]:[Customer type]],$F74)</f>
        <v>6.4699999999999994E-2</v>
      </c>
      <c r="I74" s="56">
        <f>SUMIFS(Calc_NetworkV_1[Jemena],Calc_NetworkV_1[[Cost item]:[Cost item]],$C73,Calc_NetworkV_1[[Customer type]:[Customer type]],$F74)</f>
        <v>7.4139999999999998E-2</v>
      </c>
      <c r="J74" s="56">
        <f>SUMIFS(Calc_NetworkV_1[Powercor],Calc_NetworkV_1[[Cost item]:[Cost item]],$C73,Calc_NetworkV_1[[Customer type]:[Customer type]],$F74)</f>
        <v>6.7400000000000002E-2</v>
      </c>
      <c r="K74" s="56">
        <f>SUMIFS(Calc_NetworkV_1[United Energy],Calc_NetworkV_1[[Cost item]:[Cost item]],$C73,Calc_NetworkV_1[[Customer type]:[Customer type]],$F74)</f>
        <v>7.6700000000000004E-2</v>
      </c>
    </row>
    <row r="75" spans="2:11" outlineLevel="2" x14ac:dyDescent="0.35">
      <c r="B75"/>
      <c r="C75" s="21" t="s">
        <v>282</v>
      </c>
      <c r="D75" s="21" t="s">
        <v>9</v>
      </c>
      <c r="E75" s="21" t="s">
        <v>284</v>
      </c>
      <c r="F75" s="21" t="s">
        <v>88</v>
      </c>
      <c r="G75" s="56">
        <f>SUMIFS(Calc_Variable_1[Ausnet],Calc_Variable_1[[Customer type]:[Customer type]],"All")+SUMIFS(Calc_Variable_1[Ausnet],Calc_Variable_1[[Customer type]:[Customer type]],$F75)</f>
        <v>0.12637186287937996</v>
      </c>
      <c r="H75" s="56">
        <f>SUMIFS(Calc_Variable_1[Citipower],Calc_Variable_1[[Customer type]:[Customer type]],"All")+SUMIFS(Calc_Variable_1[Citipower],Calc_Variable_1[[Customer type]:[Customer type]],$F75)</f>
        <v>0.11874531208829922</v>
      </c>
      <c r="I75" s="56">
        <f>SUMIFS(Calc_Variable_1[Jemena],Calc_Variable_1[[Customer type]:[Customer type]],"All")+SUMIFS(Calc_Variable_1[Jemena],Calc_Variable_1[[Customer type]:[Customer type]],$F75)</f>
        <v>0.12678140704542384</v>
      </c>
      <c r="J75" s="56">
        <f>SUMIFS(Calc_Variable_1[Powercor],Calc_Variable_1[[Customer type]:[Customer type]],"All")+SUMIFS(Calc_Variable_1[Powercor],Calc_Variable_1[[Customer type]:[Customer type]],$F75)</f>
        <v>0.12465456385532679</v>
      </c>
      <c r="K75" s="56">
        <f>SUMIFS(Calc_Variable_1[United Energy],Calc_Variable_1[[Customer type]:[Customer type]],"All")+SUMIFS(Calc_Variable_1[United Energy],Calc_Variable_1[[Customer type]:[Customer type]],$F75)</f>
        <v>0.1290291282783943</v>
      </c>
    </row>
    <row r="76" spans="2:11" outlineLevel="2" x14ac:dyDescent="0.35">
      <c r="B76"/>
      <c r="C76" s="21" t="s">
        <v>197</v>
      </c>
      <c r="D76" s="21" t="s">
        <v>9</v>
      </c>
      <c r="E76" s="21" t="s">
        <v>284</v>
      </c>
      <c r="F76" s="21" t="s">
        <v>88</v>
      </c>
      <c r="G76" s="62" t="str" cm="1">
        <f t="array" ref="G76">IF(G74=0,"-",
(G74+G75)*Calc_ROM_1[Ausnet])</f>
        <v>-</v>
      </c>
      <c r="H76" s="62" cm="1">
        <f t="array" ref="H76">IF(H74=0,"-",
(H74+H75)*Calc_ROM_1[Ausnet])</f>
        <v>1.1080096850133274E-2</v>
      </c>
      <c r="I76" s="62" cm="1">
        <f t="array" ref="I76">IF(I74=0,"-",
(I74+I75)*Calc_ROM_1[Ausnet])</f>
        <v>1.21356529855436E-2</v>
      </c>
      <c r="J76" s="62" cm="1">
        <f t="array" ref="J76">IF(J74=0,"-",
(J74+J75)*Calc_ROM_1[Ausnet])</f>
        <v>1.1600095656861738E-2</v>
      </c>
      <c r="K76" s="62" cm="1">
        <f t="array" ref="K76">IF(K74=0,"-",
(K74+K75)*Calc_ROM_1[Ausnet])</f>
        <v>1.2426039348015016E-2</v>
      </c>
    </row>
    <row r="77" spans="2:11" outlineLevel="2" x14ac:dyDescent="0.35">
      <c r="B77"/>
      <c r="C77" s="21" t="s">
        <v>279</v>
      </c>
      <c r="D77" s="21" t="s">
        <v>9</v>
      </c>
      <c r="E77" s="21" t="s">
        <v>284</v>
      </c>
      <c r="F77" s="21" t="s">
        <v>88</v>
      </c>
      <c r="G77" s="62" t="str">
        <f>IF(G74=0,"-",
(G74+G75+G76)*GST)</f>
        <v>-</v>
      </c>
      <c r="H77" s="62">
        <f>IF(H74=0,"-",
(H74+H75+H76)*GST)</f>
        <v>1.9452540893843254E-2</v>
      </c>
      <c r="I77" s="62">
        <f>IF(I74=0,"-",
(I74+I75+I76)*GST)</f>
        <v>2.1305706003096742E-2</v>
      </c>
      <c r="J77" s="62">
        <f>IF(J74=0,"-",
(J74+J75+J76)*GST)</f>
        <v>2.0365465951218853E-2</v>
      </c>
      <c r="K77" s="62">
        <f>IF(K74=0,"-",
(K74+K75+K76)*GST)</f>
        <v>2.181551676264093E-2</v>
      </c>
    </row>
    <row r="78" spans="2:11" outlineLevel="2" x14ac:dyDescent="0.35">
      <c r="B78"/>
      <c r="C78" s="21" t="str">
        <f>C73&amp;" charge"</f>
        <v>Anytime - Single rate charge</v>
      </c>
      <c r="D78" s="21" t="s">
        <v>9</v>
      </c>
      <c r="E78" s="21" t="s">
        <v>284</v>
      </c>
      <c r="F78" s="21" t="s">
        <v>88</v>
      </c>
      <c r="G78" s="63" t="str">
        <f>IF(G74=0,"-",
SUM(G74:G77))</f>
        <v>-</v>
      </c>
      <c r="H78" s="63">
        <f>IF(H74=0,"-",
SUM(H74:H77))</f>
        <v>0.21397794983227575</v>
      </c>
      <c r="I78" s="63">
        <f t="shared" ref="I78:K78" si="18">IF(I74=0,"-",
SUM(I74:I77))</f>
        <v>0.23436276603406417</v>
      </c>
      <c r="J78" s="63">
        <f t="shared" si="18"/>
        <v>0.22402012546340738</v>
      </c>
      <c r="K78" s="63">
        <f t="shared" si="18"/>
        <v>0.23997068438905023</v>
      </c>
    </row>
    <row r="79" spans="2:11" outlineLevel="2" x14ac:dyDescent="0.35">
      <c r="B79"/>
      <c r="G79" s="88" cm="1">
        <f t="array" ref="G79">IF($D$5='Lookup refs'!$D$23,
IF(G78=INDEX(RateCheck_VDO2021F[[Ausnet]:[United Energy]],MATCH(Calc_Rates!$C78&amp;"_"&amp;Calc_Rates!$F78,RateCheck_VDO2021F[[Rate]:[Rate]],0),MATCH(Calc_Rates!G$9,RateCheck_VDO2021F[[#Headers],[Ausnet]:[United Energy]],0)),0,1),
IF(G78="-","-",
IF(G78=(((SUMIFS(Calc_Variable_1[Ausnet],Calc_Variable_1[[Customer type]:[Customer type]],Calc_Rates!$F78)+SUMIFS(Calc_Variable_1[Ausnet],Calc_Variable_1[[Customer type]:[Customer type]],"All")+G74)*(1+Calc_ROM_1[Ausnet]))*(1+GST)),0,1)))</f>
        <v>0</v>
      </c>
      <c r="H79" s="88" cm="1">
        <f t="array" ref="H79">IF($D$5='Lookup refs'!$D$23,
IF(H78=INDEX(RateCheck_VDO2021F[[Ausnet]:[United Energy]],MATCH(Calc_Rates!$C78&amp;"_"&amp;Calc_Rates!$F78,RateCheck_VDO2021F[[Rate]:[Rate]],0),MATCH(Calc_Rates!H$9,RateCheck_VDO2021F[[#Headers],[Ausnet]:[United Energy]],0)),0,1),
IF(H78="-","-",
IF(H78=(((SUMIFS(Calc_Variable_1[Citipower],Calc_Variable_1[[Customer type]:[Customer type]],Calc_Rates!$F78)+SUMIFS(Calc_Variable_1[Citipower],Calc_Variable_1[[Customer type]:[Customer type]],"All")+H74)*(1+Calc_ROM_1[Citipower]))*(1+GST)),0,1)))</f>
        <v>0</v>
      </c>
      <c r="I79" s="88" cm="1">
        <f t="array" ref="I79">IF($D$5='Lookup refs'!$D$23,
IF(I78=INDEX(RateCheck_VDO2021F[[Ausnet]:[United Energy]],MATCH(Calc_Rates!$C78&amp;"_"&amp;Calc_Rates!$F78,RateCheck_VDO2021F[[Rate]:[Rate]],0),MATCH(Calc_Rates!I$9,RateCheck_VDO2021F[[#Headers],[Ausnet]:[United Energy]],0)),0,1),
IF(I78="-","-",
IF(I78=(((SUMIFS(Calc_Variable_1[Jemena],Calc_Variable_1[[Customer type]:[Customer type]],Calc_Rates!$F78)+SUMIFS(Calc_Variable_1[Jemena],Calc_Variable_1[[Customer type]:[Customer type]],"All")+I74)*(1+Calc_ROM_1[Jemena]))*(1+GST)),0,1)))</f>
        <v>0</v>
      </c>
      <c r="J79" s="88" cm="1">
        <f t="array" ref="J79">IF($D$5='Lookup refs'!$D$23,
IF(J78=INDEX(RateCheck_VDO2021F[[Ausnet]:[United Energy]],MATCH(Calc_Rates!$C78&amp;"_"&amp;Calc_Rates!$F78,RateCheck_VDO2021F[[Rate]:[Rate]],0),MATCH(Calc_Rates!J$9,RateCheck_VDO2021F[[#Headers],[Ausnet]:[United Energy]],0)),0,1),
IF(J78="-","-",
IF(J78=(((SUMIFS(Calc_Variable_1[Powercor],Calc_Variable_1[[Customer type]:[Customer type]],Calc_Rates!$F78)+SUMIFS(Calc_Variable_1[Powercor],Calc_Variable_1[[Customer type]:[Customer type]],"All")+J74)*(1+Calc_ROM_1[Powercor]))*(1+GST)),0,1)))</f>
        <v>0</v>
      </c>
      <c r="K79" s="88" cm="1">
        <f t="array" ref="K79">IF($D$5='Lookup refs'!$D$23,
IF(K78=INDEX(RateCheck_VDO2021F[[Ausnet]:[United Energy]],MATCH(Calc_Rates!$C78&amp;"_"&amp;Calc_Rates!$F78,RateCheck_VDO2021F[[Rate]:[Rate]],0),MATCH(Calc_Rates!K$9,RateCheck_VDO2021F[[#Headers],[Ausnet]:[United Energy]],0)),0,1),
IF(K78="-","-",
IF(K78=(((SUMIFS(Calc_Variable_1[United Energy],Calc_Variable_1[[Customer type]:[Customer type]],Calc_Rates!$F78)+SUMIFS(Calc_Variable_1[United Energy],Calc_Variable_1[[Customer type]:[Customer type]],"All")+K74)*(1+Calc_ROM_1[United Energy]))*(1+GST)),0,1)))</f>
        <v>0</v>
      </c>
    </row>
    <row r="80" spans="2:11" ht="15.5" hidden="1" outlineLevel="2" x14ac:dyDescent="0.35">
      <c r="B80"/>
      <c r="C80" s="69" t="s">
        <v>292</v>
      </c>
    </row>
    <row r="81" spans="2:11" hidden="1" outlineLevel="2" x14ac:dyDescent="0.35">
      <c r="B81"/>
      <c r="C81" s="21" t="s">
        <v>289</v>
      </c>
      <c r="D81" s="21" t="s">
        <v>9</v>
      </c>
      <c r="E81" s="21" t="s">
        <v>284</v>
      </c>
      <c r="F81" s="21" t="s">
        <v>88</v>
      </c>
      <c r="G81" s="56">
        <f>SUMIFS(Calc_NetworkV_1[Ausnet],Calc_NetworkV_1[[Cost item]:[Cost item]],$C80,Calc_NetworkV_1[[Customer type]:[Customer type]],$F81)</f>
        <v>0</v>
      </c>
      <c r="H81" s="56">
        <f>SUMIFS(Calc_NetworkV_1[Citipower],Calc_NetworkV_1[[Cost item]:[Cost item]],$C80,Calc_NetworkV_1[[Customer type]:[Customer type]],$F81)</f>
        <v>0</v>
      </c>
      <c r="I81" s="56">
        <f>SUMIFS(Calc_NetworkV_1[Jemena],Calc_NetworkV_1[[Cost item]:[Cost item]],$C80,Calc_NetworkV_1[[Customer type]:[Customer type]],$F81)</f>
        <v>0</v>
      </c>
      <c r="J81" s="56">
        <f>SUMIFS(Calc_NetworkV_1[Powercor],Calc_NetworkV_1[[Cost item]:[Cost item]],$C80,Calc_NetworkV_1[[Customer type]:[Customer type]],$F81)</f>
        <v>0</v>
      </c>
      <c r="K81" s="56">
        <f>SUMIFS(Calc_NetworkV_1[United Energy],Calc_NetworkV_1[[Cost item]:[Cost item]],$C80,Calc_NetworkV_1[[Customer type]:[Customer type]],$F81)</f>
        <v>0</v>
      </c>
    </row>
    <row r="82" spans="2:11" hidden="1" outlineLevel="2" x14ac:dyDescent="0.35">
      <c r="B82"/>
      <c r="C82" s="21" t="s">
        <v>282</v>
      </c>
      <c r="D82" s="21" t="s">
        <v>9</v>
      </c>
      <c r="E82" s="21" t="s">
        <v>284</v>
      </c>
      <c r="F82" s="21" t="s">
        <v>88</v>
      </c>
      <c r="G82" s="56">
        <f>SUMIFS(Calc_Variable_1[Ausnet],Calc_Variable_1[[Customer type]:[Customer type]],"All")+SUMIFS(Calc_Variable_1[Ausnet],Calc_Variable_1[[Customer type]:[Customer type]],$F82)</f>
        <v>0.12637186287937996</v>
      </c>
      <c r="H82" s="56">
        <f>SUMIFS(Calc_Variable_1[Citipower],Calc_Variable_1[[Customer type]:[Customer type]],"All")+SUMIFS(Calc_Variable_1[Citipower],Calc_Variable_1[[Customer type]:[Customer type]],$F82)</f>
        <v>0.11874531208829922</v>
      </c>
      <c r="I82" s="56">
        <f>SUMIFS(Calc_Variable_1[Jemena],Calc_Variable_1[[Customer type]:[Customer type]],"All")+SUMIFS(Calc_Variable_1[Jemena],Calc_Variable_1[[Customer type]:[Customer type]],$F82)</f>
        <v>0.12678140704542384</v>
      </c>
      <c r="J82" s="56">
        <f>SUMIFS(Calc_Variable_1[Powercor],Calc_Variable_1[[Customer type]:[Customer type]],"All")+SUMIFS(Calc_Variable_1[Powercor],Calc_Variable_1[[Customer type]:[Customer type]],$F82)</f>
        <v>0.12465456385532679</v>
      </c>
      <c r="K82" s="56">
        <f>SUMIFS(Calc_Variable_1[United Energy],Calc_Variable_1[[Customer type]:[Customer type]],"All")+SUMIFS(Calc_Variable_1[United Energy],Calc_Variable_1[[Customer type]:[Customer type]],$F82)</f>
        <v>0.1290291282783943</v>
      </c>
    </row>
    <row r="83" spans="2:11" hidden="1" outlineLevel="2" x14ac:dyDescent="0.35">
      <c r="B83"/>
      <c r="C83" s="21" t="s">
        <v>197</v>
      </c>
      <c r="D83" s="21" t="s">
        <v>9</v>
      </c>
      <c r="E83" s="21" t="s">
        <v>284</v>
      </c>
      <c r="F83" s="21" t="s">
        <v>88</v>
      </c>
      <c r="G83" s="62" t="str" cm="1">
        <f t="array" ref="G83">IF(G81=0,"-",
(G81+G82)*Calc_ROM_1[Ausnet])</f>
        <v>-</v>
      </c>
      <c r="H83" s="62" t="str" cm="1">
        <f t="array" ref="H83">IF(H81=0,"-",
(H81+H82)*Calc_ROM_1[Ausnet])</f>
        <v>-</v>
      </c>
      <c r="I83" s="62" t="str" cm="1">
        <f t="array" ref="I83">IF(I81=0,"-",
(I81+I82)*Calc_ROM_1[Ausnet])</f>
        <v>-</v>
      </c>
      <c r="J83" s="62" t="str" cm="1">
        <f t="array" ref="J83">IF(J81=0,"-",
(J81+J82)*Calc_ROM_1[Ausnet])</f>
        <v>-</v>
      </c>
      <c r="K83" s="62" t="str" cm="1">
        <f t="array" ref="K83">IF(K81=0,"-",
(K81+K82)*Calc_ROM_1[Ausnet])</f>
        <v>-</v>
      </c>
    </row>
    <row r="84" spans="2:11" hidden="1" outlineLevel="2" x14ac:dyDescent="0.35">
      <c r="B84"/>
      <c r="C84" s="21" t="s">
        <v>279</v>
      </c>
      <c r="D84" s="21" t="s">
        <v>9</v>
      </c>
      <c r="E84" s="21" t="s">
        <v>284</v>
      </c>
      <c r="F84" s="21" t="s">
        <v>88</v>
      </c>
      <c r="G84" s="62" t="str">
        <f>IF(G81=0,"-",
(G81+G82+G83)*GST)</f>
        <v>-</v>
      </c>
      <c r="H84" s="62" t="str">
        <f>IF(H81=0,"-",
(H81+H82+H83)*GST)</f>
        <v>-</v>
      </c>
      <c r="I84" s="62" t="str">
        <f>IF(I81=0,"-",
(I81+I82+I83)*GST)</f>
        <v>-</v>
      </c>
      <c r="J84" s="62" t="str">
        <f>IF(J81=0,"-",
(J81+J82+J83)*GST)</f>
        <v>-</v>
      </c>
      <c r="K84" s="62" t="str">
        <f>IF(K81=0,"-",
(K81+K82+K83)*GST)</f>
        <v>-</v>
      </c>
    </row>
    <row r="85" spans="2:11" hidden="1" outlineLevel="2" x14ac:dyDescent="0.35">
      <c r="B85"/>
      <c r="C85" s="21" t="str">
        <f>C80&amp;" charge"</f>
        <v>TOU - Peak charge</v>
      </c>
      <c r="D85" s="21" t="s">
        <v>9</v>
      </c>
      <c r="E85" s="21" t="s">
        <v>284</v>
      </c>
      <c r="F85" s="21" t="s">
        <v>88</v>
      </c>
      <c r="G85" s="63" t="str">
        <f>IF(G81=0,"-",
SUM(G81:G84))</f>
        <v>-</v>
      </c>
      <c r="H85" s="63" t="str">
        <f>IF(H81=0,"-",
SUM(H81:H84))</f>
        <v>-</v>
      </c>
      <c r="I85" s="63" t="str">
        <f t="shared" ref="I85" si="19">IF(I81=0,"-",
SUM(I81:I84))</f>
        <v>-</v>
      </c>
      <c r="J85" s="63" t="str">
        <f t="shared" ref="J85" si="20">IF(J81=0,"-",
SUM(J81:J84))</f>
        <v>-</v>
      </c>
      <c r="K85" s="63" t="str">
        <f t="shared" ref="K85" si="21">IF(K81=0,"-",
SUM(K81:K84))</f>
        <v>-</v>
      </c>
    </row>
    <row r="86" spans="2:11" hidden="1" outlineLevel="2" x14ac:dyDescent="0.35">
      <c r="B86"/>
      <c r="G86" s="88" cm="1">
        <f t="array" ref="G86">IF($D$5='Lookup refs'!$D$23,
IF(G85=INDEX(RateCheck_VDO2021F[[Ausnet]:[United Energy]],MATCH(Calc_Rates!$C85&amp;"_"&amp;Calc_Rates!$F85,RateCheck_VDO2021F[[Rate]:[Rate]],0),MATCH(Calc_Rates!G$9,RateCheck_VDO2021F[[#Headers],[Ausnet]:[United Energy]],0)),0,1),
IF(G85="-","-",
IF(G85=(((SUMIFS(Calc_Variable_1[Ausnet],Calc_Variable_1[[Customer type]:[Customer type]],Calc_Rates!$F85)+SUMIFS(Calc_Variable_1[Ausnet],Calc_Variable_1[[Customer type]:[Customer type]],"All")+G81)*(1+Calc_ROM_1[Ausnet]))*(1+GST)),0,1)))</f>
        <v>0</v>
      </c>
      <c r="H86" s="88" cm="1">
        <f t="array" ref="H86">IF($D$5='Lookup refs'!$D$23,
IF(H85=INDEX(RateCheck_VDO2021F[[Ausnet]:[United Energy]],MATCH(Calc_Rates!$C85&amp;"_"&amp;Calc_Rates!$F85,RateCheck_VDO2021F[[Rate]:[Rate]],0),MATCH(Calc_Rates!H$9,RateCheck_VDO2021F[[#Headers],[Ausnet]:[United Energy]],0)),0,1),
IF(H85="-","-",
IF(H85=(((SUMIFS(Calc_Variable_1[Citipower],Calc_Variable_1[[Customer type]:[Customer type]],Calc_Rates!$F85)+SUMIFS(Calc_Variable_1[Citipower],Calc_Variable_1[[Customer type]:[Customer type]],"All")+H81)*(1+Calc_ROM_1[Citipower]))*(1+GST)),0,1)))</f>
        <v>0</v>
      </c>
      <c r="I86" s="88" cm="1">
        <f t="array" ref="I86">IF($D$5='Lookup refs'!$D$23,
IF(I85=INDEX(RateCheck_VDO2021F[[Ausnet]:[United Energy]],MATCH(Calc_Rates!$C85&amp;"_"&amp;Calc_Rates!$F85,RateCheck_VDO2021F[[Rate]:[Rate]],0),MATCH(Calc_Rates!I$9,RateCheck_VDO2021F[[#Headers],[Ausnet]:[United Energy]],0)),0,1),
IF(I85="-","-",
IF(I85=(((SUMIFS(Calc_Variable_1[Jemena],Calc_Variable_1[[Customer type]:[Customer type]],Calc_Rates!$F85)+SUMIFS(Calc_Variable_1[Jemena],Calc_Variable_1[[Customer type]:[Customer type]],"All")+I81)*(1+Calc_ROM_1[Jemena]))*(1+GST)),0,1)))</f>
        <v>0</v>
      </c>
      <c r="J86" s="88" cm="1">
        <f t="array" ref="J86">IF($D$5='Lookup refs'!$D$23,
IF(J85=INDEX(RateCheck_VDO2021F[[Ausnet]:[United Energy]],MATCH(Calc_Rates!$C85&amp;"_"&amp;Calc_Rates!$F85,RateCheck_VDO2021F[[Rate]:[Rate]],0),MATCH(Calc_Rates!J$9,RateCheck_VDO2021F[[#Headers],[Ausnet]:[United Energy]],0)),0,1),
IF(J85="-","-",
IF(J85=(((SUMIFS(Calc_Variable_1[Powercor],Calc_Variable_1[[Customer type]:[Customer type]],Calc_Rates!$F85)+SUMIFS(Calc_Variable_1[Powercor],Calc_Variable_1[[Customer type]:[Customer type]],"All")+J81)*(1+Calc_ROM_1[Powercor]))*(1+GST)),0,1)))</f>
        <v>0</v>
      </c>
      <c r="K86" s="88" cm="1">
        <f t="array" ref="K86">IF($D$5='Lookup refs'!$D$23,
IF(K85=INDEX(RateCheck_VDO2021F[[Ausnet]:[United Energy]],MATCH(Calc_Rates!$C85&amp;"_"&amp;Calc_Rates!$F85,RateCheck_VDO2021F[[Rate]:[Rate]],0),MATCH(Calc_Rates!K$9,RateCheck_VDO2021F[[#Headers],[Ausnet]:[United Energy]],0)),0,1),
IF(K85="-","-",
IF(K85=(((SUMIFS(Calc_Variable_1[United Energy],Calc_Variable_1[[Customer type]:[Customer type]],Calc_Rates!$F85)+SUMIFS(Calc_Variable_1[United Energy],Calc_Variable_1[[Customer type]:[Customer type]],"All")+K81)*(1+Calc_ROM_1[United Energy]))*(1+GST)),0,1)))</f>
        <v>0</v>
      </c>
    </row>
    <row r="87" spans="2:11" ht="15.5" hidden="1" outlineLevel="2" x14ac:dyDescent="0.35">
      <c r="B87"/>
      <c r="C87" s="69" t="s">
        <v>293</v>
      </c>
    </row>
    <row r="88" spans="2:11" hidden="1" outlineLevel="2" x14ac:dyDescent="0.35">
      <c r="B88"/>
      <c r="C88" s="21" t="s">
        <v>289</v>
      </c>
      <c r="D88" s="21" t="s">
        <v>9</v>
      </c>
      <c r="E88" s="21" t="s">
        <v>284</v>
      </c>
      <c r="F88" s="21" t="s">
        <v>88</v>
      </c>
      <c r="G88" s="56">
        <f>SUMIFS(Calc_NetworkV_1[Ausnet],Calc_NetworkV_1[[Cost item]:[Cost item]],$C87,Calc_NetworkV_1[[Customer type]:[Customer type]],$F88)</f>
        <v>0</v>
      </c>
      <c r="H88" s="56">
        <f>SUMIFS(Calc_NetworkV_1[Citipower],Calc_NetworkV_1[[Cost item]:[Cost item]],$C87,Calc_NetworkV_1[[Customer type]:[Customer type]],$F88)</f>
        <v>0</v>
      </c>
      <c r="I88" s="56">
        <f>SUMIFS(Calc_NetworkV_1[Jemena],Calc_NetworkV_1[[Cost item]:[Cost item]],$C87,Calc_NetworkV_1[[Customer type]:[Customer type]],$F88)</f>
        <v>0</v>
      </c>
      <c r="J88" s="56">
        <f>SUMIFS(Calc_NetworkV_1[Powercor],Calc_NetworkV_1[[Cost item]:[Cost item]],$C87,Calc_NetworkV_1[[Customer type]:[Customer type]],$F88)</f>
        <v>0</v>
      </c>
      <c r="K88" s="56">
        <f>SUMIFS(Calc_NetworkV_1[United Energy],Calc_NetworkV_1[[Cost item]:[Cost item]],$C87,Calc_NetworkV_1[[Customer type]:[Customer type]],$F88)</f>
        <v>0</v>
      </c>
    </row>
    <row r="89" spans="2:11" hidden="1" outlineLevel="2" x14ac:dyDescent="0.35">
      <c r="B89"/>
      <c r="C89" s="21" t="s">
        <v>282</v>
      </c>
      <c r="D89" s="21" t="s">
        <v>9</v>
      </c>
      <c r="E89" s="21" t="s">
        <v>284</v>
      </c>
      <c r="F89" s="21" t="s">
        <v>88</v>
      </c>
      <c r="G89" s="56">
        <f>SUMIFS(Calc_Variable_1[Ausnet],Calc_Variable_1[[Customer type]:[Customer type]],"All")+SUMIFS(Calc_Variable_1[Ausnet],Calc_Variable_1[[Customer type]:[Customer type]],$F89)</f>
        <v>0.12637186287937996</v>
      </c>
      <c r="H89" s="56">
        <f>SUMIFS(Calc_Variable_1[Citipower],Calc_Variable_1[[Customer type]:[Customer type]],"All")+SUMIFS(Calc_Variable_1[Citipower],Calc_Variable_1[[Customer type]:[Customer type]],$F89)</f>
        <v>0.11874531208829922</v>
      </c>
      <c r="I89" s="56">
        <f>SUMIFS(Calc_Variable_1[Jemena],Calc_Variable_1[[Customer type]:[Customer type]],"All")+SUMIFS(Calc_Variable_1[Jemena],Calc_Variable_1[[Customer type]:[Customer type]],$F89)</f>
        <v>0.12678140704542384</v>
      </c>
      <c r="J89" s="56">
        <f>SUMIFS(Calc_Variable_1[Powercor],Calc_Variable_1[[Customer type]:[Customer type]],"All")+SUMIFS(Calc_Variable_1[Powercor],Calc_Variable_1[[Customer type]:[Customer type]],$F89)</f>
        <v>0.12465456385532679</v>
      </c>
      <c r="K89" s="56">
        <f>SUMIFS(Calc_Variable_1[United Energy],Calc_Variable_1[[Customer type]:[Customer type]],"All")+SUMIFS(Calc_Variable_1[United Energy],Calc_Variable_1[[Customer type]:[Customer type]],$F89)</f>
        <v>0.1290291282783943</v>
      </c>
    </row>
    <row r="90" spans="2:11" hidden="1" outlineLevel="2" x14ac:dyDescent="0.35">
      <c r="B90"/>
      <c r="C90" s="21" t="s">
        <v>197</v>
      </c>
      <c r="D90" s="21" t="s">
        <v>9</v>
      </c>
      <c r="E90" s="21" t="s">
        <v>284</v>
      </c>
      <c r="F90" s="21" t="s">
        <v>88</v>
      </c>
      <c r="G90" s="62" t="str" cm="1">
        <f t="array" ref="G90">IF(G88=0,"-",
(G88+G89)*Calc_ROM_1[Ausnet])</f>
        <v>-</v>
      </c>
      <c r="H90" s="62" t="str" cm="1">
        <f t="array" ref="H90">IF(H88=0,"-",
(H88+H89)*Calc_ROM_1[Ausnet])</f>
        <v>-</v>
      </c>
      <c r="I90" s="62" t="str" cm="1">
        <f t="array" ref="I90">IF(I88=0,"-",
(I88+I89)*Calc_ROM_1[Ausnet])</f>
        <v>-</v>
      </c>
      <c r="J90" s="62" t="str" cm="1">
        <f t="array" ref="J90">IF(J88=0,"-",
(J88+J89)*Calc_ROM_1[Ausnet])</f>
        <v>-</v>
      </c>
      <c r="K90" s="62" t="str" cm="1">
        <f t="array" ref="K90">IF(K88=0,"-",
(K88+K89)*Calc_ROM_1[Ausnet])</f>
        <v>-</v>
      </c>
    </row>
    <row r="91" spans="2:11" hidden="1" outlineLevel="2" x14ac:dyDescent="0.35">
      <c r="B91"/>
      <c r="C91" s="21" t="s">
        <v>279</v>
      </c>
      <c r="D91" s="21" t="s">
        <v>9</v>
      </c>
      <c r="E91" s="21" t="s">
        <v>284</v>
      </c>
      <c r="F91" s="21" t="s">
        <v>88</v>
      </c>
      <c r="G91" s="62" t="str">
        <f>IF(G88=0,"-",
(G88+G89+G90)*GST)</f>
        <v>-</v>
      </c>
      <c r="H91" s="62" t="str">
        <f>IF(H88=0,"-",
(H88+H89+H90)*GST)</f>
        <v>-</v>
      </c>
      <c r="I91" s="62" t="str">
        <f>IF(I88=0,"-",
(I88+I89+I90)*GST)</f>
        <v>-</v>
      </c>
      <c r="J91" s="62" t="str">
        <f>IF(J88=0,"-",
(J88+J89+J90)*GST)</f>
        <v>-</v>
      </c>
      <c r="K91" s="62" t="str">
        <f>IF(K88=0,"-",
(K88+K89+K90)*GST)</f>
        <v>-</v>
      </c>
    </row>
    <row r="92" spans="2:11" hidden="1" outlineLevel="2" x14ac:dyDescent="0.35">
      <c r="B92"/>
      <c r="C92" s="21" t="str">
        <f>C87&amp;" charge"</f>
        <v>TOU - Off peak charge</v>
      </c>
      <c r="D92" s="21" t="s">
        <v>9</v>
      </c>
      <c r="E92" s="21" t="s">
        <v>284</v>
      </c>
      <c r="F92" s="21" t="s">
        <v>88</v>
      </c>
      <c r="G92" s="63" t="str">
        <f>IF(G88=0,"-",
SUM(G88:G91))</f>
        <v>-</v>
      </c>
      <c r="H92" s="63" t="str">
        <f>IF(H88=0,"-",
SUM(H88:H91))</f>
        <v>-</v>
      </c>
      <c r="I92" s="63" t="str">
        <f t="shared" ref="I92" si="22">IF(I88=0,"-",
SUM(I88:I91))</f>
        <v>-</v>
      </c>
      <c r="J92" s="63" t="str">
        <f t="shared" ref="J92" si="23">IF(J88=0,"-",
SUM(J88:J91))</f>
        <v>-</v>
      </c>
      <c r="K92" s="63" t="str">
        <f t="shared" ref="K92" si="24">IF(K88=0,"-",
SUM(K88:K91))</f>
        <v>-</v>
      </c>
    </row>
    <row r="93" spans="2:11" hidden="1" outlineLevel="2" x14ac:dyDescent="0.35">
      <c r="B93"/>
      <c r="G93" s="88" cm="1">
        <f t="array" ref="G93">IF($D$5='Lookup refs'!$D$23,
IF(G92=INDEX(RateCheck_VDO2021F[[Ausnet]:[United Energy]],MATCH(Calc_Rates!$C92&amp;"_"&amp;Calc_Rates!$F92,RateCheck_VDO2021F[[Rate]:[Rate]],0),MATCH(Calc_Rates!G$9,RateCheck_VDO2021F[[#Headers],[Ausnet]:[United Energy]],0)),0,1),
IF(G92="-","-",
IF(G92=(((SUMIFS(Calc_Variable_1[Ausnet],Calc_Variable_1[[Customer type]:[Customer type]],Calc_Rates!$F92)+SUMIFS(Calc_Variable_1[Ausnet],Calc_Variable_1[[Customer type]:[Customer type]],"All")+G88)*(1+Calc_ROM_1[Ausnet]))*(1+GST)),0,1)))</f>
        <v>0</v>
      </c>
      <c r="H93" s="88" cm="1">
        <f t="array" ref="H93">IF($D$5='Lookup refs'!$D$23,
IF(H92=INDEX(RateCheck_VDO2021F[[Ausnet]:[United Energy]],MATCH(Calc_Rates!$C92&amp;"_"&amp;Calc_Rates!$F92,RateCheck_VDO2021F[[Rate]:[Rate]],0),MATCH(Calc_Rates!H$9,RateCheck_VDO2021F[[#Headers],[Ausnet]:[United Energy]],0)),0,1),
IF(H92="-","-",
IF(H92=(((SUMIFS(Calc_Variable_1[Citipower],Calc_Variable_1[[Customer type]:[Customer type]],Calc_Rates!$F92)+SUMIFS(Calc_Variable_1[Citipower],Calc_Variable_1[[Customer type]:[Customer type]],"All")+H88)*(1+Calc_ROM_1[Citipower]))*(1+GST)),0,1)))</f>
        <v>0</v>
      </c>
      <c r="I93" s="88" cm="1">
        <f t="array" ref="I93">IF($D$5='Lookup refs'!$D$23,
IF(I92=INDEX(RateCheck_VDO2021F[[Ausnet]:[United Energy]],MATCH(Calc_Rates!$C92&amp;"_"&amp;Calc_Rates!$F92,RateCheck_VDO2021F[[Rate]:[Rate]],0),MATCH(Calc_Rates!I$9,RateCheck_VDO2021F[[#Headers],[Ausnet]:[United Energy]],0)),0,1),
IF(I92="-","-",
IF(I92=(((SUMIFS(Calc_Variable_1[Jemena],Calc_Variable_1[[Customer type]:[Customer type]],Calc_Rates!$F92)+SUMIFS(Calc_Variable_1[Jemena],Calc_Variable_1[[Customer type]:[Customer type]],"All")+I88)*(1+Calc_ROM_1[Jemena]))*(1+GST)),0,1)))</f>
        <v>0</v>
      </c>
      <c r="J93" s="88" cm="1">
        <f t="array" ref="J93">IF($D$5='Lookup refs'!$D$23,
IF(J92=INDEX(RateCheck_VDO2021F[[Ausnet]:[United Energy]],MATCH(Calc_Rates!$C92&amp;"_"&amp;Calc_Rates!$F92,RateCheck_VDO2021F[[Rate]:[Rate]],0),MATCH(Calc_Rates!J$9,RateCheck_VDO2021F[[#Headers],[Ausnet]:[United Energy]],0)),0,1),
IF(J92="-","-",
IF(J92=(((SUMIFS(Calc_Variable_1[Powercor],Calc_Variable_1[[Customer type]:[Customer type]],Calc_Rates!$F92)+SUMIFS(Calc_Variable_1[Powercor],Calc_Variable_1[[Customer type]:[Customer type]],"All")+J88)*(1+Calc_ROM_1[Powercor]))*(1+GST)),0,1)))</f>
        <v>0</v>
      </c>
      <c r="K93" s="88" cm="1">
        <f t="array" ref="K93">IF($D$5='Lookup refs'!$D$23,
IF(K92=INDEX(RateCheck_VDO2021F[[Ausnet]:[United Energy]],MATCH(Calc_Rates!$C92&amp;"_"&amp;Calc_Rates!$F92,RateCheck_VDO2021F[[Rate]:[Rate]],0),MATCH(Calc_Rates!K$9,RateCheck_VDO2021F[[#Headers],[Ausnet]:[United Energy]],0)),0,1),
IF(K92="-","-",
IF(K92=(((SUMIFS(Calc_Variable_1[United Energy],Calc_Variable_1[[Customer type]:[Customer type]],Calc_Rates!$F92)+SUMIFS(Calc_Variable_1[United Energy],Calc_Variable_1[[Customer type]:[Customer type]],"All")+K88)*(1+Calc_ROM_1[United Energy]))*(1+GST)),0,1)))</f>
        <v>0</v>
      </c>
    </row>
    <row r="94" spans="2:11" ht="15.5" outlineLevel="2" x14ac:dyDescent="0.35">
      <c r="B94"/>
      <c r="C94" s="69" t="s">
        <v>294</v>
      </c>
    </row>
    <row r="95" spans="2:11" outlineLevel="2" x14ac:dyDescent="0.35">
      <c r="B95"/>
      <c r="C95" s="21" t="s">
        <v>289</v>
      </c>
      <c r="D95" s="21" t="s">
        <v>9</v>
      </c>
      <c r="E95" s="21" t="s">
        <v>284</v>
      </c>
      <c r="F95" s="21" t="s">
        <v>88</v>
      </c>
      <c r="G95" s="56">
        <f>SUMIFS(Calc_NetworkV_1[Ausnet],Calc_NetworkV_1[[Cost item]:[Cost item]],$C94,Calc_NetworkV_1[[Customer type]:[Customer type]],$F95)</f>
        <v>3.8612E-2</v>
      </c>
      <c r="H95" s="56">
        <f>SUMIFS(Calc_NetworkV_1[Citipower],Calc_NetworkV_1[[Cost item]:[Cost item]],$C94,Calc_NetworkV_1[[Customer type]:[Customer type]],$F95)</f>
        <v>2.0899999999999998E-2</v>
      </c>
      <c r="I95" s="56">
        <f>SUMIFS(Calc_NetworkV_1[Jemena],Calc_NetworkV_1[[Cost item]:[Cost item]],$C94,Calc_NetworkV_1[[Customer type]:[Customer type]],$F95)</f>
        <v>2.9159999999999998E-2</v>
      </c>
      <c r="J95" s="56">
        <f>SUMIFS(Calc_NetworkV_1[Powercor],Calc_NetworkV_1[[Cost item]:[Cost item]],$C94,Calc_NetworkV_1[[Customer type]:[Customer type]],$F95)</f>
        <v>2.1400000000000002E-2</v>
      </c>
      <c r="K95" s="56">
        <f>SUMIFS(Calc_NetworkV_1[United Energy],Calc_NetworkV_1[[Cost item]:[Cost item]],$C94,Calc_NetworkV_1[[Customer type]:[Customer type]],$F95)</f>
        <v>1.7299999999999999E-2</v>
      </c>
    </row>
    <row r="96" spans="2:11" outlineLevel="2" x14ac:dyDescent="0.35">
      <c r="B96"/>
      <c r="C96" s="21" t="s">
        <v>282</v>
      </c>
      <c r="D96" s="21" t="s">
        <v>9</v>
      </c>
      <c r="E96" s="21" t="s">
        <v>284</v>
      </c>
      <c r="F96" s="21" t="s">
        <v>88</v>
      </c>
      <c r="G96" s="56">
        <f>SUMIFS(Calc_Variable_1[Ausnet],Calc_Variable_1[[Customer type]:[Customer type]],"All")+SUMIFS(Calc_Variable_1[Ausnet],Calc_Variable_1[[Customer type]:[Customer type]],$F96)</f>
        <v>0.12637186287937996</v>
      </c>
      <c r="H96" s="56">
        <f>SUMIFS(Calc_Variable_1[Citipower],Calc_Variable_1[[Customer type]:[Customer type]],"All")+SUMIFS(Calc_Variable_1[Citipower],Calc_Variable_1[[Customer type]:[Customer type]],$F96)</f>
        <v>0.11874531208829922</v>
      </c>
      <c r="I96" s="56">
        <f>SUMIFS(Calc_Variable_1[Jemena],Calc_Variable_1[[Customer type]:[Customer type]],"All")+SUMIFS(Calc_Variable_1[Jemena],Calc_Variable_1[[Customer type]:[Customer type]],$F96)</f>
        <v>0.12678140704542384</v>
      </c>
      <c r="J96" s="56">
        <f>SUMIFS(Calc_Variable_1[Powercor],Calc_Variable_1[[Customer type]:[Customer type]],"All")+SUMIFS(Calc_Variable_1[Powercor],Calc_Variable_1[[Customer type]:[Customer type]],$F96)</f>
        <v>0.12465456385532679</v>
      </c>
      <c r="K96" s="56">
        <f>SUMIFS(Calc_Variable_1[United Energy],Calc_Variable_1[[Customer type]:[Customer type]],"All")+SUMIFS(Calc_Variable_1[United Energy],Calc_Variable_1[[Customer type]:[Customer type]],$F96)</f>
        <v>0.1290291282783943</v>
      </c>
    </row>
    <row r="97" spans="2:11" outlineLevel="2" x14ac:dyDescent="0.35">
      <c r="B97"/>
      <c r="C97" s="21" t="s">
        <v>197</v>
      </c>
      <c r="D97" s="21" t="s">
        <v>9</v>
      </c>
      <c r="E97" s="21" t="s">
        <v>284</v>
      </c>
      <c r="F97" s="21" t="s">
        <v>88</v>
      </c>
      <c r="G97" s="62" cm="1">
        <f t="array" ref="G97">IF(G95=0,"-",
(G95+G96)*Calc_ROM_1[Ausnet])</f>
        <v>9.9650253179145512E-3</v>
      </c>
      <c r="H97" s="62" cm="1">
        <f t="array" ref="H97">IF(H95=0,"-",
(H95+H96)*Calc_ROM_1[Ausnet])</f>
        <v>8.4345768501332737E-3</v>
      </c>
      <c r="I97" s="62" cm="1">
        <f t="array" ref="I97">IF(I95=0,"-",
(I95+I96)*Calc_ROM_1[Ausnet])</f>
        <v>9.4188609855435992E-3</v>
      </c>
      <c r="J97" s="62" cm="1">
        <f t="array" ref="J97">IF(J95=0,"-",
(J95+J96)*Calc_ROM_1[Ausnet])</f>
        <v>8.8216956568617378E-3</v>
      </c>
      <c r="K97" s="62" cm="1">
        <f t="array" ref="K97">IF(K95=0,"-",
(K95+K96)*Calc_ROM_1[Ausnet])</f>
        <v>8.8382793480150171E-3</v>
      </c>
    </row>
    <row r="98" spans="2:11" outlineLevel="2" x14ac:dyDescent="0.35">
      <c r="B98"/>
      <c r="C98" s="21" t="s">
        <v>279</v>
      </c>
      <c r="D98" s="21" t="s">
        <v>9</v>
      </c>
      <c r="E98" s="21" t="s">
        <v>284</v>
      </c>
      <c r="F98" s="21" t="s">
        <v>88</v>
      </c>
      <c r="G98" s="62">
        <f>IF(G95=0,"-",
(G95+G96+G97)*GST)</f>
        <v>1.7494888819729451E-2</v>
      </c>
      <c r="H98" s="62">
        <f>IF(H95=0,"-",
(H95+H96+H97)*GST)</f>
        <v>1.4807988893843251E-2</v>
      </c>
      <c r="I98" s="62">
        <f>IF(I95=0,"-",
(I95+I96+I97)*GST)</f>
        <v>1.6536026803096744E-2</v>
      </c>
      <c r="J98" s="62">
        <f>IF(J95=0,"-",
(J95+J96+J97)*GST)</f>
        <v>1.5487625951218853E-2</v>
      </c>
      <c r="K98" s="62">
        <f>IF(K95=0,"-",
(K95+K96+K97)*GST)</f>
        <v>1.5516740762640932E-2</v>
      </c>
    </row>
    <row r="99" spans="2:11" outlineLevel="2" x14ac:dyDescent="0.35">
      <c r="B99"/>
      <c r="C99" s="21" t="str">
        <f>C94&amp;" charge"</f>
        <v>Controlled load charge</v>
      </c>
      <c r="D99" s="21" t="s">
        <v>9</v>
      </c>
      <c r="E99" s="21" t="s">
        <v>284</v>
      </c>
      <c r="F99" s="21" t="s">
        <v>88</v>
      </c>
      <c r="G99" s="63">
        <f>IF(G95=0,"-",
SUM(G95:G98))</f>
        <v>0.19244377701702398</v>
      </c>
      <c r="H99" s="63">
        <f>IF(H95=0,"-",
SUM(H95:H98))</f>
        <v>0.16288787783227573</v>
      </c>
      <c r="I99" s="63">
        <f t="shared" ref="I99" si="25">IF(I95=0,"-",
SUM(I95:I98))</f>
        <v>0.18189629483406416</v>
      </c>
      <c r="J99" s="63">
        <f t="shared" ref="J99" si="26">IF(J95=0,"-",
SUM(J95:J98))</f>
        <v>0.17036388546340739</v>
      </c>
      <c r="K99" s="63">
        <f t="shared" ref="K99" si="27">IF(K95=0,"-",
SUM(K95:K98))</f>
        <v>0.17068414838905024</v>
      </c>
    </row>
    <row r="100" spans="2:11" outlineLevel="2" x14ac:dyDescent="0.35">
      <c r="B100"/>
      <c r="G100" s="88" cm="1">
        <f t="array" ref="G100">IF($D$5='Lookup refs'!$D$23,
IF(G99=INDEX(RateCheck_VDO2021F[[Ausnet]:[United Energy]],MATCH(Calc_Rates!$C99&amp;"_"&amp;Calc_Rates!$F99,RateCheck_VDO2021F[[Rate]:[Rate]],0),MATCH(Calc_Rates!G$9,RateCheck_VDO2021F[[#Headers],[Ausnet]:[United Energy]],0)),0,1),
IF(G99="-","-",
IF(G99=(((SUMIFS(Calc_Variable_1[Ausnet],Calc_Variable_1[[Customer type]:[Customer type]],Calc_Rates!$F99)+SUMIFS(Calc_Variable_1[Ausnet],Calc_Variable_1[[Customer type]:[Customer type]],"All")+G95)*(1+Calc_ROM_1[Ausnet]))*(1+GST)),0,1)))</f>
        <v>0</v>
      </c>
      <c r="H100" s="88" cm="1">
        <f t="array" ref="H100">IF($D$5='Lookup refs'!$D$23,
IF(H99=INDEX(RateCheck_VDO2021F[[Ausnet]:[United Energy]],MATCH(Calc_Rates!$C99&amp;"_"&amp;Calc_Rates!$F99,RateCheck_VDO2021F[[Rate]:[Rate]],0),MATCH(Calc_Rates!H$9,RateCheck_VDO2021F[[#Headers],[Ausnet]:[United Energy]],0)),0,1),
IF(H99="-","-",
IF(H99=(((SUMIFS(Calc_Variable_1[Citipower],Calc_Variable_1[[Customer type]:[Customer type]],Calc_Rates!$F99)+SUMIFS(Calc_Variable_1[Citipower],Calc_Variable_1[[Customer type]:[Customer type]],"All")+H95)*(1+Calc_ROM_1[Citipower]))*(1+GST)),0,1)))</f>
        <v>0</v>
      </c>
      <c r="I100" s="88" cm="1">
        <f t="array" ref="I100">IF($D$5='Lookup refs'!$D$23,
IF(I99=INDEX(RateCheck_VDO2021F[[Ausnet]:[United Energy]],MATCH(Calc_Rates!$C99&amp;"_"&amp;Calc_Rates!$F99,RateCheck_VDO2021F[[Rate]:[Rate]],0),MATCH(Calc_Rates!I$9,RateCheck_VDO2021F[[#Headers],[Ausnet]:[United Energy]],0)),0,1),
IF(I99="-","-",
IF(I99=(((SUMIFS(Calc_Variable_1[Jemena],Calc_Variable_1[[Customer type]:[Customer type]],Calc_Rates!$F99)+SUMIFS(Calc_Variable_1[Jemena],Calc_Variable_1[[Customer type]:[Customer type]],"All")+I95)*(1+Calc_ROM_1[Jemena]))*(1+GST)),0,1)))</f>
        <v>0</v>
      </c>
      <c r="J100" s="88" cm="1">
        <f t="array" ref="J100">IF($D$5='Lookup refs'!$D$23,
IF(J99=INDEX(RateCheck_VDO2021F[[Ausnet]:[United Energy]],MATCH(Calc_Rates!$C99&amp;"_"&amp;Calc_Rates!$F99,RateCheck_VDO2021F[[Rate]:[Rate]],0),MATCH(Calc_Rates!J$9,RateCheck_VDO2021F[[#Headers],[Ausnet]:[United Energy]],0)),0,1),
IF(J99="-","-",
IF(J99=(((SUMIFS(Calc_Variable_1[Powercor],Calc_Variable_1[[Customer type]:[Customer type]],Calc_Rates!$F99)+SUMIFS(Calc_Variable_1[Powercor],Calc_Variable_1[[Customer type]:[Customer type]],"All")+J95)*(1+Calc_ROM_1[Powercor]))*(1+GST)),0,1)))</f>
        <v>0</v>
      </c>
      <c r="K100" s="88" cm="1">
        <f t="array" ref="K100">IF($D$5='Lookup refs'!$D$23,
IF(K99=INDEX(RateCheck_VDO2021F[[Ausnet]:[United Energy]],MATCH(Calc_Rates!$C99&amp;"_"&amp;Calc_Rates!$F99,RateCheck_VDO2021F[[Rate]:[Rate]],0),MATCH(Calc_Rates!K$9,RateCheck_VDO2021F[[#Headers],[Ausnet]:[United Energy]],0)),0,1),
IF(K99="-","-",
IF(K99=(((SUMIFS(Calc_Variable_1[United Energy],Calc_Variable_1[[Customer type]:[Customer type]],Calc_Rates!$F99)+SUMIFS(Calc_Variable_1[United Energy],Calc_Variable_1[[Customer type]:[Customer type]],"All")+K95)*(1+Calc_ROM_1[United Energy]))*(1+GST)),0,1)))</f>
        <v>0</v>
      </c>
    </row>
    <row r="101" spans="2:11" ht="15.5" outlineLevel="2" x14ac:dyDescent="0.35">
      <c r="B101"/>
      <c r="C101" s="26" t="s">
        <v>295</v>
      </c>
    </row>
    <row r="102" spans="2:11" ht="15.5" outlineLevel="2" x14ac:dyDescent="0.35">
      <c r="B102"/>
      <c r="C102" s="69" t="s">
        <v>288</v>
      </c>
    </row>
    <row r="103" spans="2:11" outlineLevel="2" x14ac:dyDescent="0.35">
      <c r="B103"/>
      <c r="C103" s="21" t="s">
        <v>289</v>
      </c>
      <c r="D103" s="21" t="s">
        <v>9</v>
      </c>
      <c r="E103" s="21" t="s">
        <v>284</v>
      </c>
      <c r="F103" s="21" t="s">
        <v>89</v>
      </c>
      <c r="G103" s="56">
        <f>SUMIFS(Calc_NetworkV_1[Ausnet],Calc_NetworkV_1[[Cost item]:[Cost item]],$C102,Calc_NetworkV_1[[Customer type]:[Customer type]],$F103)</f>
        <v>0.139602</v>
      </c>
      <c r="H103" s="56">
        <f>SUMIFS(Calc_NetworkV_1[Citipower],Calc_NetworkV_1[[Cost item]:[Cost item]],$C102,Calc_NetworkV_1[[Customer type]:[Customer type]],$F103)</f>
        <v>0</v>
      </c>
      <c r="I103" s="56">
        <f>SUMIFS(Calc_NetworkV_1[Jemena],Calc_NetworkV_1[[Cost item]:[Cost item]],$C102,Calc_NetworkV_1[[Customer type]:[Customer type]],$F103)</f>
        <v>0</v>
      </c>
      <c r="J103" s="56">
        <f>SUMIFS(Calc_NetworkV_1[Powercor],Calc_NetworkV_1[[Cost item]:[Cost item]],$C102,Calc_NetworkV_1[[Customer type]:[Customer type]],$F103)</f>
        <v>0</v>
      </c>
      <c r="K103" s="56">
        <f>SUMIFS(Calc_NetworkV_1[United Energy],Calc_NetworkV_1[[Cost item]:[Cost item]],$C102,Calc_NetworkV_1[[Customer type]:[Customer type]],$F103)</f>
        <v>0</v>
      </c>
    </row>
    <row r="104" spans="2:11" outlineLevel="2" x14ac:dyDescent="0.35">
      <c r="B104"/>
      <c r="C104" s="21" t="s">
        <v>282</v>
      </c>
      <c r="D104" s="21" t="s">
        <v>9</v>
      </c>
      <c r="E104" s="21" t="s">
        <v>284</v>
      </c>
      <c r="F104" s="21" t="s">
        <v>89</v>
      </c>
      <c r="G104" s="56">
        <f>SUMIFS(Calc_Variable_1[Ausnet],Calc_Variable_1[[Customer type]:[Customer type]],"All")+SUMIFS(Calc_Variable_1[Ausnet],Calc_Variable_1[[Customer type]:[Customer type]],$F104)</f>
        <v>0.11369540103847998</v>
      </c>
      <c r="H104" s="56">
        <f>SUMIFS(Calc_Variable_1[Citipower],Calc_Variable_1[[Customer type]:[Customer type]],"All")+SUMIFS(Calc_Variable_1[Citipower],Calc_Variable_1[[Customer type]:[Customer type]],$F104)</f>
        <v>0.11472917972222922</v>
      </c>
      <c r="I104" s="56">
        <f>SUMIFS(Calc_Variable_1[Jemena],Calc_Variable_1[[Customer type]:[Customer type]],"All")+SUMIFS(Calc_Variable_1[Jemena],Calc_Variable_1[[Customer type]:[Customer type]],$F104)</f>
        <v>0.11289772271369052</v>
      </c>
      <c r="J104" s="56">
        <f>SUMIFS(Calc_Variable_1[Powercor],Calc_Variable_1[[Customer type]:[Customer type]],"All")+SUMIFS(Calc_Variable_1[Powercor],Calc_Variable_1[[Customer type]:[Customer type]],$F104)</f>
        <v>0.11176944916975179</v>
      </c>
      <c r="K104" s="56">
        <f>SUMIFS(Calc_Variable_1[United Energy],Calc_Variable_1[[Customer type]:[Customer type]],"All")+SUMIFS(Calc_Variable_1[United Energy],Calc_Variable_1[[Customer type]:[Customer type]],$F104)</f>
        <v>0.1167894443806243</v>
      </c>
    </row>
    <row r="105" spans="2:11" outlineLevel="2" x14ac:dyDescent="0.35">
      <c r="B105"/>
      <c r="C105" s="21" t="s">
        <v>197</v>
      </c>
      <c r="D105" s="21" t="s">
        <v>9</v>
      </c>
      <c r="E105" s="21" t="s">
        <v>284</v>
      </c>
      <c r="F105" s="21" t="s">
        <v>89</v>
      </c>
      <c r="G105" s="62" cm="1">
        <f t="array" ref="G105">IF(G103=0,"-",
(G103+G104)*Calc_ROM_1[Ausnet])</f>
        <v>1.5299163022724192E-2</v>
      </c>
      <c r="H105" s="62" t="str" cm="1">
        <f t="array" ref="H105">IF(H103=0,"-",
(H103+H104)*Calc_ROM_1[Ausnet])</f>
        <v>-</v>
      </c>
      <c r="I105" s="62" t="str" cm="1">
        <f t="array" ref="I105">IF(I103=0,"-",
(I103+I104)*Calc_ROM_1[Ausnet])</f>
        <v>-</v>
      </c>
      <c r="J105" s="62" t="str" cm="1">
        <f t="array" ref="J105">IF(J103=0,"-",
(J103+J104)*Calc_ROM_1[Ausnet])</f>
        <v>-</v>
      </c>
      <c r="K105" s="62" t="str" cm="1">
        <f t="array" ref="K105">IF(K103=0,"-",
(K103+K104)*Calc_ROM_1[Ausnet])</f>
        <v>-</v>
      </c>
    </row>
    <row r="106" spans="2:11" outlineLevel="2" x14ac:dyDescent="0.35">
      <c r="B106"/>
      <c r="C106" s="21" t="s">
        <v>279</v>
      </c>
      <c r="D106" s="21" t="s">
        <v>9</v>
      </c>
      <c r="E106" s="21" t="s">
        <v>284</v>
      </c>
      <c r="F106" s="21" t="s">
        <v>89</v>
      </c>
      <c r="G106" s="62">
        <f>IF(G103=0,"-",
(G103+G104+G105)*GST)</f>
        <v>2.6859656406120421E-2</v>
      </c>
      <c r="H106" s="62" t="str">
        <f>IF(H103=0,"-",
(H103+H104+H105)*GST)</f>
        <v>-</v>
      </c>
      <c r="I106" s="62" t="str">
        <f>IF(I103=0,"-",
(I103+I104+I105)*GST)</f>
        <v>-</v>
      </c>
      <c r="J106" s="62" t="str">
        <f>IF(J103=0,"-",
(J103+J104+J105)*GST)</f>
        <v>-</v>
      </c>
      <c r="K106" s="62" t="str">
        <f>IF(K103=0,"-",
(K103+K104+K105)*GST)</f>
        <v>-</v>
      </c>
    </row>
    <row r="107" spans="2:11" outlineLevel="2" x14ac:dyDescent="0.35">
      <c r="B107"/>
      <c r="C107" s="21" t="str">
        <f>C102&amp;" charge"</f>
        <v>Anytime - Block 1 charge</v>
      </c>
      <c r="D107" s="21" t="s">
        <v>9</v>
      </c>
      <c r="E107" s="21" t="s">
        <v>284</v>
      </c>
      <c r="F107" s="21" t="s">
        <v>89</v>
      </c>
      <c r="G107" s="63">
        <f>IF(G103=0,"-",
SUM(G103:G106))</f>
        <v>0.29545622046732462</v>
      </c>
      <c r="H107" s="63" t="str">
        <f>IF(H103=0,"-",
SUM(H103:H106))</f>
        <v>-</v>
      </c>
      <c r="I107" s="63" t="str">
        <f t="shared" ref="I107" si="28">IF(I103=0,"-",
SUM(I103:I106))</f>
        <v>-</v>
      </c>
      <c r="J107" s="63" t="str">
        <f t="shared" ref="J107" si="29">IF(J103=0,"-",
SUM(J103:J106))</f>
        <v>-</v>
      </c>
      <c r="K107" s="63" t="str">
        <f t="shared" ref="K107" si="30">IF(K103=0,"-",
SUM(K103:K106))</f>
        <v>-</v>
      </c>
    </row>
    <row r="108" spans="2:11" outlineLevel="2" x14ac:dyDescent="0.35">
      <c r="B108"/>
      <c r="G108" s="88" cm="1">
        <f t="array" ref="G108">IF($D$5='Lookup refs'!$D$23,
IF(G107=INDEX(RateCheck_VDO2021F[[Ausnet]:[United Energy]],MATCH(Calc_Rates!$C107&amp;"_"&amp;Calc_Rates!$F107,RateCheck_VDO2021F[[Rate]:[Rate]],0),MATCH(Calc_Rates!G$9,RateCheck_VDO2021F[[#Headers],[Ausnet]:[United Energy]],0)),0,1),
IF(G107="-","-",
IF(G107=(((SUMIFS(Calc_Variable_1[Ausnet],Calc_Variable_1[[Customer type]:[Customer type]],Calc_Rates!$F107)+SUMIFS(Calc_Variable_1[Ausnet],Calc_Variable_1[[Customer type]:[Customer type]],"All")+G103)*(1+Calc_ROM_1[Ausnet]))*(1+GST)),0,1)))</f>
        <v>0</v>
      </c>
      <c r="H108" s="88" cm="1">
        <f t="array" ref="H108">IF($D$5='Lookup refs'!$D$23,
IF(H107=INDEX(RateCheck_VDO2021F[[Ausnet]:[United Energy]],MATCH(Calc_Rates!$C107&amp;"_"&amp;Calc_Rates!$F107,RateCheck_VDO2021F[[Rate]:[Rate]],0),MATCH(Calc_Rates!H$9,RateCheck_VDO2021F[[#Headers],[Ausnet]:[United Energy]],0)),0,1),
IF(H107="-","-",
IF(H107=(((SUMIFS(Calc_Variable_1[Citipower],Calc_Variable_1[[Customer type]:[Customer type]],Calc_Rates!$F107)+SUMIFS(Calc_Variable_1[Citipower],Calc_Variable_1[[Customer type]:[Customer type]],"All")+H103)*(1+Calc_ROM_1[Citipower]))*(1+GST)),0,1)))</f>
        <v>0</v>
      </c>
      <c r="I108" s="88" cm="1">
        <f t="array" ref="I108">IF($D$5='Lookup refs'!$D$23,
IF(I107=INDEX(RateCheck_VDO2021F[[Ausnet]:[United Energy]],MATCH(Calc_Rates!$C107&amp;"_"&amp;Calc_Rates!$F107,RateCheck_VDO2021F[[Rate]:[Rate]],0),MATCH(Calc_Rates!I$9,RateCheck_VDO2021F[[#Headers],[Ausnet]:[United Energy]],0)),0,1),
IF(I107="-","-",
IF(I107=(((SUMIFS(Calc_Variable_1[Jemena],Calc_Variable_1[[Customer type]:[Customer type]],Calc_Rates!$F107)+SUMIFS(Calc_Variable_1[Jemena],Calc_Variable_1[[Customer type]:[Customer type]],"All")+I103)*(1+Calc_ROM_1[Jemena]))*(1+GST)),0,1)))</f>
        <v>0</v>
      </c>
      <c r="J108" s="88" cm="1">
        <f t="array" ref="J108">IF($D$5='Lookup refs'!$D$23,
IF(J107=INDEX(RateCheck_VDO2021F[[Ausnet]:[United Energy]],MATCH(Calc_Rates!$C107&amp;"_"&amp;Calc_Rates!$F107,RateCheck_VDO2021F[[Rate]:[Rate]],0),MATCH(Calc_Rates!J$9,RateCheck_VDO2021F[[#Headers],[Ausnet]:[United Energy]],0)),0,1),
IF(J107="-","-",
IF(J107=(((SUMIFS(Calc_Variable_1[Powercor],Calc_Variable_1[[Customer type]:[Customer type]],Calc_Rates!$F107)+SUMIFS(Calc_Variable_1[Powercor],Calc_Variable_1[[Customer type]:[Customer type]],"All")+J103)*(1+Calc_ROM_1[Powercor]))*(1+GST)),0,1)))</f>
        <v>0</v>
      </c>
      <c r="K108" s="88" cm="1">
        <f t="array" ref="K108">IF($D$5='Lookup refs'!$D$23,
IF(K107=INDEX(RateCheck_VDO2021F[[Ausnet]:[United Energy]],MATCH(Calc_Rates!$C107&amp;"_"&amp;Calc_Rates!$F107,RateCheck_VDO2021F[[Rate]:[Rate]],0),MATCH(Calc_Rates!K$9,RateCheck_VDO2021F[[#Headers],[Ausnet]:[United Energy]],0)),0,1),
IF(K107="-","-",
IF(K107=(((SUMIFS(Calc_Variable_1[United Energy],Calc_Variable_1[[Customer type]:[Customer type]],Calc_Rates!$F107)+SUMIFS(Calc_Variable_1[United Energy],Calc_Variable_1[[Customer type]:[Customer type]],"All")+K103)*(1+Calc_ROM_1[United Energy]))*(1+GST)),0,1)))</f>
        <v>0</v>
      </c>
    </row>
    <row r="109" spans="2:11" ht="15.5" outlineLevel="2" x14ac:dyDescent="0.35">
      <c r="B109"/>
      <c r="C109" s="69" t="s">
        <v>290</v>
      </c>
    </row>
    <row r="110" spans="2:11" outlineLevel="2" x14ac:dyDescent="0.35">
      <c r="B110"/>
      <c r="C110" s="21" t="s">
        <v>289</v>
      </c>
      <c r="D110" s="21" t="s">
        <v>9</v>
      </c>
      <c r="E110" s="21" t="s">
        <v>284</v>
      </c>
      <c r="F110" s="21" t="s">
        <v>89</v>
      </c>
      <c r="G110" s="56">
        <f>SUMIFS(Calc_NetworkV_1[Ausnet],Calc_NetworkV_1[[Cost item]:[Cost item]],$C109,Calc_NetworkV_1[[Customer type]:[Customer type]],$F110)</f>
        <v>0.169349</v>
      </c>
      <c r="H110" s="56">
        <f>SUMIFS(Calc_NetworkV_1[Citipower],Calc_NetworkV_1[[Cost item]:[Cost item]],$C109,Calc_NetworkV_1[[Customer type]:[Customer type]],$F110)</f>
        <v>0</v>
      </c>
      <c r="I110" s="56">
        <f>SUMIFS(Calc_NetworkV_1[Jemena],Calc_NetworkV_1[[Cost item]:[Cost item]],$C109,Calc_NetworkV_1[[Customer type]:[Customer type]],$F110)</f>
        <v>0</v>
      </c>
      <c r="J110" s="56">
        <f>SUMIFS(Calc_NetworkV_1[Powercor],Calc_NetworkV_1[[Cost item]:[Cost item]],$C109,Calc_NetworkV_1[[Customer type]:[Customer type]],$F110)</f>
        <v>0</v>
      </c>
      <c r="K110" s="56">
        <f>SUMIFS(Calc_NetworkV_1[United Energy],Calc_NetworkV_1[[Cost item]:[Cost item]],$C109,Calc_NetworkV_1[[Customer type]:[Customer type]],$F110)</f>
        <v>0</v>
      </c>
    </row>
    <row r="111" spans="2:11" outlineLevel="2" x14ac:dyDescent="0.35">
      <c r="B111"/>
      <c r="C111" s="21" t="s">
        <v>282</v>
      </c>
      <c r="D111" s="21" t="s">
        <v>9</v>
      </c>
      <c r="E111" s="21" t="s">
        <v>284</v>
      </c>
      <c r="F111" s="21" t="s">
        <v>89</v>
      </c>
      <c r="G111" s="56">
        <f>SUMIFS(Calc_Variable_1[Ausnet],Calc_Variable_1[[Customer type]:[Customer type]],"All")+SUMIFS(Calc_Variable_1[Ausnet],Calc_Variable_1[[Customer type]:[Customer type]],$F111)</f>
        <v>0.11369540103847998</v>
      </c>
      <c r="H111" s="56">
        <f>SUMIFS(Calc_Variable_1[Citipower],Calc_Variable_1[[Customer type]:[Customer type]],"All")+SUMIFS(Calc_Variable_1[Citipower],Calc_Variable_1[[Customer type]:[Customer type]],$F111)</f>
        <v>0.11472917972222922</v>
      </c>
      <c r="I111" s="56">
        <f>SUMIFS(Calc_Variable_1[Jemena],Calc_Variable_1[[Customer type]:[Customer type]],"All")+SUMIFS(Calc_Variable_1[Jemena],Calc_Variable_1[[Customer type]:[Customer type]],$F111)</f>
        <v>0.11289772271369052</v>
      </c>
      <c r="J111" s="56">
        <f>SUMIFS(Calc_Variable_1[Powercor],Calc_Variable_1[[Customer type]:[Customer type]],"All")+SUMIFS(Calc_Variable_1[Powercor],Calc_Variable_1[[Customer type]:[Customer type]],$F111)</f>
        <v>0.11176944916975179</v>
      </c>
      <c r="K111" s="56">
        <f>SUMIFS(Calc_Variable_1[United Energy],Calc_Variable_1[[Customer type]:[Customer type]],"All")+SUMIFS(Calc_Variable_1[United Energy],Calc_Variable_1[[Customer type]:[Customer type]],$F111)</f>
        <v>0.1167894443806243</v>
      </c>
    </row>
    <row r="112" spans="2:11" outlineLevel="2" x14ac:dyDescent="0.35">
      <c r="B112"/>
      <c r="C112" s="21" t="s">
        <v>197</v>
      </c>
      <c r="D112" s="21" t="s">
        <v>9</v>
      </c>
      <c r="E112" s="21" t="s">
        <v>284</v>
      </c>
      <c r="F112" s="21" t="s">
        <v>89</v>
      </c>
      <c r="G112" s="62" cm="1">
        <f t="array" ref="G112">IF(G110=0,"-",
(G110+G111)*Calc_ROM_1[Ausnet])</f>
        <v>1.7095881822724191E-2</v>
      </c>
      <c r="H112" s="62" t="str" cm="1">
        <f t="array" ref="H112">IF(H110=0,"-",
(H110+H111)*Calc_ROM_1[Ausnet])</f>
        <v>-</v>
      </c>
      <c r="I112" s="62" t="str" cm="1">
        <f t="array" ref="I112">IF(I110=0,"-",
(I110+I111)*Calc_ROM_1[Ausnet])</f>
        <v>-</v>
      </c>
      <c r="J112" s="62" t="str" cm="1">
        <f t="array" ref="J112">IF(J110=0,"-",
(J110+J111)*Calc_ROM_1[Ausnet])</f>
        <v>-</v>
      </c>
      <c r="K112" s="62" t="str" cm="1">
        <f t="array" ref="K112">IF(K110=0,"-",
(K110+K111)*Calc_ROM_1[Ausnet])</f>
        <v>-</v>
      </c>
    </row>
    <row r="113" spans="2:11" outlineLevel="2" x14ac:dyDescent="0.35">
      <c r="B113"/>
      <c r="C113" s="21" t="s">
        <v>279</v>
      </c>
      <c r="D113" s="21" t="s">
        <v>9</v>
      </c>
      <c r="E113" s="21" t="s">
        <v>284</v>
      </c>
      <c r="F113" s="21" t="s">
        <v>89</v>
      </c>
      <c r="G113" s="62">
        <f>IF(G110=0,"-",
(G110+G111+G112)*GST)</f>
        <v>3.0014028286120421E-2</v>
      </c>
      <c r="H113" s="62" t="str">
        <f>IF(H110=0,"-",
(H110+H111+H112)*GST)</f>
        <v>-</v>
      </c>
      <c r="I113" s="62" t="str">
        <f>IF(I110=0,"-",
(I110+I111+I112)*GST)</f>
        <v>-</v>
      </c>
      <c r="J113" s="62" t="str">
        <f>IF(J110=0,"-",
(J110+J111+J112)*GST)</f>
        <v>-</v>
      </c>
      <c r="K113" s="62" t="str">
        <f>IF(K110=0,"-",
(K110+K111+K112)*GST)</f>
        <v>-</v>
      </c>
    </row>
    <row r="114" spans="2:11" outlineLevel="2" x14ac:dyDescent="0.35">
      <c r="B114"/>
      <c r="C114" s="21" t="str">
        <f>C109&amp;" charge"</f>
        <v>Anytime - Balance charge</v>
      </c>
      <c r="D114" s="21" t="s">
        <v>9</v>
      </c>
      <c r="E114" s="21" t="s">
        <v>284</v>
      </c>
      <c r="F114" s="21" t="s">
        <v>89</v>
      </c>
      <c r="G114" s="63">
        <f>IF(G110=0,"-",
SUM(G110:G113))</f>
        <v>0.33015431114732463</v>
      </c>
      <c r="H114" s="63" t="str">
        <f>IF(H110=0,"-",
SUM(H110:H113))</f>
        <v>-</v>
      </c>
      <c r="I114" s="63" t="str">
        <f t="shared" ref="I114" si="31">IF(I110=0,"-",
SUM(I110:I113))</f>
        <v>-</v>
      </c>
      <c r="J114" s="63" t="str">
        <f t="shared" ref="J114" si="32">IF(J110=0,"-",
SUM(J110:J113))</f>
        <v>-</v>
      </c>
      <c r="K114" s="63" t="str">
        <f t="shared" ref="K114" si="33">IF(K110=0,"-",
SUM(K110:K113))</f>
        <v>-</v>
      </c>
    </row>
    <row r="115" spans="2:11" outlineLevel="2" x14ac:dyDescent="0.35">
      <c r="B115"/>
      <c r="G115" s="88" cm="1">
        <f t="array" ref="G115">IF($D$5='Lookup refs'!$D$23,
IF(G114=INDEX(RateCheck_VDO2021F[[Ausnet]:[United Energy]],MATCH(Calc_Rates!$C114&amp;"_"&amp;Calc_Rates!$F114,RateCheck_VDO2021F[[Rate]:[Rate]],0),MATCH(Calc_Rates!G$9,RateCheck_VDO2021F[[#Headers],[Ausnet]:[United Energy]],0)),0,1),
IF(G114="-","-",
IF(G114=(((SUMIFS(Calc_Variable_1[Ausnet],Calc_Variable_1[[Customer type]:[Customer type]],Calc_Rates!$F114)+SUMIFS(Calc_Variable_1[Ausnet],Calc_Variable_1[[Customer type]:[Customer type]],"All")+G110)*(1+Calc_ROM_1[Ausnet]))*(1+GST)),0,1)))</f>
        <v>0</v>
      </c>
      <c r="H115" s="88" cm="1">
        <f t="array" ref="H115">IF($D$5='Lookup refs'!$D$23,
IF(H114=INDEX(RateCheck_VDO2021F[[Ausnet]:[United Energy]],MATCH(Calc_Rates!$C114&amp;"_"&amp;Calc_Rates!$F114,RateCheck_VDO2021F[[Rate]:[Rate]],0),MATCH(Calc_Rates!H$9,RateCheck_VDO2021F[[#Headers],[Ausnet]:[United Energy]],0)),0,1),
IF(H114="-","-",
IF(H114=(((SUMIFS(Calc_Variable_1[Citipower],Calc_Variable_1[[Customer type]:[Customer type]],Calc_Rates!$F114)+SUMIFS(Calc_Variable_1[Citipower],Calc_Variable_1[[Customer type]:[Customer type]],"All")+H110)*(1+Calc_ROM_1[Citipower]))*(1+GST)),0,1)))</f>
        <v>0</v>
      </c>
      <c r="I115" s="88" cm="1">
        <f t="array" ref="I115">IF($D$5='Lookup refs'!$D$23,
IF(I114=INDEX(RateCheck_VDO2021F[[Ausnet]:[United Energy]],MATCH(Calc_Rates!$C114&amp;"_"&amp;Calc_Rates!$F114,RateCheck_VDO2021F[[Rate]:[Rate]],0),MATCH(Calc_Rates!I$9,RateCheck_VDO2021F[[#Headers],[Ausnet]:[United Energy]],0)),0,1),
IF(I114="-","-",
IF(I114=(((SUMIFS(Calc_Variable_1[Jemena],Calc_Variable_1[[Customer type]:[Customer type]],Calc_Rates!$F114)+SUMIFS(Calc_Variable_1[Jemena],Calc_Variable_1[[Customer type]:[Customer type]],"All")+I110)*(1+Calc_ROM_1[Jemena]))*(1+GST)),0,1)))</f>
        <v>0</v>
      </c>
      <c r="J115" s="88" cm="1">
        <f t="array" ref="J115">IF($D$5='Lookup refs'!$D$23,
IF(J114=INDEX(RateCheck_VDO2021F[[Ausnet]:[United Energy]],MATCH(Calc_Rates!$C114&amp;"_"&amp;Calc_Rates!$F114,RateCheck_VDO2021F[[Rate]:[Rate]],0),MATCH(Calc_Rates!J$9,RateCheck_VDO2021F[[#Headers],[Ausnet]:[United Energy]],0)),0,1),
IF(J114="-","-",
IF(J114=(((SUMIFS(Calc_Variable_1[Powercor],Calc_Variable_1[[Customer type]:[Customer type]],Calc_Rates!$F114)+SUMIFS(Calc_Variable_1[Powercor],Calc_Variable_1[[Customer type]:[Customer type]],"All")+J110)*(1+Calc_ROM_1[Powercor]))*(1+GST)),0,1)))</f>
        <v>0</v>
      </c>
      <c r="K115" s="88" cm="1">
        <f t="array" ref="K115">IF($D$5='Lookup refs'!$D$23,
IF(K114=INDEX(RateCheck_VDO2021F[[Ausnet]:[United Energy]],MATCH(Calc_Rates!$C114&amp;"_"&amp;Calc_Rates!$F114,RateCheck_VDO2021F[[Rate]:[Rate]],0),MATCH(Calc_Rates!K$9,RateCheck_VDO2021F[[#Headers],[Ausnet]:[United Energy]],0)),0,1),
IF(K114="-","-",
IF(K114=(((SUMIFS(Calc_Variable_1[United Energy],Calc_Variable_1[[Customer type]:[Customer type]],Calc_Rates!$F114)+SUMIFS(Calc_Variable_1[United Energy],Calc_Variable_1[[Customer type]:[Customer type]],"All")+K110)*(1+Calc_ROM_1[United Energy]))*(1+GST)),0,1)))</f>
        <v>0</v>
      </c>
    </row>
    <row r="116" spans="2:11" ht="15.5" outlineLevel="2" x14ac:dyDescent="0.35">
      <c r="B116"/>
      <c r="C116" s="69" t="s">
        <v>291</v>
      </c>
    </row>
    <row r="117" spans="2:11" outlineLevel="2" x14ac:dyDescent="0.35">
      <c r="B117"/>
      <c r="C117" s="21" t="s">
        <v>289</v>
      </c>
      <c r="D117" s="21" t="s">
        <v>9</v>
      </c>
      <c r="E117" s="21" t="s">
        <v>284</v>
      </c>
      <c r="F117" s="21" t="s">
        <v>89</v>
      </c>
      <c r="G117" s="56">
        <f>SUMIFS(Calc_NetworkV_1[Ausnet],Calc_NetworkV_1[[Cost item]:[Cost item]],$C116,Calc_NetworkV_1[[Customer type]:[Customer type]],$F117)</f>
        <v>0</v>
      </c>
      <c r="H117" s="56">
        <f>SUMIFS(Calc_NetworkV_1[Citipower],Calc_NetworkV_1[[Cost item]:[Cost item]],$C116,Calc_NetworkV_1[[Customer type]:[Customer type]],$F117)</f>
        <v>7.5399999999999995E-2</v>
      </c>
      <c r="I117" s="56">
        <f>SUMIFS(Calc_NetworkV_1[Jemena],Calc_NetworkV_1[[Cost item]:[Cost item]],$C116,Calc_NetworkV_1[[Customer type]:[Customer type]],$F117)</f>
        <v>9.326000000000001E-2</v>
      </c>
      <c r="J117" s="56">
        <f>SUMIFS(Calc_NetworkV_1[Powercor],Calc_NetworkV_1[[Cost item]:[Cost item]],$C116,Calc_NetworkV_1[[Customer type]:[Customer type]],$F117)</f>
        <v>8.4399999999999989E-2</v>
      </c>
      <c r="K117" s="56">
        <f>SUMIFS(Calc_NetworkV_1[United Energy],Calc_NetworkV_1[[Cost item]:[Cost item]],$C116,Calc_NetworkV_1[[Customer type]:[Customer type]],$F117)</f>
        <v>9.2699999999999991E-2</v>
      </c>
    </row>
    <row r="118" spans="2:11" outlineLevel="2" x14ac:dyDescent="0.35">
      <c r="B118"/>
      <c r="C118" s="21" t="s">
        <v>282</v>
      </c>
      <c r="D118" s="21" t="s">
        <v>9</v>
      </c>
      <c r="E118" s="21" t="s">
        <v>284</v>
      </c>
      <c r="F118" s="21" t="s">
        <v>89</v>
      </c>
      <c r="G118" s="56">
        <f>SUMIFS(Calc_Variable_1[Ausnet],Calc_Variable_1[[Customer type]:[Customer type]],"All")+SUMIFS(Calc_Variable_1[Ausnet],Calc_Variable_1[[Customer type]:[Customer type]],$F118)</f>
        <v>0.11369540103847998</v>
      </c>
      <c r="H118" s="56">
        <f>SUMIFS(Calc_Variable_1[Citipower],Calc_Variable_1[[Customer type]:[Customer type]],"All")+SUMIFS(Calc_Variable_1[Citipower],Calc_Variable_1[[Customer type]:[Customer type]],$F118)</f>
        <v>0.11472917972222922</v>
      </c>
      <c r="I118" s="56">
        <f>SUMIFS(Calc_Variable_1[Jemena],Calc_Variable_1[[Customer type]:[Customer type]],"All")+SUMIFS(Calc_Variable_1[Jemena],Calc_Variable_1[[Customer type]:[Customer type]],$F118)</f>
        <v>0.11289772271369052</v>
      </c>
      <c r="J118" s="56">
        <f>SUMIFS(Calc_Variable_1[Powercor],Calc_Variable_1[[Customer type]:[Customer type]],"All")+SUMIFS(Calc_Variable_1[Powercor],Calc_Variable_1[[Customer type]:[Customer type]],$F118)</f>
        <v>0.11176944916975179</v>
      </c>
      <c r="K118" s="56">
        <f>SUMIFS(Calc_Variable_1[United Energy],Calc_Variable_1[[Customer type]:[Customer type]],"All")+SUMIFS(Calc_Variable_1[United Energy],Calc_Variable_1[[Customer type]:[Customer type]],$F118)</f>
        <v>0.1167894443806243</v>
      </c>
    </row>
    <row r="119" spans="2:11" outlineLevel="2" x14ac:dyDescent="0.35">
      <c r="B119"/>
      <c r="C119" s="21" t="s">
        <v>197</v>
      </c>
      <c r="D119" s="21" t="s">
        <v>9</v>
      </c>
      <c r="E119" s="21" t="s">
        <v>284</v>
      </c>
      <c r="F119" s="21" t="s">
        <v>89</v>
      </c>
      <c r="G119" s="62" t="str" cm="1">
        <f t="array" ref="G119">IF(G117=0,"-",
(G117+G118)*Calc_ROM_1[Ausnet])</f>
        <v>-</v>
      </c>
      <c r="H119" s="62" cm="1">
        <f t="array" ref="H119">IF(H117=0,"-",
(H117+H118)*Calc_ROM_1[Ausnet])</f>
        <v>1.1483802455222644E-2</v>
      </c>
      <c r="I119" s="62" cm="1">
        <f t="array" ref="I119">IF(I117=0,"-",
(I117+I118)*Calc_ROM_1[Ausnet])</f>
        <v>1.245192645190691E-2</v>
      </c>
      <c r="J119" s="62" cm="1">
        <f t="array" ref="J119">IF(J117=0,"-",
(J117+J118)*Calc_ROM_1[Ausnet])</f>
        <v>1.1848634729853006E-2</v>
      </c>
      <c r="K119" s="62" cm="1">
        <f t="array" ref="K119">IF(K117=0,"-",
(K117+K118)*Calc_ROM_1[Ausnet])</f>
        <v>1.2653162440589706E-2</v>
      </c>
    </row>
    <row r="120" spans="2:11" outlineLevel="2" x14ac:dyDescent="0.35">
      <c r="B120"/>
      <c r="C120" s="21" t="s">
        <v>279</v>
      </c>
      <c r="D120" s="21" t="s">
        <v>9</v>
      </c>
      <c r="E120" s="21" t="s">
        <v>284</v>
      </c>
      <c r="F120" s="21" t="s">
        <v>89</v>
      </c>
      <c r="G120" s="62" t="str">
        <f>IF(G117=0,"-",
(G117+G118+G119)*GST)</f>
        <v>-</v>
      </c>
      <c r="H120" s="62">
        <f>IF(H117=0,"-",
(H117+H118+H119)*GST)</f>
        <v>2.0161298217745188E-2</v>
      </c>
      <c r="I120" s="62">
        <f>IF(I117=0,"-",
(I117+I118+I119)*GST)</f>
        <v>2.1860964916559745E-2</v>
      </c>
      <c r="J120" s="62">
        <f>IF(J117=0,"-",
(J117+J118+J119)*GST)</f>
        <v>2.0801808389960479E-2</v>
      </c>
      <c r="K120" s="62">
        <f>IF(K117=0,"-",
(K117+K118+K119)*GST)</f>
        <v>2.2214260682121401E-2</v>
      </c>
    </row>
    <row r="121" spans="2:11" outlineLevel="2" x14ac:dyDescent="0.35">
      <c r="B121"/>
      <c r="C121" s="21" t="str">
        <f>C116&amp;" charge"</f>
        <v>Anytime - Single rate charge</v>
      </c>
      <c r="D121" s="21" t="s">
        <v>9</v>
      </c>
      <c r="E121" s="21" t="s">
        <v>284</v>
      </c>
      <c r="F121" s="21" t="s">
        <v>89</v>
      </c>
      <c r="G121" s="63" t="str">
        <f>IF(G117=0,"-",
SUM(G117:G120))</f>
        <v>-</v>
      </c>
      <c r="H121" s="63">
        <f>IF(H117=0,"-",
SUM(H117:H120))</f>
        <v>0.22177428039519703</v>
      </c>
      <c r="I121" s="63">
        <f t="shared" ref="I121" si="34">IF(I117=0,"-",
SUM(I117:I120))</f>
        <v>0.2404706140821572</v>
      </c>
      <c r="J121" s="63">
        <f t="shared" ref="J121" si="35">IF(J117=0,"-",
SUM(J117:J120))</f>
        <v>0.22881989228956526</v>
      </c>
      <c r="K121" s="63">
        <f t="shared" ref="K121" si="36">IF(K117=0,"-",
SUM(K117:K120))</f>
        <v>0.24435686750333538</v>
      </c>
    </row>
    <row r="122" spans="2:11" outlineLevel="2" x14ac:dyDescent="0.35">
      <c r="B122"/>
      <c r="G122" s="88" cm="1">
        <f t="array" ref="G122">IF($D$5='Lookup refs'!$D$23,
IF(G121=INDEX(RateCheck_VDO2021F[[Ausnet]:[United Energy]],MATCH(Calc_Rates!$C121&amp;"_"&amp;Calc_Rates!$F121,RateCheck_VDO2021F[[Rate]:[Rate]],0),MATCH(Calc_Rates!G$9,RateCheck_VDO2021F[[#Headers],[Ausnet]:[United Energy]],0)),0,1),
IF(G121="-","-",
IF(G121=(((SUMIFS(Calc_Variable_1[Ausnet],Calc_Variable_1[[Customer type]:[Customer type]],Calc_Rates!$F121)+SUMIFS(Calc_Variable_1[Ausnet],Calc_Variable_1[[Customer type]:[Customer type]],"All")+G117)*(1+Calc_ROM_1[Ausnet]))*(1+GST)),0,1)))</f>
        <v>0</v>
      </c>
      <c r="H122" s="88" cm="1">
        <f t="array" ref="H122">IF($D$5='Lookup refs'!$D$23,
IF(H121=INDEX(RateCheck_VDO2021F[[Ausnet]:[United Energy]],MATCH(Calc_Rates!$C121&amp;"_"&amp;Calc_Rates!$F121,RateCheck_VDO2021F[[Rate]:[Rate]],0),MATCH(Calc_Rates!H$9,RateCheck_VDO2021F[[#Headers],[Ausnet]:[United Energy]],0)),0,1),
IF(H121="-","-",
IF(H121=(((SUMIFS(Calc_Variable_1[Citipower],Calc_Variable_1[[Customer type]:[Customer type]],Calc_Rates!$F121)+SUMIFS(Calc_Variable_1[Citipower],Calc_Variable_1[[Customer type]:[Customer type]],"All")+H117)*(1+Calc_ROM_1[Citipower]))*(1+GST)),0,1)))</f>
        <v>0</v>
      </c>
      <c r="I122" s="88" cm="1">
        <f t="array" ref="I122">IF($D$5='Lookup refs'!$D$23,
IF(I121=INDEX(RateCheck_VDO2021F[[Ausnet]:[United Energy]],MATCH(Calc_Rates!$C121&amp;"_"&amp;Calc_Rates!$F121,RateCheck_VDO2021F[[Rate]:[Rate]],0),MATCH(Calc_Rates!I$9,RateCheck_VDO2021F[[#Headers],[Ausnet]:[United Energy]],0)),0,1),
IF(I121="-","-",
IF(I121=(((SUMIFS(Calc_Variable_1[Jemena],Calc_Variable_1[[Customer type]:[Customer type]],Calc_Rates!$F121)+SUMIFS(Calc_Variable_1[Jemena],Calc_Variable_1[[Customer type]:[Customer type]],"All")+I117)*(1+Calc_ROM_1[Jemena]))*(1+GST)),0,1)))</f>
        <v>0</v>
      </c>
      <c r="J122" s="88" cm="1">
        <f t="array" ref="J122">IF($D$5='Lookup refs'!$D$23,
IF(J121=INDEX(RateCheck_VDO2021F[[Ausnet]:[United Energy]],MATCH(Calc_Rates!$C121&amp;"_"&amp;Calc_Rates!$F121,RateCheck_VDO2021F[[Rate]:[Rate]],0),MATCH(Calc_Rates!J$9,RateCheck_VDO2021F[[#Headers],[Ausnet]:[United Energy]],0)),0,1),
IF(J121="-","-",
IF(J121=(((SUMIFS(Calc_Variable_1[Powercor],Calc_Variable_1[[Customer type]:[Customer type]],Calc_Rates!$F121)+SUMIFS(Calc_Variable_1[Powercor],Calc_Variable_1[[Customer type]:[Customer type]],"All")+J117)*(1+Calc_ROM_1[Powercor]))*(1+GST)),0,1)))</f>
        <v>0</v>
      </c>
      <c r="K122" s="88" cm="1">
        <f t="array" ref="K122">IF($D$5='Lookup refs'!$D$23,
IF(K121=INDEX(RateCheck_VDO2021F[[Ausnet]:[United Energy]],MATCH(Calc_Rates!$C121&amp;"_"&amp;Calc_Rates!$F121,RateCheck_VDO2021F[[Rate]:[Rate]],0),MATCH(Calc_Rates!K$9,RateCheck_VDO2021F[[#Headers],[Ausnet]:[United Energy]],0)),0,1),
IF(K121="-","-",
IF(K121=(((SUMIFS(Calc_Variable_1[United Energy],Calc_Variable_1[[Customer type]:[Customer type]],Calc_Rates!$F121)+SUMIFS(Calc_Variable_1[United Energy],Calc_Variable_1[[Customer type]:[Customer type]],"All")+K117)*(1+Calc_ROM_1[United Energy]))*(1+GST)),0,1)))</f>
        <v>0</v>
      </c>
    </row>
    <row r="123" spans="2:11" ht="15.5" hidden="1" outlineLevel="2" x14ac:dyDescent="0.35">
      <c r="B123"/>
      <c r="C123" s="69" t="s">
        <v>292</v>
      </c>
    </row>
    <row r="124" spans="2:11" hidden="1" outlineLevel="2" x14ac:dyDescent="0.35">
      <c r="B124"/>
      <c r="C124" s="21" t="s">
        <v>289</v>
      </c>
      <c r="D124" s="21" t="s">
        <v>9</v>
      </c>
      <c r="E124" s="21" t="s">
        <v>284</v>
      </c>
      <c r="F124" s="21" t="s">
        <v>89</v>
      </c>
      <c r="G124" s="56">
        <f>SUMIFS(Calc_NetworkV_1[Ausnet],Calc_NetworkV_1[[Cost item]:[Cost item]],$C123,Calc_NetworkV_1[[Customer type]:[Customer type]],$F124)</f>
        <v>0</v>
      </c>
      <c r="H124" s="56">
        <f>SUMIFS(Calc_NetworkV_1[Citipower],Calc_NetworkV_1[[Cost item]:[Cost item]],$C123,Calc_NetworkV_1[[Customer type]:[Customer type]],$F124)</f>
        <v>0</v>
      </c>
      <c r="I124" s="56">
        <f>SUMIFS(Calc_NetworkV_1[Jemena],Calc_NetworkV_1[[Cost item]:[Cost item]],$C123,Calc_NetworkV_1[[Customer type]:[Customer type]],$F124)</f>
        <v>0</v>
      </c>
      <c r="J124" s="56">
        <f>SUMIFS(Calc_NetworkV_1[Powercor],Calc_NetworkV_1[[Cost item]:[Cost item]],$C123,Calc_NetworkV_1[[Customer type]:[Customer type]],$F124)</f>
        <v>0</v>
      </c>
      <c r="K124" s="56">
        <f>SUMIFS(Calc_NetworkV_1[United Energy],Calc_NetworkV_1[[Cost item]:[Cost item]],$C123,Calc_NetworkV_1[[Customer type]:[Customer type]],$F124)</f>
        <v>0</v>
      </c>
    </row>
    <row r="125" spans="2:11" hidden="1" outlineLevel="2" x14ac:dyDescent="0.35">
      <c r="B125"/>
      <c r="C125" s="21" t="s">
        <v>282</v>
      </c>
      <c r="D125" s="21" t="s">
        <v>9</v>
      </c>
      <c r="E125" s="21" t="s">
        <v>284</v>
      </c>
      <c r="F125" s="21" t="s">
        <v>89</v>
      </c>
      <c r="G125" s="56">
        <f>SUMIFS(Calc_Variable_1[Ausnet],Calc_Variable_1[[Customer type]:[Customer type]],"All")+SUMIFS(Calc_Variable_1[Ausnet],Calc_Variable_1[[Customer type]:[Customer type]],$F125)</f>
        <v>0.11369540103847998</v>
      </c>
      <c r="H125" s="56">
        <f>SUMIFS(Calc_Variable_1[Citipower],Calc_Variable_1[[Customer type]:[Customer type]],"All")+SUMIFS(Calc_Variable_1[Citipower],Calc_Variable_1[[Customer type]:[Customer type]],$F125)</f>
        <v>0.11472917972222922</v>
      </c>
      <c r="I125" s="56">
        <f>SUMIFS(Calc_Variable_1[Jemena],Calc_Variable_1[[Customer type]:[Customer type]],"All")+SUMIFS(Calc_Variable_1[Jemena],Calc_Variable_1[[Customer type]:[Customer type]],$F125)</f>
        <v>0.11289772271369052</v>
      </c>
      <c r="J125" s="56">
        <f>SUMIFS(Calc_Variable_1[Powercor],Calc_Variable_1[[Customer type]:[Customer type]],"All")+SUMIFS(Calc_Variable_1[Powercor],Calc_Variable_1[[Customer type]:[Customer type]],$F125)</f>
        <v>0.11176944916975179</v>
      </c>
      <c r="K125" s="56">
        <f>SUMIFS(Calc_Variable_1[United Energy],Calc_Variable_1[[Customer type]:[Customer type]],"All")+SUMIFS(Calc_Variable_1[United Energy],Calc_Variable_1[[Customer type]:[Customer type]],$F125)</f>
        <v>0.1167894443806243</v>
      </c>
    </row>
    <row r="126" spans="2:11" hidden="1" outlineLevel="2" x14ac:dyDescent="0.35">
      <c r="B126"/>
      <c r="C126" s="21" t="s">
        <v>197</v>
      </c>
      <c r="D126" s="21" t="s">
        <v>9</v>
      </c>
      <c r="E126" s="21" t="s">
        <v>284</v>
      </c>
      <c r="F126" s="21" t="s">
        <v>89</v>
      </c>
      <c r="G126" s="62" t="str" cm="1">
        <f t="array" ref="G126">IF(G124=0,"-",
(G124+G125)*Calc_ROM_1[Ausnet])</f>
        <v>-</v>
      </c>
      <c r="H126" s="62" t="str" cm="1">
        <f t="array" ref="H126">IF(H124=0,"-",
(H124+H125)*Calc_ROM_1[Ausnet])</f>
        <v>-</v>
      </c>
      <c r="I126" s="62" t="str" cm="1">
        <f t="array" ref="I126">IF(I124=0,"-",
(I124+I125)*Calc_ROM_1[Ausnet])</f>
        <v>-</v>
      </c>
      <c r="J126" s="62" t="str" cm="1">
        <f t="array" ref="J126">IF(J124=0,"-",
(J124+J125)*Calc_ROM_1[Ausnet])</f>
        <v>-</v>
      </c>
      <c r="K126" s="62" t="str" cm="1">
        <f t="array" ref="K126">IF(K124=0,"-",
(K124+K125)*Calc_ROM_1[Ausnet])</f>
        <v>-</v>
      </c>
    </row>
    <row r="127" spans="2:11" hidden="1" outlineLevel="2" x14ac:dyDescent="0.35">
      <c r="B127"/>
      <c r="C127" s="21" t="s">
        <v>279</v>
      </c>
      <c r="D127" s="21" t="s">
        <v>9</v>
      </c>
      <c r="E127" s="21" t="s">
        <v>284</v>
      </c>
      <c r="F127" s="21" t="s">
        <v>89</v>
      </c>
      <c r="G127" s="62" t="str">
        <f>IF(G124=0,"-",
(G124+G125+G126)*GST)</f>
        <v>-</v>
      </c>
      <c r="H127" s="62" t="str">
        <f>IF(H124=0,"-",
(H124+H125+H126)*GST)</f>
        <v>-</v>
      </c>
      <c r="I127" s="62" t="str">
        <f>IF(I124=0,"-",
(I124+I125+I126)*GST)</f>
        <v>-</v>
      </c>
      <c r="J127" s="62" t="str">
        <f>IF(J124=0,"-",
(J124+J125+J126)*GST)</f>
        <v>-</v>
      </c>
      <c r="K127" s="62" t="str">
        <f>IF(K124=0,"-",
(K124+K125+K126)*GST)</f>
        <v>-</v>
      </c>
    </row>
    <row r="128" spans="2:11" hidden="1" outlineLevel="2" x14ac:dyDescent="0.35">
      <c r="B128"/>
      <c r="C128" s="21" t="str">
        <f>C123&amp;" charge"</f>
        <v>TOU - Peak charge</v>
      </c>
      <c r="D128" s="21" t="s">
        <v>9</v>
      </c>
      <c r="E128" s="21" t="s">
        <v>284</v>
      </c>
      <c r="F128" s="21" t="s">
        <v>89</v>
      </c>
      <c r="G128" s="63" t="str">
        <f>IF(G124=0,"-",
SUM(G124:G127))</f>
        <v>-</v>
      </c>
      <c r="H128" s="63" t="str">
        <f>IF(H124=0,"-",
SUM(H124:H127))</f>
        <v>-</v>
      </c>
      <c r="I128" s="63" t="str">
        <f t="shared" ref="I128" si="37">IF(I124=0,"-",
SUM(I124:I127))</f>
        <v>-</v>
      </c>
      <c r="J128" s="63" t="str">
        <f t="shared" ref="J128" si="38">IF(J124=0,"-",
SUM(J124:J127))</f>
        <v>-</v>
      </c>
      <c r="K128" s="63" t="str">
        <f t="shared" ref="K128" si="39">IF(K124=0,"-",
SUM(K124:K127))</f>
        <v>-</v>
      </c>
    </row>
    <row r="129" spans="1:11" hidden="1" outlineLevel="2" x14ac:dyDescent="0.35">
      <c r="B129"/>
      <c r="G129" s="88" cm="1">
        <f t="array" ref="G129">IF($D$5='Lookup refs'!$D$23,
IF(G128=INDEX(RateCheck_VDO2021F[[Ausnet]:[United Energy]],MATCH(Calc_Rates!$C128&amp;"_"&amp;Calc_Rates!$F128,RateCheck_VDO2021F[[Rate]:[Rate]],0),MATCH(Calc_Rates!G$9,RateCheck_VDO2021F[[#Headers],[Ausnet]:[United Energy]],0)),0,1),
IF(G128="-","-",
IF(G128=(((SUMIFS(Calc_Variable_1[Ausnet],Calc_Variable_1[[Customer type]:[Customer type]],Calc_Rates!$F128)+SUMIFS(Calc_Variable_1[Ausnet],Calc_Variable_1[[Customer type]:[Customer type]],"All")+G124)*(1+Calc_ROM_1[Ausnet]))*(1+GST)),0,1)))</f>
        <v>0</v>
      </c>
      <c r="H129" s="88" cm="1">
        <f t="array" ref="H129">IF($D$5='Lookup refs'!$D$23,
IF(H128=INDEX(RateCheck_VDO2021F[[Ausnet]:[United Energy]],MATCH(Calc_Rates!$C128&amp;"_"&amp;Calc_Rates!$F128,RateCheck_VDO2021F[[Rate]:[Rate]],0),MATCH(Calc_Rates!H$9,RateCheck_VDO2021F[[#Headers],[Ausnet]:[United Energy]],0)),0,1),
IF(H128="-","-",
IF(H128=(((SUMIFS(Calc_Variable_1[Citipower],Calc_Variable_1[[Customer type]:[Customer type]],Calc_Rates!$F128)+SUMIFS(Calc_Variable_1[Citipower],Calc_Variable_1[[Customer type]:[Customer type]],"All")+H124)*(1+Calc_ROM_1[Citipower]))*(1+GST)),0,1)))</f>
        <v>0</v>
      </c>
      <c r="I129" s="88" cm="1">
        <f t="array" ref="I129">IF($D$5='Lookup refs'!$D$23,
IF(I128=INDEX(RateCheck_VDO2021F[[Ausnet]:[United Energy]],MATCH(Calc_Rates!$C128&amp;"_"&amp;Calc_Rates!$F128,RateCheck_VDO2021F[[Rate]:[Rate]],0),MATCH(Calc_Rates!I$9,RateCheck_VDO2021F[[#Headers],[Ausnet]:[United Energy]],0)),0,1),
IF(I128="-","-",
IF(I128=(((SUMIFS(Calc_Variable_1[Jemena],Calc_Variable_1[[Customer type]:[Customer type]],Calc_Rates!$F128)+SUMIFS(Calc_Variable_1[Jemena],Calc_Variable_1[[Customer type]:[Customer type]],"All")+I124)*(1+Calc_ROM_1[Jemena]))*(1+GST)),0,1)))</f>
        <v>0</v>
      </c>
      <c r="J129" s="88" cm="1">
        <f t="array" ref="J129">IF($D$5='Lookup refs'!$D$23,
IF(J128=INDEX(RateCheck_VDO2021F[[Ausnet]:[United Energy]],MATCH(Calc_Rates!$C128&amp;"_"&amp;Calc_Rates!$F128,RateCheck_VDO2021F[[Rate]:[Rate]],0),MATCH(Calc_Rates!J$9,RateCheck_VDO2021F[[#Headers],[Ausnet]:[United Energy]],0)),0,1),
IF(J128="-","-",
IF(J128=(((SUMIFS(Calc_Variable_1[Powercor],Calc_Variable_1[[Customer type]:[Customer type]],Calc_Rates!$F128)+SUMIFS(Calc_Variable_1[Powercor],Calc_Variable_1[[Customer type]:[Customer type]],"All")+J124)*(1+Calc_ROM_1[Powercor]))*(1+GST)),0,1)))</f>
        <v>0</v>
      </c>
      <c r="K129" s="88" cm="1">
        <f t="array" ref="K129">IF($D$5='Lookup refs'!$D$23,
IF(K128=INDEX(RateCheck_VDO2021F[[Ausnet]:[United Energy]],MATCH(Calc_Rates!$C128&amp;"_"&amp;Calc_Rates!$F128,RateCheck_VDO2021F[[Rate]:[Rate]],0),MATCH(Calc_Rates!K$9,RateCheck_VDO2021F[[#Headers],[Ausnet]:[United Energy]],0)),0,1),
IF(K128="-","-",
IF(K128=(((SUMIFS(Calc_Variable_1[United Energy],Calc_Variable_1[[Customer type]:[Customer type]],Calc_Rates!$F128)+SUMIFS(Calc_Variable_1[United Energy],Calc_Variable_1[[Customer type]:[Customer type]],"All")+K124)*(1+Calc_ROM_1[United Energy]))*(1+GST)),0,1)))</f>
        <v>0</v>
      </c>
    </row>
    <row r="130" spans="1:11" ht="15.5" hidden="1" outlineLevel="2" x14ac:dyDescent="0.35">
      <c r="B130"/>
      <c r="C130" s="69" t="s">
        <v>293</v>
      </c>
    </row>
    <row r="131" spans="1:11" hidden="1" outlineLevel="2" x14ac:dyDescent="0.35">
      <c r="B131"/>
      <c r="C131" s="21" t="s">
        <v>289</v>
      </c>
      <c r="D131" s="21" t="s">
        <v>9</v>
      </c>
      <c r="E131" s="21" t="s">
        <v>284</v>
      </c>
      <c r="F131" s="21" t="s">
        <v>89</v>
      </c>
      <c r="G131" s="56">
        <f>SUMIFS(Calc_NetworkV_1[Ausnet],Calc_NetworkV_1[[Cost item]:[Cost item]],$C130,Calc_NetworkV_1[[Customer type]:[Customer type]],$F131)</f>
        <v>0</v>
      </c>
      <c r="H131" s="56">
        <f>SUMIFS(Calc_NetworkV_1[Citipower],Calc_NetworkV_1[[Cost item]:[Cost item]],$C130,Calc_NetworkV_1[[Customer type]:[Customer type]],$F131)</f>
        <v>0</v>
      </c>
      <c r="I131" s="56">
        <f>SUMIFS(Calc_NetworkV_1[Jemena],Calc_NetworkV_1[[Cost item]:[Cost item]],$C130,Calc_NetworkV_1[[Customer type]:[Customer type]],$F131)</f>
        <v>0</v>
      </c>
      <c r="J131" s="56">
        <f>SUMIFS(Calc_NetworkV_1[Powercor],Calc_NetworkV_1[[Cost item]:[Cost item]],$C130,Calc_NetworkV_1[[Customer type]:[Customer type]],$F131)</f>
        <v>0</v>
      </c>
      <c r="K131" s="56">
        <f>SUMIFS(Calc_NetworkV_1[United Energy],Calc_NetworkV_1[[Cost item]:[Cost item]],$C130,Calc_NetworkV_1[[Customer type]:[Customer type]],$F131)</f>
        <v>0</v>
      </c>
    </row>
    <row r="132" spans="1:11" hidden="1" outlineLevel="2" x14ac:dyDescent="0.35">
      <c r="B132"/>
      <c r="C132" s="21" t="s">
        <v>282</v>
      </c>
      <c r="D132" s="21" t="s">
        <v>9</v>
      </c>
      <c r="E132" s="21" t="s">
        <v>284</v>
      </c>
      <c r="F132" s="21" t="s">
        <v>89</v>
      </c>
      <c r="G132" s="56">
        <f>SUMIFS(Calc_Variable_1[Ausnet],Calc_Variable_1[[Customer type]:[Customer type]],"All")+SUMIFS(Calc_Variable_1[Ausnet],Calc_Variable_1[[Customer type]:[Customer type]],$F132)</f>
        <v>0.11369540103847998</v>
      </c>
      <c r="H132" s="56">
        <f>SUMIFS(Calc_Variable_1[Citipower],Calc_Variable_1[[Customer type]:[Customer type]],"All")+SUMIFS(Calc_Variable_1[Citipower],Calc_Variable_1[[Customer type]:[Customer type]],$F132)</f>
        <v>0.11472917972222922</v>
      </c>
      <c r="I132" s="56">
        <f>SUMIFS(Calc_Variable_1[Jemena],Calc_Variable_1[[Customer type]:[Customer type]],"All")+SUMIFS(Calc_Variable_1[Jemena],Calc_Variable_1[[Customer type]:[Customer type]],$F132)</f>
        <v>0.11289772271369052</v>
      </c>
      <c r="J132" s="56">
        <f>SUMIFS(Calc_Variable_1[Powercor],Calc_Variable_1[[Customer type]:[Customer type]],"All")+SUMIFS(Calc_Variable_1[Powercor],Calc_Variable_1[[Customer type]:[Customer type]],$F132)</f>
        <v>0.11176944916975179</v>
      </c>
      <c r="K132" s="56">
        <f>SUMIFS(Calc_Variable_1[United Energy],Calc_Variable_1[[Customer type]:[Customer type]],"All")+SUMIFS(Calc_Variable_1[United Energy],Calc_Variable_1[[Customer type]:[Customer type]],$F132)</f>
        <v>0.1167894443806243</v>
      </c>
    </row>
    <row r="133" spans="1:11" hidden="1" outlineLevel="2" x14ac:dyDescent="0.35">
      <c r="B133"/>
      <c r="C133" s="21" t="s">
        <v>197</v>
      </c>
      <c r="D133" s="21" t="s">
        <v>9</v>
      </c>
      <c r="E133" s="21" t="s">
        <v>284</v>
      </c>
      <c r="F133" s="21" t="s">
        <v>89</v>
      </c>
      <c r="G133" s="62" t="str" cm="1">
        <f t="array" ref="G133">IF(G131=0,"-",
(G131+G132)*Calc_ROM_1[Ausnet])</f>
        <v>-</v>
      </c>
      <c r="H133" s="62" t="str" cm="1">
        <f t="array" ref="H133">IF(H131=0,"-",
(H131+H132)*Calc_ROM_1[Ausnet])</f>
        <v>-</v>
      </c>
      <c r="I133" s="62" t="str" cm="1">
        <f t="array" ref="I133">IF(I131=0,"-",
(I131+I132)*Calc_ROM_1[Ausnet])</f>
        <v>-</v>
      </c>
      <c r="J133" s="62" t="str" cm="1">
        <f t="array" ref="J133">IF(J131=0,"-",
(J131+J132)*Calc_ROM_1[Ausnet])</f>
        <v>-</v>
      </c>
      <c r="K133" s="62" t="str" cm="1">
        <f t="array" ref="K133">IF(K131=0,"-",
(K131+K132)*Calc_ROM_1[Ausnet])</f>
        <v>-</v>
      </c>
    </row>
    <row r="134" spans="1:11" hidden="1" outlineLevel="2" x14ac:dyDescent="0.35">
      <c r="B134"/>
      <c r="C134" s="21" t="s">
        <v>279</v>
      </c>
      <c r="D134" s="21" t="s">
        <v>9</v>
      </c>
      <c r="E134" s="21" t="s">
        <v>284</v>
      </c>
      <c r="F134" s="21" t="s">
        <v>89</v>
      </c>
      <c r="G134" s="62" t="str">
        <f>IF(G131=0,"-",
(G131+G132+G133)*GST)</f>
        <v>-</v>
      </c>
      <c r="H134" s="62" t="str">
        <f>IF(H131=0,"-",
(H131+H132+H133)*GST)</f>
        <v>-</v>
      </c>
      <c r="I134" s="62" t="str">
        <f>IF(I131=0,"-",
(I131+I132+I133)*GST)</f>
        <v>-</v>
      </c>
      <c r="J134" s="62" t="str">
        <f>IF(J131=0,"-",
(J131+J132+J133)*GST)</f>
        <v>-</v>
      </c>
      <c r="K134" s="62" t="str">
        <f>IF(K131=0,"-",
(K131+K132+K133)*GST)</f>
        <v>-</v>
      </c>
    </row>
    <row r="135" spans="1:11" hidden="1" outlineLevel="2" x14ac:dyDescent="0.35">
      <c r="B135"/>
      <c r="C135" s="21" t="str">
        <f>C130&amp;" charge"</f>
        <v>TOU - Off peak charge</v>
      </c>
      <c r="D135" s="21" t="s">
        <v>9</v>
      </c>
      <c r="E135" s="21" t="s">
        <v>284</v>
      </c>
      <c r="F135" s="21" t="s">
        <v>89</v>
      </c>
      <c r="G135" s="63" t="str">
        <f>IF(G131=0,"-",
SUM(G131:G134))</f>
        <v>-</v>
      </c>
      <c r="H135" s="63" t="str">
        <f>IF(H131=0,"-",
SUM(H131:H134))</f>
        <v>-</v>
      </c>
      <c r="I135" s="63" t="str">
        <f t="shared" ref="I135" si="40">IF(I131=0,"-",
SUM(I131:I134))</f>
        <v>-</v>
      </c>
      <c r="J135" s="63" t="str">
        <f t="shared" ref="J135" si="41">IF(J131=0,"-",
SUM(J131:J134))</f>
        <v>-</v>
      </c>
      <c r="K135" s="63" t="str">
        <f t="shared" ref="K135" si="42">IF(K131=0,"-",
SUM(K131:K134))</f>
        <v>-</v>
      </c>
    </row>
    <row r="136" spans="1:11" hidden="1" outlineLevel="2" x14ac:dyDescent="0.35">
      <c r="B136"/>
      <c r="G136" s="88" cm="1">
        <f t="array" ref="G136">IF($D$5='Lookup refs'!$D$23,
IF(G135=INDEX(RateCheck_VDO2021F[[Ausnet]:[United Energy]],MATCH(Calc_Rates!$C135&amp;"_"&amp;Calc_Rates!$F135,RateCheck_VDO2021F[[Rate]:[Rate]],0),MATCH(Calc_Rates!G$9,RateCheck_VDO2021F[[#Headers],[Ausnet]:[United Energy]],0)),0,1),
IF(G135="-","-",
IF(G135=(((SUMIFS(Calc_Variable_1[Ausnet],Calc_Variable_1[[Customer type]:[Customer type]],Calc_Rates!$F135)+SUMIFS(Calc_Variable_1[Ausnet],Calc_Variable_1[[Customer type]:[Customer type]],"All")+G131)*(1+Calc_ROM_1[Ausnet]))*(1+GST)),0,1)))</f>
        <v>0</v>
      </c>
      <c r="H136" s="88" cm="1">
        <f t="array" ref="H136">IF($D$5='Lookup refs'!$D$23,
IF(H135=INDEX(RateCheck_VDO2021F[[Ausnet]:[United Energy]],MATCH(Calc_Rates!$C135&amp;"_"&amp;Calc_Rates!$F135,RateCheck_VDO2021F[[Rate]:[Rate]],0),MATCH(Calc_Rates!H$9,RateCheck_VDO2021F[[#Headers],[Ausnet]:[United Energy]],0)),0,1),
IF(H135="-","-",
IF(H135=(((SUMIFS(Calc_Variable_1[Citipower],Calc_Variable_1[[Customer type]:[Customer type]],Calc_Rates!$F135)+SUMIFS(Calc_Variable_1[Citipower],Calc_Variable_1[[Customer type]:[Customer type]],"All")+H131)*(1+Calc_ROM_1[Citipower]))*(1+GST)),0,1)))</f>
        <v>0</v>
      </c>
      <c r="I136" s="88" cm="1">
        <f t="array" ref="I136">IF($D$5='Lookup refs'!$D$23,
IF(I135=INDEX(RateCheck_VDO2021F[[Ausnet]:[United Energy]],MATCH(Calc_Rates!$C135&amp;"_"&amp;Calc_Rates!$F135,RateCheck_VDO2021F[[Rate]:[Rate]],0),MATCH(Calc_Rates!I$9,RateCheck_VDO2021F[[#Headers],[Ausnet]:[United Energy]],0)),0,1),
IF(I135="-","-",
IF(I135=(((SUMIFS(Calc_Variable_1[Jemena],Calc_Variable_1[[Customer type]:[Customer type]],Calc_Rates!$F135)+SUMIFS(Calc_Variable_1[Jemena],Calc_Variable_1[[Customer type]:[Customer type]],"All")+I131)*(1+Calc_ROM_1[Jemena]))*(1+GST)),0,1)))</f>
        <v>0</v>
      </c>
      <c r="J136" s="88" cm="1">
        <f t="array" ref="J136">IF($D$5='Lookup refs'!$D$23,
IF(J135=INDEX(RateCheck_VDO2021F[[Ausnet]:[United Energy]],MATCH(Calc_Rates!$C135&amp;"_"&amp;Calc_Rates!$F135,RateCheck_VDO2021F[[Rate]:[Rate]],0),MATCH(Calc_Rates!J$9,RateCheck_VDO2021F[[#Headers],[Ausnet]:[United Energy]],0)),0,1),
IF(J135="-","-",
IF(J135=(((SUMIFS(Calc_Variable_1[Powercor],Calc_Variable_1[[Customer type]:[Customer type]],Calc_Rates!$F135)+SUMIFS(Calc_Variable_1[Powercor],Calc_Variable_1[[Customer type]:[Customer type]],"All")+J131)*(1+Calc_ROM_1[Powercor]))*(1+GST)),0,1)))</f>
        <v>0</v>
      </c>
      <c r="K136" s="88" cm="1">
        <f t="array" ref="K136">IF($D$5='Lookup refs'!$D$23,
IF(K135=INDEX(RateCheck_VDO2021F[[Ausnet]:[United Energy]],MATCH(Calc_Rates!$C135&amp;"_"&amp;Calc_Rates!$F135,RateCheck_VDO2021F[[Rate]:[Rate]],0),MATCH(Calc_Rates!K$9,RateCheck_VDO2021F[[#Headers],[Ausnet]:[United Energy]],0)),0,1),
IF(K135="-","-",
IF(K135=(((SUMIFS(Calc_Variable_1[United Energy],Calc_Variable_1[[Customer type]:[Customer type]],Calc_Rates!$F135)+SUMIFS(Calc_Variable_1[United Energy],Calc_Variable_1[[Customer type]:[Customer type]],"All")+K131)*(1+Calc_ROM_1[United Energy]))*(1+GST)),0,1)))</f>
        <v>0</v>
      </c>
    </row>
    <row r="137" spans="1:11" ht="16" outlineLevel="1" collapsed="1" thickBot="1" x14ac:dyDescent="0.4">
      <c r="A137" s="2" t="s">
        <v>22</v>
      </c>
      <c r="B137" s="8">
        <f ca="1">MAX(B$3:B136)+0.1</f>
        <v>9.1999999999999993</v>
      </c>
      <c r="C137" s="25" t="s">
        <v>296</v>
      </c>
      <c r="D137" s="25"/>
      <c r="E137" s="25"/>
      <c r="F137" s="25"/>
      <c r="G137" s="25"/>
      <c r="H137" s="25"/>
      <c r="I137" s="25"/>
      <c r="J137" s="25"/>
      <c r="K137" s="25"/>
    </row>
    <row r="138" spans="1:11" outlineLevel="1" x14ac:dyDescent="0.35"/>
    <row r="139" spans="1:11" ht="15.5" outlineLevel="2" x14ac:dyDescent="0.35">
      <c r="C139" s="26" t="s">
        <v>251</v>
      </c>
    </row>
    <row r="140" spans="1:11" ht="15.5" outlineLevel="2" x14ac:dyDescent="0.35">
      <c r="C140" s="51" t="s">
        <v>297</v>
      </c>
      <c r="D140" s="65">
        <f>IFERROR(INDEX(Input_CPI[Indice],MATCH($D$5,Input_CPI[Decision paper],0),1),"-")</f>
        <v>116.2</v>
      </c>
    </row>
    <row r="141" spans="1:11" ht="15.5" outlineLevel="2" x14ac:dyDescent="0.35">
      <c r="C141" s="26"/>
    </row>
    <row r="142" spans="1:11" ht="15.5" outlineLevel="2" x14ac:dyDescent="0.35">
      <c r="C142" s="39" t="s">
        <v>42</v>
      </c>
      <c r="D142" s="39" t="s">
        <v>94</v>
      </c>
      <c r="E142" s="39" t="s">
        <v>95</v>
      </c>
      <c r="F142" s="39" t="s">
        <v>87</v>
      </c>
      <c r="G142" s="55" t="s">
        <v>298</v>
      </c>
      <c r="H142" s="55" t="s">
        <v>352</v>
      </c>
    </row>
    <row r="143" spans="1:11" outlineLevel="2" x14ac:dyDescent="0.35">
      <c r="C143" s="21" t="s">
        <v>299</v>
      </c>
      <c r="D143" s="21"/>
      <c r="E143" s="21" t="str">
        <f>INDEX(Input_ForRateCalc[Unit],MATCH(Calc_CPI_1[[#This Row],[Cost item]]&amp;" - base",Input_ForRateCalc[Cost item],0),1)</f>
        <v>$</v>
      </c>
      <c r="F143" s="21" t="str">
        <f>INDEX(Input_ForRateCalc[Customer type],MATCH(Calc_CPI_1[[#This Row],[Cost item]]&amp;" - base",Input_ForRateCalc[Cost item],0),1)</f>
        <v>All</v>
      </c>
      <c r="G143" s="53">
        <f>IFERROR(
($D$140-
INDEX(CPI[Indice],MATCH(
INDEX(Input_ForRateCalc[[F-CurrentVDO_InputDate]:[F-NextVDO_Input]],MATCH(Calc_Rates!$C143&amp;" - base",Input_ForRateCalc[Cost item],0),MATCH($D$5&amp;" - Input Date",Inputs!$H$8:$Q$8,0)),
CPI[Period],0),1))/
INDEX(CPI[Indice],MATCH(
INDEX(Input_ForRateCalc[[F-CurrentVDO_InputDate]:[F-NextVDO_Input]],MATCH(Calc_Rates!$C143&amp;" - base",Input_ForRateCalc[Cost item],0),MATCH($D$5&amp;" - Input Date",Inputs!$H$8:$Q$8,0)),
CPI[Period],0),1),"-")</f>
        <v>4.9683830171635052E-2</v>
      </c>
      <c r="H143" s="56">
        <f>IFERROR((G143)*
INDEX(Input_ForRateCalc[[F-CurrentVDO_InputDate]:[F-NextVDO_Input]],MATCH(Calc_Rates!$C143&amp;" - base",Input_ForRateCalc[Cost item],0),MATCH($D$5,Inputs!$H$8:$Q$8,0)),"-")</f>
        <v>6.0152213188798553</v>
      </c>
    </row>
    <row r="144" spans="1:11" outlineLevel="2" x14ac:dyDescent="0.35">
      <c r="C144" s="21" t="s">
        <v>107</v>
      </c>
      <c r="D144" s="21"/>
      <c r="E144" s="21" t="str">
        <f>INDEX(Input_ForRateCalc[Unit],MATCH(Calc_CPI_1[[#This Row],[Cost item]],Input_ForRateCalc[Cost item],0),1)</f>
        <v>$</v>
      </c>
      <c r="F144" s="21" t="str">
        <f>INDEX(Input_ForRateCalc[Customer type],MATCH(Calc_CPI_1[[#This Row],[Cost item]],Input_ForRateCalc[Cost item],0),1)</f>
        <v>All</v>
      </c>
      <c r="G144" s="53">
        <f>IFERROR(
($D$140-
INDEX(CPI[Indice],MATCH(
INDEX(Input_ForRateCalc[[F-CurrentVDO_InputDate]:[F-NextVDO_Input]],MATCH(Calc_Rates!$C144,Input_ForRateCalc[Cost item],0),MATCH($D$5&amp;" - Input Date",Inputs!$H$8:$Q$8,0)),
CPI[Period],0),1))/
INDEX(CPI[Indice],MATCH(
INDEX(Input_ForRateCalc[[F-CurrentVDO_InputDate]:[F-NextVDO_Input]],MATCH(Calc_Rates!$C144,Input_ForRateCalc[Cost item],0),MATCH($D$5&amp;" - Input Date",Inputs!$H$8:$Q$8,0)),
CPI[Period],0),1),"-")</f>
        <v>1.2195121951219561E-2</v>
      </c>
      <c r="H144" s="56">
        <f>IFERROR((G144)*
INDEX(Input_ForRateCalc[[F-CurrentVDO_InputDate]:[F-NextVDO_Input]],MATCH(Calc_Rates!$C144,Input_ForRateCalc[Cost item],0),MATCH($D$5,Inputs!$H$8:$Q$8,0)),"-")</f>
        <v>0.46341463414634332</v>
      </c>
    </row>
    <row r="145" spans="2:11" outlineLevel="2" x14ac:dyDescent="0.35">
      <c r="C145" s="21" t="s">
        <v>109</v>
      </c>
      <c r="D145" s="21"/>
      <c r="E145" s="21" t="str">
        <f>INDEX(Input_ForRateCalc[Unit],MATCH(Calc_CPI_1[[#This Row],[Cost item]],Input_ForRateCalc[Cost item],0),1)</f>
        <v>$</v>
      </c>
      <c r="F145" s="21" t="str">
        <f>INDEX(Input_ForRateCalc[Customer type],MATCH(Calc_CPI_1[[#This Row],[Cost item]],Input_ForRateCalc[Cost item],0),1)</f>
        <v>All</v>
      </c>
      <c r="G145" s="53">
        <f>IFERROR(
($D$140-
INDEX(CPI[Indice],MATCH(
INDEX(Input_ForRateCalc[[F-CurrentVDO_InputDate]:[F-NextVDO_Input]],MATCH(Calc_Rates!$C145,Input_ForRateCalc[Cost item],0),MATCH($D$5&amp;" - Input Date",Inputs!$H$8:$Q$8,0)),
CPI[Period],0),1))/
INDEX(CPI[Indice],MATCH(
INDEX(Input_ForRateCalc[[F-CurrentVDO_InputDate]:[F-NextVDO_Input]],MATCH(Calc_Rates!$C145,Input_ForRateCalc[Cost item],0),MATCH($D$5&amp;" - Input Date",Inputs!$H$8:$Q$8,0)),
CPI[Period],0),1),"-")</f>
        <v>1.5734265734265708E-2</v>
      </c>
      <c r="H145" s="56">
        <f>IFERROR((G145)*
INDEX(Input_ForRateCalc[[F-CurrentVDO_InputDate]:[F-NextVDO_Input]],MATCH(Calc_Rates!$C145,Input_ForRateCalc[Cost item],0),MATCH($D$5,Inputs!$H$8:$Q$8,0)),"-")</f>
        <v>0.16806064320445238</v>
      </c>
    </row>
    <row r="146" spans="2:11" outlineLevel="2" x14ac:dyDescent="0.35">
      <c r="C146" s="21" t="s">
        <v>110</v>
      </c>
      <c r="D146" s="21"/>
      <c r="E146" s="21" t="str">
        <f>INDEX(Input_ForRateCalc[Unit],MATCH(Calc_CPI_1[[#This Row],[Cost item]],Input_ForRateCalc[Cost item],0),1)</f>
        <v>$</v>
      </c>
      <c r="F146" s="21" t="str">
        <f>INDEX(Input_ForRateCalc[Customer type],MATCH(Calc_CPI_1[[#This Row],[Cost item]],Input_ForRateCalc[Cost item],0),1)</f>
        <v>All</v>
      </c>
      <c r="G146" s="53">
        <f>IFERROR(
($D$140-
INDEX(CPI[Indice],MATCH(
INDEX(Input_ForRateCalc[[F-CurrentVDO_InputDate]:[F-NextVDO_Input]],MATCH(Calc_Rates!$C146,Input_ForRateCalc[Cost item],0),MATCH($D$5&amp;" - Input Date",Inputs!$H$8:$Q$8,0)),
CPI[Period],0),1))/
INDEX(CPI[Indice],MATCH(
INDEX(Input_ForRateCalc[[F-CurrentVDO_InputDate]:[F-NextVDO_Input]],MATCH(Calc_Rates!$C146,Input_ForRateCalc[Cost item],0),MATCH($D$5&amp;" - Input Date",Inputs!$H$8:$Q$8,0)),
CPI[Period],0),1),"-")</f>
        <v>1.2195121951219561E-2</v>
      </c>
      <c r="H146" s="56">
        <f>IFERROR((G146)*
INDEX(Input_ForRateCalc[[F-CurrentVDO_InputDate]:[F-NextVDO_Input]],MATCH(Calc_Rates!$C146,Input_ForRateCalc[Cost item],0),MATCH($D$5,Inputs!$H$8:$Q$8,0)),"-")</f>
        <v>2.0408837969874402E-2</v>
      </c>
    </row>
    <row r="147" spans="2:11" outlineLevel="2" x14ac:dyDescent="0.35">
      <c r="C147" s="21" t="s">
        <v>112</v>
      </c>
      <c r="D147" s="21"/>
      <c r="E147" s="21" t="str">
        <f>INDEX(Input_ForRateCalc[Unit],MATCH(Calc_CPI_1[[#This Row],[Cost item]],Input_ForRateCalc[Cost item],0),1)</f>
        <v>$/week</v>
      </c>
      <c r="F147" s="21" t="str">
        <f>INDEX(Input_ForRateCalc[Customer type],MATCH(Calc_CPI_1[[#This Row],[Cost item]],Input_ForRateCalc[Cost item],0),1)</f>
        <v>All</v>
      </c>
      <c r="G147" s="53">
        <f>IFERROR(
($D$140-
INDEX(CPI[Indice],MATCH(
INDEX(Input_ForRateCalc[[F-CurrentVDO_InputDate]:[F-NextVDO_Input]],MATCH(Calc_Rates!$C147,Input_ForRateCalc[Cost item],0),MATCH($D$5&amp;" - Input Date",Inputs!$H$8:$Q$8,0)),
CPI[Period],0),1))/
INDEX(CPI[Indice],MATCH(
INDEX(Input_ForRateCalc[[F-CurrentVDO_InputDate]:[F-NextVDO_Input]],MATCH(Calc_Rates!$C147,Input_ForRateCalc[Cost item],0),MATCH($D$5&amp;" - Input Date",Inputs!$H$8:$Q$8,0)),
CPI[Period],0),1),"-")</f>
        <v>1.5734265734265708E-2</v>
      </c>
      <c r="H147" s="56">
        <f>IFERROR((G147)*
INDEX(Input_ForRateCalc[[F-CurrentVDO_InputDate]:[F-NextVDO_Input]],MATCH(Calc_Rates!$C147,Input_ForRateCalc[Cost item],0),MATCH($D$5,Inputs!$H$8:$Q$8,0)),"-")</f>
        <v>1.8645104895104864E-4</v>
      </c>
    </row>
    <row r="148" spans="2:11" outlineLevel="2" x14ac:dyDescent="0.35">
      <c r="C148" s="40" t="s">
        <v>114</v>
      </c>
      <c r="D148" s="21"/>
      <c r="E148" s="21" t="str">
        <f>INDEX(Input_ForRateCalc[Unit],MATCH(Calc_CPI_1[[#This Row],[Cost item]],Input_ForRateCalc[Cost item],0),1)</f>
        <v>$/week</v>
      </c>
      <c r="F148" s="21" t="str">
        <f>INDEX(Input_ForRateCalc[Customer type],MATCH(Calc_CPI_1[[#This Row],[Cost item]],Input_ForRateCalc[Cost item],0),1)</f>
        <v>All</v>
      </c>
      <c r="G148" s="53">
        <f>IFERROR(
($D$140-
INDEX(CPI[Indice],MATCH(
INDEX(Input_ForRateCalc[[F-CurrentVDO_InputDate]:[F-NextVDO_Input]],MATCH(Calc_Rates!$C148,Input_ForRateCalc[Cost item],0),MATCH($D$5&amp;" - Input Date",Inputs!$H$8:$Q$8,0)),
CPI[Period],0),1))/
INDEX(CPI[Indice],MATCH(
INDEX(Input_ForRateCalc[[F-CurrentVDO_InputDate]:[F-NextVDO_Input]],MATCH(Calc_Rates!$C148,Input_ForRateCalc[Cost item],0),MATCH($D$5&amp;" - Input Date",Inputs!$H$8:$Q$8,0)),
CPI[Period],0),1),"-")</f>
        <v>1.5734265734265708E-2</v>
      </c>
      <c r="H148" s="56">
        <f>IFERROR((G148)*
INDEX(Input_ForRateCalc[[F-CurrentVDO_InputDate]:[F-NextVDO_Input]],MATCH(Calc_Rates!$C148,Input_ForRateCalc[Cost item],0),MATCH($D$5,Inputs!$H$8:$Q$8,0)),"-")</f>
        <v>4.0122377622377555E-4</v>
      </c>
    </row>
    <row r="149" spans="2:11" outlineLevel="2" x14ac:dyDescent="0.35">
      <c r="C149" s="40" t="s">
        <v>154</v>
      </c>
      <c r="D149" s="40"/>
      <c r="E149" s="21" t="str">
        <f>INDEX(Input_ForRateCalc[Unit],MATCH(Calc_CPI_1[[#This Row],[Cost item]],Input_ForRateCalc[Cost item],0),1)</f>
        <v>$/MWh</v>
      </c>
      <c r="F149" s="21" t="str">
        <f>INDEX(Input_ForRateCalc[Customer type],MATCH(Calc_CPI_1[[#This Row],[Cost item]],Input_ForRateCalc[Cost item],0),1)</f>
        <v>All</v>
      </c>
      <c r="G149" s="53">
        <f>IFERROR(
($D$140-
INDEX(CPI[Indice],MATCH(
INDEX(Input_ForRateCalc[[F-CurrentVDO_InputDate]:[F-NextVDO_Input]],MATCH(Calc_Rates!$C149,Input_ForRateCalc[Cost item],0),MATCH($D$5&amp;" - Input Date",Inputs!$H$8:$Q$8,0)),
CPI[Period],0),1))/
INDEX(CPI[Indice],MATCH(
INDEX(Input_ForRateCalc[[F-CurrentVDO_InputDate]:[F-NextVDO_Input]],MATCH(Calc_Rates!$C149,Input_ForRateCalc[Cost item],0),MATCH($D$5&amp;" - Input Date",Inputs!$H$8:$Q$8,0)),
CPI[Period],0),1),"-")</f>
        <v>1.5734265734265708E-2</v>
      </c>
      <c r="H149" s="56">
        <f>IFERROR((G149)*
INDEX(Input_ForRateCalc[[F-CurrentVDO_InputDate]:[F-NextVDO_Input]],MATCH(Calc_Rates!$C149,Input_ForRateCalc[Cost item],0),MATCH($D$5,Inputs!$H$8:$Q$8,0)),"-")</f>
        <v>5.7902097902097806E-3</v>
      </c>
    </row>
    <row r="150" spans="2:11" outlineLevel="2" x14ac:dyDescent="0.35"/>
    <row r="151" spans="2:11" ht="15.5" outlineLevel="2" x14ac:dyDescent="0.35">
      <c r="C151" s="26" t="s">
        <v>286</v>
      </c>
    </row>
    <row r="152" spans="2:11" ht="15.5" outlineLevel="2" x14ac:dyDescent="0.35">
      <c r="C152" s="39" t="s">
        <v>42</v>
      </c>
      <c r="D152" s="39" t="s">
        <v>94</v>
      </c>
      <c r="E152" s="39" t="s">
        <v>95</v>
      </c>
      <c r="F152" s="39" t="s">
        <v>87</v>
      </c>
      <c r="G152" s="55" t="s">
        <v>270</v>
      </c>
      <c r="H152" s="55" t="s">
        <v>271</v>
      </c>
      <c r="I152" s="55" t="s">
        <v>272</v>
      </c>
      <c r="J152" s="55" t="s">
        <v>273</v>
      </c>
      <c r="K152" s="55" t="s">
        <v>274</v>
      </c>
    </row>
    <row r="153" spans="2:11" outlineLevel="2" x14ac:dyDescent="0.35">
      <c r="C153" s="21" t="s">
        <v>300</v>
      </c>
      <c r="D153" s="21" t="s">
        <v>9</v>
      </c>
      <c r="E153" s="21" t="s">
        <v>198</v>
      </c>
      <c r="F153" s="21" t="s">
        <v>103</v>
      </c>
      <c r="G153" s="74" cm="1">
        <f t="array" ref="G153">IFERROR(INDEX(Input_ForRateCalc[[F-CurrentVDO_InputDate]:[F-NextVDO_Input]],MATCH(Calc_Losses_1[[#This Row],[Cost item]:[Cost item]]&amp;" - "&amp;Calc_Losses_1[[#Headers],[Ausnet]],Input_ForRateCalc[[Cost item]:[Cost item]],0),MATCH($D$5,Inputs!$H$8:$Q$8,0)),"-")</f>
        <v>0.99914999999999998</v>
      </c>
      <c r="H153" s="74" cm="1">
        <f t="array" ref="H153">IFERROR(INDEX(Input_ForRateCalc[[F-CurrentVDO_InputDate]:[F-NextVDO_Input]],MATCH(Calc_Losses_1[[#This Row],[Cost item]:[Cost item]]&amp;" - "&amp;Calc_Losses_1[[#Headers],[Citipower]],Input_ForRateCalc[[Cost item]:[Cost item]],0),MATCH($D$5,Inputs!$H$8:$Q$8,0)),"-")</f>
        <v>0.99780999999999997</v>
      </c>
      <c r="I153" s="74" cm="1">
        <f t="array" ref="I153">IFERROR(INDEX(Input_ForRateCalc[[F-CurrentVDO_InputDate]:[F-NextVDO_Input]],MATCH(Calc_Losses_1[[#This Row],[Cost item]:[Cost item]]&amp;" - "&amp;Calc_Losses_1[[#Headers],[Jemena]],Input_ForRateCalc[[Cost item]:[Cost item]],0),MATCH($D$5,Inputs!$H$8:$Q$8,0)),"-")</f>
        <v>0.99831111111111126</v>
      </c>
      <c r="J153" s="74" cm="1">
        <f t="array" ref="J153">IFERROR(INDEX(Input_ForRateCalc[[F-CurrentVDO_InputDate]:[F-NextVDO_Input]],MATCH(Calc_Losses_1[[#This Row],[Cost item]:[Cost item]]&amp;" - "&amp;Calc_Losses_1[[#Headers],[Powercor]],Input_ForRateCalc[[Cost item]:[Cost item]],0),MATCH($D$5,Inputs!$H$8:$Q$8,0)),"-")</f>
        <v>0.98904090909090892</v>
      </c>
      <c r="K153" s="74" cm="1">
        <f t="array" ref="K153">IFERROR(INDEX(Input_ForRateCalc[[F-CurrentVDO_InputDate]:[F-NextVDO_Input]],MATCH(Calc_Losses_1[[#This Row],[Cost item]:[Cost item]]&amp;" - "&amp;Calc_Losses_1[[#Headers],[United Energy]],Input_ForRateCalc[[Cost item]:[Cost item]],0),MATCH($D$5,Inputs!$H$8:$Q$8,0)),"-")</f>
        <v>0.99633000000000005</v>
      </c>
    </row>
    <row r="154" spans="2:11" outlineLevel="2" x14ac:dyDescent="0.35">
      <c r="C154" s="21" t="s">
        <v>301</v>
      </c>
      <c r="D154" s="21" t="s">
        <v>9</v>
      </c>
      <c r="E154" s="21" t="s">
        <v>198</v>
      </c>
      <c r="F154" s="21" t="s">
        <v>103</v>
      </c>
      <c r="G154" s="74" cm="1">
        <f t="array" ref="G154">IFERROR(INDEX(Input_ForRateCalc[[F-CurrentVDO_InputDate]:[F-NextVDO_Input]],MATCH(Calc_Losses_1[[#This Row],[Cost item]:[Cost item]]&amp;" - "&amp;Calc_Losses_1[[#Headers],[Ausnet]],Input_ForRateCalc[[Cost item]:[Cost item]],0),MATCH($D$5,Inputs!$H$8:$Q$8,0)),"-")</f>
        <v>1.06795</v>
      </c>
      <c r="H154" s="74" cm="1">
        <f t="array" ref="H154">IFERROR(INDEX(Input_ForRateCalc[[F-CurrentVDO_InputDate]:[F-NextVDO_Input]],MATCH(Calc_Losses_1[[#This Row],[Cost item]:[Cost item]]&amp;" - "&amp;Calc_Losses_1[[#Headers],[Citipower]],Input_ForRateCalc[[Cost item]:[Cost item]],0),MATCH($D$5,Inputs!$H$8:$Q$8,0)),"-")</f>
        <v>1.0508999999999999</v>
      </c>
      <c r="I154" s="74" cm="1">
        <f t="array" ref="I154">IFERROR(INDEX(Input_ForRateCalc[[F-CurrentVDO_InputDate]:[F-NextVDO_Input]],MATCH(Calc_Losses_1[[#This Row],[Cost item]:[Cost item]]&amp;" - "&amp;Calc_Losses_1[[#Headers],[Jemena]],Input_ForRateCalc[[Cost item]:[Cost item]],0),MATCH($D$5,Inputs!$H$8:$Q$8,0)),"-")</f>
        <v>1.0394000000000001</v>
      </c>
      <c r="J154" s="74" cm="1">
        <f t="array" ref="J154">IFERROR(INDEX(Input_ForRateCalc[[F-CurrentVDO_InputDate]:[F-NextVDO_Input]],MATCH(Calc_Losses_1[[#This Row],[Cost item]:[Cost item]]&amp;" - "&amp;Calc_Losses_1[[#Headers],[Powercor]],Input_ForRateCalc[[Cost item]:[Cost item]],0),MATCH($D$5,Inputs!$H$8:$Q$8,0)),"-")</f>
        <v>1.0829499999999999</v>
      </c>
      <c r="K154" s="74" cm="1">
        <f t="array" ref="K154">IFERROR(INDEX(Input_ForRateCalc[[F-CurrentVDO_InputDate]:[F-NextVDO_Input]],MATCH(Calc_Losses_1[[#This Row],[Cost item]:[Cost item]]&amp;" - "&amp;Calc_Losses_1[[#Headers],[United Energy]],Input_ForRateCalc[[Cost item]:[Cost item]],0),MATCH($D$5,Inputs!$H$8:$Q$8,0)),"-")</f>
        <v>1.0563</v>
      </c>
    </row>
    <row r="155" spans="2:11" outlineLevel="2" x14ac:dyDescent="0.35">
      <c r="C155" s="40" t="s">
        <v>302</v>
      </c>
      <c r="D155" s="21" t="s">
        <v>9</v>
      </c>
      <c r="E155" s="40" t="s">
        <v>198</v>
      </c>
      <c r="F155" s="21" t="s">
        <v>103</v>
      </c>
      <c r="G155" s="60">
        <f>(G153*G154)-1</f>
        <v>6.7042242499999904E-2</v>
      </c>
      <c r="H155" s="60">
        <f t="shared" ref="H155:K155" si="43">(H153*H154)-1</f>
        <v>4.8598528999999946E-2</v>
      </c>
      <c r="I155" s="60">
        <f t="shared" si="43"/>
        <v>3.7644568888889118E-2</v>
      </c>
      <c r="J155" s="60">
        <f t="shared" si="43"/>
        <v>7.1081852499999654E-2</v>
      </c>
      <c r="K155" s="60">
        <f t="shared" si="43"/>
        <v>5.2423379000000159E-2</v>
      </c>
    </row>
    <row r="156" spans="2:11" outlineLevel="2" x14ac:dyDescent="0.35">
      <c r="B156"/>
    </row>
    <row r="157" spans="2:11" ht="15.5" outlineLevel="2" x14ac:dyDescent="0.35">
      <c r="C157" s="26" t="s">
        <v>197</v>
      </c>
    </row>
    <row r="158" spans="2:11" ht="15.5" outlineLevel="2" x14ac:dyDescent="0.35">
      <c r="C158" s="39" t="s">
        <v>42</v>
      </c>
      <c r="D158" s="39" t="s">
        <v>94</v>
      </c>
      <c r="E158" s="39" t="s">
        <v>95</v>
      </c>
      <c r="F158" s="39" t="s">
        <v>87</v>
      </c>
      <c r="G158" s="55" t="s">
        <v>270</v>
      </c>
      <c r="H158" s="55" t="s">
        <v>271</v>
      </c>
      <c r="I158" s="55" t="s">
        <v>272</v>
      </c>
      <c r="J158" s="55" t="s">
        <v>273</v>
      </c>
      <c r="K158" s="55" t="s">
        <v>274</v>
      </c>
    </row>
    <row r="159" spans="2:11" outlineLevel="2" x14ac:dyDescent="0.35">
      <c r="C159" s="21" t="s">
        <v>197</v>
      </c>
      <c r="D159" s="21" t="s">
        <v>9</v>
      </c>
      <c r="E159" s="21" t="s">
        <v>198</v>
      </c>
      <c r="F159" s="21" t="s">
        <v>103</v>
      </c>
      <c r="G159" s="74" cm="1">
        <f t="array" ref="G159">IFERROR(INDEX(Input_ForRateCalc[[F-CurrentVDO_InputDate]:[F-NextVDO_Input]],MATCH(Calc_ROM_1[[#This Row],[Cost item]:[Cost item]],Input_ForRateCalc[[Cost item]:[Cost item]],0),MATCH($D$5,Inputs!$H$8:$Q$8,0)),"-")</f>
        <v>6.0400000000000002E-2</v>
      </c>
      <c r="H159" s="74" cm="1">
        <f t="array" ref="H159">IFERROR(INDEX(Input_ForRateCalc[[F-CurrentVDO_InputDate]:[F-NextVDO_Input]],MATCH(Calc_ROM_1[[#This Row],[Cost item]:[Cost item]],Input_ForRateCalc[[Cost item]:[Cost item]],0),MATCH($D$5,Inputs!$H$8:$Q$8,0)),"-")</f>
        <v>6.0400000000000002E-2</v>
      </c>
      <c r="I159" s="74" cm="1">
        <f t="array" ref="I159">IFERROR(INDEX(Input_ForRateCalc[[F-CurrentVDO_InputDate]:[F-NextVDO_Input]],MATCH(Calc_ROM_1[[#This Row],[Cost item]:[Cost item]],Input_ForRateCalc[[Cost item]:[Cost item]],0),MATCH($D$5,Inputs!$H$8:$Q$8,0)),"-")</f>
        <v>6.0400000000000002E-2</v>
      </c>
      <c r="J159" s="74" cm="1">
        <f t="array" ref="J159">IFERROR(INDEX(Input_ForRateCalc[[F-CurrentVDO_InputDate]:[F-NextVDO_Input]],MATCH(Calc_ROM_1[[#This Row],[Cost item]:[Cost item]],Input_ForRateCalc[[Cost item]:[Cost item]],0),MATCH($D$5,Inputs!$H$8:$Q$8,0)),"-")</f>
        <v>6.0400000000000002E-2</v>
      </c>
      <c r="K159" s="74" cm="1">
        <f t="array" ref="K159">IFERROR(INDEX(Input_ForRateCalc[[F-CurrentVDO_InputDate]:[F-NextVDO_Input]],MATCH(Calc_ROM_1[[#This Row],[Cost item]:[Cost item]],Input_ForRateCalc[[Cost item]:[Cost item]],0),MATCH($D$5,Inputs!$H$8:$Q$8,0)),"-")</f>
        <v>6.0400000000000002E-2</v>
      </c>
    </row>
    <row r="160" spans="2:11" outlineLevel="2" x14ac:dyDescent="0.35">
      <c r="B160"/>
    </row>
    <row r="161" spans="1:11" ht="16" outlineLevel="1" collapsed="1" thickBot="1" x14ac:dyDescent="0.4">
      <c r="A161" s="2" t="s">
        <v>22</v>
      </c>
      <c r="B161" s="8">
        <f ca="1">MAX(B$3:B160)+0.1</f>
        <v>9.2999999999999989</v>
      </c>
      <c r="C161" s="25" t="s">
        <v>303</v>
      </c>
      <c r="D161" s="25"/>
      <c r="E161" s="25"/>
      <c r="F161" s="25"/>
      <c r="G161" s="25"/>
      <c r="H161" s="25"/>
      <c r="I161" s="25"/>
      <c r="J161" s="25"/>
      <c r="K161" s="25"/>
    </row>
    <row r="162" spans="1:11" outlineLevel="1" x14ac:dyDescent="0.35"/>
    <row r="163" spans="1:11" ht="15.5" outlineLevel="2" x14ac:dyDescent="0.35">
      <c r="C163" s="39" t="s">
        <v>42</v>
      </c>
      <c r="D163" s="39" t="s">
        <v>94</v>
      </c>
      <c r="E163" s="39" t="s">
        <v>95</v>
      </c>
      <c r="F163" s="39" t="s">
        <v>87</v>
      </c>
      <c r="G163" s="55" t="s">
        <v>270</v>
      </c>
      <c r="H163" s="55" t="s">
        <v>271</v>
      </c>
      <c r="I163" s="55" t="s">
        <v>272</v>
      </c>
      <c r="J163" s="55" t="s">
        <v>273</v>
      </c>
      <c r="K163" s="55" t="s">
        <v>274</v>
      </c>
    </row>
    <row r="164" spans="1:11" outlineLevel="2" x14ac:dyDescent="0.35">
      <c r="C164" s="21" t="s">
        <v>299</v>
      </c>
      <c r="D164" s="21" t="s">
        <v>101</v>
      </c>
      <c r="E164" s="21" t="s">
        <v>102</v>
      </c>
      <c r="F164" s="21" t="s">
        <v>103</v>
      </c>
      <c r="G164" s="56" cm="1">
        <f t="array" ref="G164">IFERROR(
IFERROR(INDEX(Calc_CPI_1[[CPI uplift factor]:[CPI uplift factor]],MATCH($C164,Calc_CPI_1[[Cost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H164" s="56" cm="1">
        <f t="array" ref="H164">IFERROR(
IFERROR(INDEX(Calc_CPI_1[[CPI uplift factor]:[CPI uplift factor]],MATCH($C164,Calc_CPI_1[[Cost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I164" s="56" cm="1">
        <f t="array" ref="I164">IFERROR(
IFERROR(INDEX(Calc_CPI_1[[CPI uplift factor]:[CPI uplift factor]],MATCH($C164,Calc_CPI_1[[Cost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J164" s="56" cm="1">
        <f t="array" ref="J164">IFERROR(
IFERROR(INDEX(Calc_CPI_1[[CPI uplift factor]:[CPI uplift factor]],MATCH($C164,Calc_CPI_1[[Cost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K164" s="56" cm="1">
        <f t="array" ref="K164">IFERROR(
IFERROR(INDEX(Calc_CPI_1[[CPI uplift factor]:[CPI uplift factor]],MATCH($C164,Calc_CPI_1[[Cost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row>
    <row r="165" spans="1:11" outlineLevel="2" x14ac:dyDescent="0.35">
      <c r="C165" s="40" t="s">
        <v>107</v>
      </c>
      <c r="D165" s="40" t="s">
        <v>101</v>
      </c>
      <c r="E165" s="21" t="s">
        <v>102</v>
      </c>
      <c r="F165" s="21" t="s">
        <v>103</v>
      </c>
      <c r="G165" s="56" cm="1">
        <f t="array" ref="G165">IFERROR(
IFERROR(INDEX(Calc_CPI_1[[CPI uplift factor]:[CPI uplift factor]],MATCH($C165,Calc_CPI_1[[Cost item]:[Cost item]],0),1),0)+
INDEX(Input_ForRateCalc[[F-CurrentVDO_InputDate]:[F-NextVDO_Input]],MATCH(Calc_Retail_1[[#This Row],[Cost item]:[Cost item]],Input_ForRateCalc[[Cost item]:[Cost item]],0),MATCH($D$5,Inputs!$H$8:$Q$8,0)),"-")</f>
        <v>38.463414634146346</v>
      </c>
      <c r="H165" s="56" cm="1">
        <f t="array" ref="H165">IFERROR(
IFERROR(INDEX(Calc_CPI_1[[CPI uplift factor]:[CPI uplift factor]],MATCH($C165,Calc_CPI_1[[Cost item]:[Cost item]],0),1),0)+
INDEX(Input_ForRateCalc[[F-CurrentVDO_InputDate]:[F-NextVDO_Input]],MATCH(Calc_Retail_1[[#This Row],[Cost item]:[Cost item]],Input_ForRateCalc[[Cost item]:[Cost item]],0),MATCH($D$5,Inputs!$H$8:$Q$8,0)),"-")</f>
        <v>38.463414634146346</v>
      </c>
      <c r="I165" s="56" cm="1">
        <f t="array" ref="I165">IFERROR(
IFERROR(INDEX(Calc_CPI_1[[CPI uplift factor]:[CPI uplift factor]],MATCH($C165,Calc_CPI_1[[Cost item]:[Cost item]],0),1),0)+
INDEX(Input_ForRateCalc[[F-CurrentVDO_InputDate]:[F-NextVDO_Input]],MATCH(Calc_Retail_1[[#This Row],[Cost item]:[Cost item]],Input_ForRateCalc[[Cost item]:[Cost item]],0),MATCH($D$5,Inputs!$H$8:$Q$8,0)),"-")</f>
        <v>38.463414634146346</v>
      </c>
      <c r="J165" s="56" cm="1">
        <f t="array" ref="J165">IFERROR(
IFERROR(INDEX(Calc_CPI_1[[CPI uplift factor]:[CPI uplift factor]],MATCH($C165,Calc_CPI_1[[Cost item]:[Cost item]],0),1),0)+
INDEX(Input_ForRateCalc[[F-CurrentVDO_InputDate]:[F-NextVDO_Input]],MATCH(Calc_Retail_1[[#This Row],[Cost item]:[Cost item]],Input_ForRateCalc[[Cost item]:[Cost item]],0),MATCH($D$5,Inputs!$H$8:$Q$8,0)),"-")</f>
        <v>38.463414634146346</v>
      </c>
      <c r="K165" s="56" cm="1">
        <f t="array" ref="K165">IFERROR(
IFERROR(INDEX(Calc_CPI_1[[CPI uplift factor]:[CPI uplift factor]],MATCH($C165,Calc_CPI_1[[Cost item]:[Cost item]],0),1),0)+
INDEX(Input_ForRateCalc[[F-CurrentVDO_InputDate]:[F-NextVDO_Input]],MATCH(Calc_Retail_1[[#This Row],[Cost item]:[Cost item]],Input_ForRateCalc[[Cost item]:[Cost item]],0),MATCH($D$5,Inputs!$H$8:$Q$8,0)),"-")</f>
        <v>38.463414634146346</v>
      </c>
    </row>
    <row r="166" spans="1:11" outlineLevel="2" x14ac:dyDescent="0.35"/>
    <row r="167" spans="1:11" ht="16" outlineLevel="1" collapsed="1" thickBot="1" x14ac:dyDescent="0.4">
      <c r="A167" s="2" t="s">
        <v>22</v>
      </c>
      <c r="B167" s="8">
        <f ca="1">MAX(B$3:B166)+0.1</f>
        <v>9.3999999999999986</v>
      </c>
      <c r="C167" s="25" t="s">
        <v>275</v>
      </c>
      <c r="D167" s="25"/>
      <c r="E167" s="25"/>
      <c r="F167" s="25"/>
      <c r="G167" s="25"/>
      <c r="H167" s="25"/>
      <c r="I167" s="25"/>
      <c r="J167" s="25"/>
      <c r="K167" s="25"/>
    </row>
    <row r="168" spans="1:11" outlineLevel="1" x14ac:dyDescent="0.35"/>
    <row r="169" spans="1:11" ht="15.5" outlineLevel="2" x14ac:dyDescent="0.35">
      <c r="C169" s="39" t="s">
        <v>42</v>
      </c>
      <c r="D169" s="39" t="s">
        <v>94</v>
      </c>
      <c r="E169" s="39" t="s">
        <v>95</v>
      </c>
      <c r="F169" s="39" t="s">
        <v>87</v>
      </c>
      <c r="G169" s="55" t="s">
        <v>270</v>
      </c>
      <c r="H169" s="55" t="s">
        <v>271</v>
      </c>
      <c r="I169" s="55" t="s">
        <v>272</v>
      </c>
      <c r="J169" s="55" t="s">
        <v>273</v>
      </c>
      <c r="K169" s="55" t="s">
        <v>274</v>
      </c>
    </row>
    <row r="170" spans="1:11" outlineLevel="2" x14ac:dyDescent="0.35">
      <c r="C170" s="21" t="s">
        <v>110</v>
      </c>
      <c r="D170" s="21" t="s">
        <v>101</v>
      </c>
      <c r="E170" s="21" t="s">
        <v>102</v>
      </c>
      <c r="F170" s="21" t="s">
        <v>103</v>
      </c>
      <c r="G170" s="56" cm="1">
        <f t="array" ref="G170">IFERROR(
IFERROR(INDEX(Calc_CPI_1[[CPI uplift factor]:[CPI uplift factor]],MATCH($C170,Calc_CPI_1[[Cost item]:[Cost item]],0),1),0)+
INDEX(Input_ForRateCalc[[F-CurrentVDO_InputDate]:[F-NextVDO_Input]],MATCH(Calc_OtherCosts_1[[#This Row],[Cost item]:[Cost item]],Input_ForRateCalc[[Cost item]:[Cost item]],0),MATCH($D$5,Inputs!$H$8:$Q$8,0)),"-")</f>
        <v>1.6939335514995686</v>
      </c>
      <c r="H170" s="56" cm="1">
        <f t="array" ref="H170">IFERROR(
IFERROR(INDEX(Calc_CPI_1[[CPI uplift factor]:[CPI uplift factor]],MATCH($C170,Calc_CPI_1[[Cost item]:[Cost item]],0),1),0)+
INDEX(Input_ForRateCalc[[F-CurrentVDO_InputDate]:[F-NextVDO_Input]],MATCH(Calc_OtherCosts_1[[#This Row],[Cost item]:[Cost item]],Input_ForRateCalc[[Cost item]:[Cost item]],0),MATCH($D$5,Inputs!$H$8:$Q$8,0)),"-")</f>
        <v>1.6939335514995686</v>
      </c>
      <c r="I170" s="56" cm="1">
        <f t="array" ref="I170">IFERROR(
IFERROR(INDEX(Calc_CPI_1[[CPI uplift factor]:[CPI uplift factor]],MATCH($C170,Calc_CPI_1[[Cost item]:[Cost item]],0),1),0)+
INDEX(Input_ForRateCalc[[F-CurrentVDO_InputDate]:[F-NextVDO_Input]],MATCH(Calc_OtherCosts_1[[#This Row],[Cost item]:[Cost item]],Input_ForRateCalc[[Cost item]:[Cost item]],0),MATCH($D$5,Inputs!$H$8:$Q$8,0)),"-")</f>
        <v>1.6939335514995686</v>
      </c>
      <c r="J170" s="56" cm="1">
        <f t="array" ref="J170">IFERROR(
IFERROR(INDEX(Calc_CPI_1[[CPI uplift factor]:[CPI uplift factor]],MATCH($C170,Calc_CPI_1[[Cost item]:[Cost item]],0),1),0)+
INDEX(Input_ForRateCalc[[F-CurrentVDO_InputDate]:[F-NextVDO_Input]],MATCH(Calc_OtherCosts_1[[#This Row],[Cost item]:[Cost item]],Input_ForRateCalc[[Cost item]:[Cost item]],0),MATCH($D$5,Inputs!$H$8:$Q$8,0)),"-")</f>
        <v>1.6939335514995686</v>
      </c>
      <c r="K170" s="56" cm="1">
        <f t="array" ref="K170">IFERROR(
IFERROR(INDEX(Calc_CPI_1[[CPI uplift factor]:[CPI uplift factor]],MATCH($C170,Calc_CPI_1[[Cost item]:[Cost item]],0),1),0)+
INDEX(Input_ForRateCalc[[F-CurrentVDO_InputDate]:[F-NextVDO_Input]],MATCH(Calc_OtherCosts_1[[#This Row],[Cost item]:[Cost item]],Input_ForRateCalc[[Cost item]:[Cost item]],0),MATCH($D$5,Inputs!$H$8:$Q$8,0)),"-")</f>
        <v>1.6939335514995686</v>
      </c>
    </row>
    <row r="171" spans="1:11" outlineLevel="2" x14ac:dyDescent="0.35">
      <c r="C171" s="21" t="s">
        <v>111</v>
      </c>
      <c r="D171" s="21" t="s">
        <v>101</v>
      </c>
      <c r="E171" s="21" t="s">
        <v>102</v>
      </c>
      <c r="F171" s="21" t="s">
        <v>103</v>
      </c>
      <c r="G171" s="56" cm="1">
        <f t="array" ref="G171">IFERROR(
IFERROR(INDEX(Calc_CPI_1[[CPI uplift factor]:[CPI uplift factor]],MATCH($C171,Calc_CPI_1[[Cost item]:[Cost item]],0),1),0)+
INDEX(Input_ForRateCalc[[F-CurrentVDO_InputDate]:[F-NextVDO_Input]],MATCH(Calc_OtherCosts_1[[#This Row],[Cost item]:[Cost item]],Input_ForRateCalc[[Cost item]:[Cost item]],0),MATCH($D$5,Inputs!$H$8:$Q$8,0)),"-")</f>
        <v>2.46</v>
      </c>
      <c r="H171" s="56" cm="1">
        <f t="array" ref="H171">IFERROR(
IFERROR(INDEX(Calc_CPI_1[[CPI uplift factor]:[CPI uplift factor]],MATCH($C171,Calc_CPI_1[[Cost item]:[Cost item]],0),1),0)+
INDEX(Input_ForRateCalc[[F-CurrentVDO_InputDate]:[F-NextVDO_Input]],MATCH(Calc_OtherCosts_1[[#This Row],[Cost item]:[Cost item]],Input_ForRateCalc[[Cost item]:[Cost item]],0),MATCH($D$5,Inputs!$H$8:$Q$8,0)),"-")</f>
        <v>2.46</v>
      </c>
      <c r="I171" s="56" cm="1">
        <f t="array" ref="I171">IFERROR(
IFERROR(INDEX(Calc_CPI_1[[CPI uplift factor]:[CPI uplift factor]],MATCH($C171,Calc_CPI_1[[Cost item]:[Cost item]],0),1),0)+
INDEX(Input_ForRateCalc[[F-CurrentVDO_InputDate]:[F-NextVDO_Input]],MATCH(Calc_OtherCosts_1[[#This Row],[Cost item]:[Cost item]],Input_ForRateCalc[[Cost item]:[Cost item]],0),MATCH($D$5,Inputs!$H$8:$Q$8,0)),"-")</f>
        <v>2.46</v>
      </c>
      <c r="J171" s="56" cm="1">
        <f t="array" ref="J171">IFERROR(
IFERROR(INDEX(Calc_CPI_1[[CPI uplift factor]:[CPI uplift factor]],MATCH($C171,Calc_CPI_1[[Cost item]:[Cost item]],0),1),0)+
INDEX(Input_ForRateCalc[[F-CurrentVDO_InputDate]:[F-NextVDO_Input]],MATCH(Calc_OtherCosts_1[[#This Row],[Cost item]:[Cost item]],Input_ForRateCalc[[Cost item]:[Cost item]],0),MATCH($D$5,Inputs!$H$8:$Q$8,0)),"-")</f>
        <v>2.46</v>
      </c>
      <c r="K171" s="56" cm="1">
        <f t="array" ref="K171">IFERROR(
IFERROR(INDEX(Calc_CPI_1[[CPI uplift factor]:[CPI uplift factor]],MATCH($C171,Calc_CPI_1[[Cost item]:[Cost item]],0),1),0)+
INDEX(Input_ForRateCalc[[F-CurrentVDO_InputDate]:[F-NextVDO_Input]],MATCH(Calc_OtherCosts_1[[#This Row],[Cost item]:[Cost item]],Input_ForRateCalc[[Cost item]:[Cost item]],0),MATCH($D$5,Inputs!$H$8:$Q$8,0)),"-")</f>
        <v>2.46</v>
      </c>
    </row>
    <row r="172" spans="1:11" outlineLevel="2" x14ac:dyDescent="0.35">
      <c r="C172" s="21" t="s">
        <v>112</v>
      </c>
      <c r="D172" s="21" t="s">
        <v>101</v>
      </c>
      <c r="E172" s="21" t="s">
        <v>113</v>
      </c>
      <c r="F172" s="21" t="s">
        <v>103</v>
      </c>
      <c r="G172" s="56" cm="1">
        <f t="array" ref="G172">IFERROR(
(IFERROR(INDEX(Calc_CPI_1[[CPI uplift factor]:[CPI uplift factor]],MATCH($C172,Calc_CPI_1[[Cost item]:[Cost item]],0),1),0)+
INDEX(Input_ForRateCalc[[F-CurrentVDO_InputDate]:[F-NextVDO_Input]],MATCH(Calc_OtherCosts_1[[#This Row],[Cost item]:[Cost item]],Input_ForRateCalc[[Cost item]:[Cost item]],0),MATCH($D$5,Inputs!$H$8:$Q$8,0)))*WiY,"-")</f>
        <v>0.62589545454545448</v>
      </c>
      <c r="H172" s="56" cm="1">
        <f t="array" ref="H172">IFERROR(
(IFERROR(INDEX(Calc_CPI_1[[CPI uplift factor]:[CPI uplift factor]],MATCH($C172,Calc_CPI_1[[Cost item]:[Cost item]],0),1),0)+
INDEX(Input_ForRateCalc[[F-CurrentVDO_InputDate]:[F-NextVDO_Input]],MATCH(Calc_OtherCosts_1[[#This Row],[Cost item]:[Cost item]],Input_ForRateCalc[[Cost item]:[Cost item]],0),MATCH($D$5,Inputs!$H$8:$Q$8,0)))*WiY,"-")</f>
        <v>0.62589545454545448</v>
      </c>
      <c r="I172" s="56" cm="1">
        <f t="array" ref="I172">IFERROR(
(IFERROR(INDEX(Calc_CPI_1[[CPI uplift factor]:[CPI uplift factor]],MATCH($C172,Calc_CPI_1[[Cost item]:[Cost item]],0),1),0)+
INDEX(Input_ForRateCalc[[F-CurrentVDO_InputDate]:[F-NextVDO_Input]],MATCH(Calc_OtherCosts_1[[#This Row],[Cost item]:[Cost item]],Input_ForRateCalc[[Cost item]:[Cost item]],0),MATCH($D$5,Inputs!$H$8:$Q$8,0)))*WiY,"-")</f>
        <v>0.62589545454545448</v>
      </c>
      <c r="J172" s="56" cm="1">
        <f t="array" ref="J172">IFERROR(
(IFERROR(INDEX(Calc_CPI_1[[CPI uplift factor]:[CPI uplift factor]],MATCH($C172,Calc_CPI_1[[Cost item]:[Cost item]],0),1),0)+
INDEX(Input_ForRateCalc[[F-CurrentVDO_InputDate]:[F-NextVDO_Input]],MATCH(Calc_OtherCosts_1[[#This Row],[Cost item]:[Cost item]],Input_ForRateCalc[[Cost item]:[Cost item]],0),MATCH($D$5,Inputs!$H$8:$Q$8,0)))*WiY,"-")</f>
        <v>0.62589545454545448</v>
      </c>
      <c r="K172" s="56" cm="1">
        <f t="array" ref="K172">IFERROR(
(IFERROR(INDEX(Calc_CPI_1[[CPI uplift factor]:[CPI uplift factor]],MATCH($C172,Calc_CPI_1[[Cost item]:[Cost item]],0),1),0)+
INDEX(Input_ForRateCalc[[F-CurrentVDO_InputDate]:[F-NextVDO_Input]],MATCH(Calc_OtherCosts_1[[#This Row],[Cost item]:[Cost item]],Input_ForRateCalc[[Cost item]:[Cost item]],0),MATCH($D$5,Inputs!$H$8:$Q$8,0)))*WiY,"-")</f>
        <v>0.62589545454545448</v>
      </c>
    </row>
    <row r="173" spans="1:11" outlineLevel="2" x14ac:dyDescent="0.35">
      <c r="C173" s="21" t="s">
        <v>114</v>
      </c>
      <c r="D173" s="21" t="s">
        <v>101</v>
      </c>
      <c r="E173" s="21" t="s">
        <v>113</v>
      </c>
      <c r="F173" s="21" t="s">
        <v>103</v>
      </c>
      <c r="G173" s="56" cm="1">
        <f t="array" ref="G173">IFERROR(
(IFERROR(INDEX(Calc_CPI_1[[CPI uplift factor]:[CPI uplift factor]],MATCH($C173,Calc_CPI_1[[Cost item]:[Cost item]],0),1),0)+
INDEX(Input_ForRateCalc[[F-CurrentVDO_InputDate]:[F-NextVDO_Input]],MATCH(Calc_OtherCosts_1[[#This Row],[Cost item]:[Cost item]],Input_ForRateCalc[[Cost item]:[Cost item]],0),MATCH($D$5,Inputs!$H$8:$Q$8,0)))*WiY,"-")</f>
        <v>1.3468636363636362</v>
      </c>
      <c r="H173" s="56" cm="1">
        <f t="array" ref="H173">IFERROR(
(IFERROR(INDEX(Calc_CPI_1[[CPI uplift factor]:[CPI uplift factor]],MATCH($C173,Calc_CPI_1[[Cost item]:[Cost item]],0),1),0)+
INDEX(Input_ForRateCalc[[F-CurrentVDO_InputDate]:[F-NextVDO_Input]],MATCH(Calc_OtherCosts_1[[#This Row],[Cost item]:[Cost item]],Input_ForRateCalc[[Cost item]:[Cost item]],0),MATCH($D$5,Inputs!$H$8:$Q$8,0)))*WiY,"-")</f>
        <v>1.3468636363636362</v>
      </c>
      <c r="I173" s="56" cm="1">
        <f t="array" ref="I173">IFERROR(
(IFERROR(INDEX(Calc_CPI_1[[CPI uplift factor]:[CPI uplift factor]],MATCH($C173,Calc_CPI_1[[Cost item]:[Cost item]],0),1),0)+
INDEX(Input_ForRateCalc[[F-CurrentVDO_InputDate]:[F-NextVDO_Input]],MATCH(Calc_OtherCosts_1[[#This Row],[Cost item]:[Cost item]],Input_ForRateCalc[[Cost item]:[Cost item]],0),MATCH($D$5,Inputs!$H$8:$Q$8,0)))*WiY,"-")</f>
        <v>1.3468636363636362</v>
      </c>
      <c r="J173" s="56" cm="1">
        <f t="array" ref="J173">IFERROR(
(IFERROR(INDEX(Calc_CPI_1[[CPI uplift factor]:[CPI uplift factor]],MATCH($C173,Calc_CPI_1[[Cost item]:[Cost item]],0),1),0)+
INDEX(Input_ForRateCalc[[F-CurrentVDO_InputDate]:[F-NextVDO_Input]],MATCH(Calc_OtherCosts_1[[#This Row],[Cost item]:[Cost item]],Input_ForRateCalc[[Cost item]:[Cost item]],0),MATCH($D$5,Inputs!$H$8:$Q$8,0)))*WiY,"-")</f>
        <v>1.3468636363636362</v>
      </c>
      <c r="K173" s="56" cm="1">
        <f t="array" ref="K173">IFERROR(
(IFERROR(INDEX(Calc_CPI_1[[CPI uplift factor]:[CPI uplift factor]],MATCH($C173,Calc_CPI_1[[Cost item]:[Cost item]],0),1),0)+
INDEX(Input_ForRateCalc[[F-CurrentVDO_InputDate]:[F-NextVDO_Input]],MATCH(Calc_OtherCosts_1[[#This Row],[Cost item]:[Cost item]],Input_ForRateCalc[[Cost item]:[Cost item]],0),MATCH($D$5,Inputs!$H$8:$Q$8,0)))*WiY,"-")</f>
        <v>1.3468636363636362</v>
      </c>
    </row>
    <row r="174" spans="1:11" outlineLevel="2" x14ac:dyDescent="0.35">
      <c r="C174" s="21" t="s">
        <v>154</v>
      </c>
      <c r="D174" s="21" t="s">
        <v>124</v>
      </c>
      <c r="E174" s="21" t="s">
        <v>284</v>
      </c>
      <c r="F174" s="21" t="s">
        <v>103</v>
      </c>
      <c r="G174" s="56" cm="1">
        <f t="array" ref="G174">IFERROR(
(IFERROR(INDEX(Calc_CPI_1[[CPI uplift factor]:[CPI uplift factor]],MATCH($C174,Calc_CPI_1[[Cost item]:[Cost item]],0),1),0)+
INDEX(Input_ForRateCalc[[F-CurrentVDO_InputDate]:[F-NextVDO_Input]],MATCH(Calc_OtherCosts_1[[#This Row],[Cost item]:[Cost item]],Input_ForRateCalc[[Cost item]:[Cost item]],0),MATCH($D$5,Inputs!$H$8:$Q$8,0)))/1000,"-")</f>
        <v>3.7379020979020976E-4</v>
      </c>
      <c r="H174" s="56" cm="1">
        <f t="array" ref="H174">IFERROR(
(IFERROR(INDEX(Calc_CPI_1[[CPI uplift factor]:[CPI uplift factor]],MATCH($C174,Calc_CPI_1[[Cost item]:[Cost item]],0),1),0)+
INDEX(Input_ForRateCalc[[F-CurrentVDO_InputDate]:[F-NextVDO_Input]],MATCH(Calc_OtherCosts_1[[#This Row],[Cost item]:[Cost item]],Input_ForRateCalc[[Cost item]:[Cost item]],0),MATCH($D$5,Inputs!$H$8:$Q$8,0)))/1000,"-")</f>
        <v>3.7379020979020976E-4</v>
      </c>
      <c r="I174" s="56" cm="1">
        <f t="array" ref="I174">IFERROR(
(IFERROR(INDEX(Calc_CPI_1[[CPI uplift factor]:[CPI uplift factor]],MATCH($C174,Calc_CPI_1[[Cost item]:[Cost item]],0),1),0)+
INDEX(Input_ForRateCalc[[F-CurrentVDO_InputDate]:[F-NextVDO_Input]],MATCH(Calc_OtherCosts_1[[#This Row],[Cost item]:[Cost item]],Input_ForRateCalc[[Cost item]:[Cost item]],0),MATCH($D$5,Inputs!$H$8:$Q$8,0)))/1000,"-")</f>
        <v>3.7379020979020976E-4</v>
      </c>
      <c r="J174" s="56" cm="1">
        <f t="array" ref="J174">IFERROR(
(IFERROR(INDEX(Calc_CPI_1[[CPI uplift factor]:[CPI uplift factor]],MATCH($C174,Calc_CPI_1[[Cost item]:[Cost item]],0),1),0)+
INDEX(Input_ForRateCalc[[F-CurrentVDO_InputDate]:[F-NextVDO_Input]],MATCH(Calc_OtherCosts_1[[#This Row],[Cost item]:[Cost item]],Input_ForRateCalc[[Cost item]:[Cost item]],0),MATCH($D$5,Inputs!$H$8:$Q$8,0)))/1000,"-")</f>
        <v>3.7379020979020976E-4</v>
      </c>
      <c r="K174" s="56" cm="1">
        <f t="array" ref="K174">IFERROR(
(IFERROR(INDEX(Calc_CPI_1[[CPI uplift factor]:[CPI uplift factor]],MATCH($C174,Calc_CPI_1[[Cost item]:[Cost item]],0),1),0)+
INDEX(Input_ForRateCalc[[F-CurrentVDO_InputDate]:[F-NextVDO_Input]],MATCH(Calc_OtherCosts_1[[#This Row],[Cost item]:[Cost item]],Input_ForRateCalc[[Cost item]:[Cost item]],0),MATCH($D$5,Inputs!$H$8:$Q$8,0)))/1000,"-")</f>
        <v>3.7379020979020976E-4</v>
      </c>
    </row>
    <row r="175" spans="1:11" outlineLevel="2" x14ac:dyDescent="0.35">
      <c r="C175" s="21" t="s">
        <v>156</v>
      </c>
      <c r="D175" s="21" t="s">
        <v>124</v>
      </c>
      <c r="E175" s="21" t="s">
        <v>284</v>
      </c>
      <c r="F175" s="21" t="s">
        <v>103</v>
      </c>
      <c r="G175" s="56" cm="1">
        <f t="array" ref="G175">IFERROR(
(IFERROR(INDEX(Calc_CPI_1[[CPI uplift factor]:[CPI uplift factor]],MATCH($C175,Calc_CPI_1[[Cost item]:[Cost item]],0),1),0)+
INDEX(Input_ForRateCalc[[F-CurrentVDO_InputDate]:[F-NextVDO_Input]],MATCH(Calc_OtherCosts_1[[#This Row],[Cost item]:[Cost item]],Input_ForRateCalc[[Cost item]:[Cost item]],0),MATCH($D$5,Inputs!$H$8:$Q$8,0)))/1000,"-")</f>
        <v>0</v>
      </c>
      <c r="H175" s="56" cm="1">
        <f t="array" ref="H175">IFERROR(
(IFERROR(INDEX(Calc_CPI_1[[CPI uplift factor]:[CPI uplift factor]],MATCH($C175,Calc_CPI_1[[Cost item]:[Cost item]],0),1),0)+
INDEX(Input_ForRateCalc[[F-CurrentVDO_InputDate]:[F-NextVDO_Input]],MATCH(Calc_OtherCosts_1[[#This Row],[Cost item]:[Cost item]],Input_ForRateCalc[[Cost item]:[Cost item]],0),MATCH($D$5,Inputs!$H$8:$Q$8,0)))/1000,"-")</f>
        <v>0</v>
      </c>
      <c r="I175" s="56" cm="1">
        <f t="array" ref="I175">IFERROR(
(IFERROR(INDEX(Calc_CPI_1[[CPI uplift factor]:[CPI uplift factor]],MATCH($C175,Calc_CPI_1[[Cost item]:[Cost item]],0),1),0)+
INDEX(Input_ForRateCalc[[F-CurrentVDO_InputDate]:[F-NextVDO_Input]],MATCH(Calc_OtherCosts_1[[#This Row],[Cost item]:[Cost item]],Input_ForRateCalc[[Cost item]:[Cost item]],0),MATCH($D$5,Inputs!$H$8:$Q$8,0)))/1000,"-")</f>
        <v>0</v>
      </c>
      <c r="J175" s="56" cm="1">
        <f t="array" ref="J175">IFERROR(
(IFERROR(INDEX(Calc_CPI_1[[CPI uplift factor]:[CPI uplift factor]],MATCH($C175,Calc_CPI_1[[Cost item]:[Cost item]],0),1),0)+
INDEX(Input_ForRateCalc[[F-CurrentVDO_InputDate]:[F-NextVDO_Input]],MATCH(Calc_OtherCosts_1[[#This Row],[Cost item]:[Cost item]],Input_ForRateCalc[[Cost item]:[Cost item]],0),MATCH($D$5,Inputs!$H$8:$Q$8,0)))/1000,"-")</f>
        <v>0</v>
      </c>
      <c r="K175" s="56" cm="1">
        <f t="array" ref="K175">IFERROR(
(IFERROR(INDEX(Calc_CPI_1[[CPI uplift factor]:[CPI uplift factor]],MATCH($C175,Calc_CPI_1[[Cost item]:[Cost item]],0),1),0)+
INDEX(Input_ForRateCalc[[F-CurrentVDO_InputDate]:[F-NextVDO_Input]],MATCH(Calc_OtherCosts_1[[#This Row],[Cost item]:[Cost item]],Input_ForRateCalc[[Cost item]:[Cost item]],0),MATCH($D$5,Inputs!$H$8:$Q$8,0)))/1000,"-")</f>
        <v>0</v>
      </c>
    </row>
    <row r="176" spans="1:11" outlineLevel="2" x14ac:dyDescent="0.35">
      <c r="C176" s="40" t="s">
        <v>157</v>
      </c>
      <c r="D176" s="40" t="s">
        <v>124</v>
      </c>
      <c r="E176" s="21" t="s">
        <v>284</v>
      </c>
      <c r="F176" s="21" t="s">
        <v>103</v>
      </c>
      <c r="G176" s="56" cm="1">
        <f t="array" ref="G176">IFERROR(
(IFERROR(INDEX(Calc_CPI_1[[CPI uplift factor]:[CPI uplift factor]],MATCH($C176,Calc_CPI_1[[Cost item]:[Cost item]],0),1),0)+
INDEX(Input_ForRateCalc[[F-CurrentVDO_InputDate]:[F-NextVDO_Input]],MATCH(Calc_OtherCosts_1[[#This Row],[Cost item]:[Cost item]],Input_ForRateCalc[[Cost item]:[Cost item]],0),MATCH($D$5,Inputs!$H$8:$Q$8,0)))/1000,"-")</f>
        <v>3.602961684772472E-4</v>
      </c>
      <c r="H176" s="56" cm="1">
        <f t="array" ref="H176">IFERROR(
(IFERROR(INDEX(Calc_CPI_1[[CPI uplift factor]:[CPI uplift factor]],MATCH($C176,Calc_CPI_1[[Cost item]:[Cost item]],0),1),0)+
INDEX(Input_ForRateCalc[[F-CurrentVDO_InputDate]:[F-NextVDO_Input]],MATCH(Calc_OtherCosts_1[[#This Row],[Cost item]:[Cost item]],Input_ForRateCalc[[Cost item]:[Cost item]],0),MATCH($D$5,Inputs!$H$8:$Q$8,0)))/1000,"-")</f>
        <v>3.602961684772472E-4</v>
      </c>
      <c r="I176" s="56" cm="1">
        <f t="array" ref="I176">IFERROR(
(IFERROR(INDEX(Calc_CPI_1[[CPI uplift factor]:[CPI uplift factor]],MATCH($C176,Calc_CPI_1[[Cost item]:[Cost item]],0),1),0)+
INDEX(Input_ForRateCalc[[F-CurrentVDO_InputDate]:[F-NextVDO_Input]],MATCH(Calc_OtherCosts_1[[#This Row],[Cost item]:[Cost item]],Input_ForRateCalc[[Cost item]:[Cost item]],0),MATCH($D$5,Inputs!$H$8:$Q$8,0)))/1000,"-")</f>
        <v>3.602961684772472E-4</v>
      </c>
      <c r="J176" s="56" cm="1">
        <f t="array" ref="J176">IFERROR(
(IFERROR(INDEX(Calc_CPI_1[[CPI uplift factor]:[CPI uplift factor]],MATCH($C176,Calc_CPI_1[[Cost item]:[Cost item]],0),1),0)+
INDEX(Input_ForRateCalc[[F-CurrentVDO_InputDate]:[F-NextVDO_Input]],MATCH(Calc_OtherCosts_1[[#This Row],[Cost item]:[Cost item]],Input_ForRateCalc[[Cost item]:[Cost item]],0),MATCH($D$5,Inputs!$H$8:$Q$8,0)))/1000,"-")</f>
        <v>3.602961684772472E-4</v>
      </c>
      <c r="K176" s="56" cm="1">
        <f t="array" ref="K176">IFERROR(
(IFERROR(INDEX(Calc_CPI_1[[CPI uplift factor]:[CPI uplift factor]],MATCH($C176,Calc_CPI_1[[Cost item]:[Cost item]],0),1),0)+
INDEX(Input_ForRateCalc[[F-CurrentVDO_InputDate]:[F-NextVDO_Input]],MATCH(Calc_OtherCosts_1[[#This Row],[Cost item]:[Cost item]],Input_ForRateCalc[[Cost item]:[Cost item]],0),MATCH($D$5,Inputs!$H$8:$Q$8,0)))/1000,"-")</f>
        <v>3.602961684772472E-4</v>
      </c>
    </row>
    <row r="177" spans="1:11" outlineLevel="2" x14ac:dyDescent="0.35"/>
    <row r="178" spans="1:11" ht="16" outlineLevel="1" collapsed="1" thickBot="1" x14ac:dyDescent="0.4">
      <c r="A178" s="2" t="s">
        <v>22</v>
      </c>
      <c r="B178" s="8">
        <f ca="1">MAX(B$3:B177)+0.1</f>
        <v>9.4999999999999982</v>
      </c>
      <c r="C178" s="25" t="s">
        <v>115</v>
      </c>
      <c r="D178" s="25"/>
      <c r="E178" s="25"/>
      <c r="F178" s="25"/>
      <c r="G178" s="25"/>
      <c r="H178" s="25"/>
      <c r="I178" s="25"/>
      <c r="J178" s="25"/>
      <c r="K178" s="25"/>
    </row>
    <row r="179" spans="1:11" outlineLevel="1" x14ac:dyDescent="0.35"/>
    <row r="180" spans="1:11" ht="15.5" outlineLevel="2" x14ac:dyDescent="0.35">
      <c r="C180" s="26" t="s">
        <v>304</v>
      </c>
    </row>
    <row r="181" spans="1:11" ht="15.5" outlineLevel="2" x14ac:dyDescent="0.35">
      <c r="C181" s="39" t="s">
        <v>42</v>
      </c>
      <c r="D181" s="39" t="s">
        <v>94</v>
      </c>
      <c r="E181" s="39" t="s">
        <v>95</v>
      </c>
      <c r="F181" s="39" t="s">
        <v>87</v>
      </c>
      <c r="G181" s="55" t="s">
        <v>270</v>
      </c>
      <c r="H181" s="55" t="s">
        <v>271</v>
      </c>
      <c r="I181" s="55" t="s">
        <v>272</v>
      </c>
      <c r="J181" s="55" t="s">
        <v>273</v>
      </c>
      <c r="K181" s="55" t="s">
        <v>274</v>
      </c>
    </row>
    <row r="182" spans="1:11" outlineLevel="2" x14ac:dyDescent="0.35">
      <c r="C182" s="21" t="s">
        <v>380</v>
      </c>
      <c r="D182" s="21" t="s">
        <v>101</v>
      </c>
      <c r="E182" s="21" t="s">
        <v>117</v>
      </c>
      <c r="F182" s="21" t="s">
        <v>88</v>
      </c>
      <c r="G182" s="56" cm="1">
        <f t="array" ref="G182">IFERROR(
IFERROR(INDEX(Calc_CPI_1[[CPI uplift factor]:[CPI uplift factor]],MATCH($C182,Calc_CPI_1[[Cost item]:[Cost item]],0),1),0)+
INDEX(Input_ForRateCalc[[F-CurrentVDO_InputDate]:[F-NextVDO_Input]],MATCH(Calc_NetworkF_1[[#This Row],[Cost item]:[Cost item]]&amp;" - "&amp;IF(Calc_NetworkF_1[[#This Row],[Customer type]:[Customer type]]="Residential","RES - ","SME - ")&amp;Calc_NetworkF_1[[#Headers],[Ausnet]],Input_ForRateCalc[[Cost item]:[Cost item]],0),MATCH($D$5,Inputs!$H$8:$Q$8,0)),"-")</f>
        <v>106</v>
      </c>
      <c r="H182" s="56" cm="1">
        <f t="array" ref="H182">IFERROR(
IFERROR(INDEX(Calc_CPI_1[[CPI uplift factor]:[CPI uplift factor]],MATCH($C182,Calc_CPI_1[[Cost item]:[Cost item]],0),1),0)+
INDEX(Input_ForRateCalc[[F-CurrentVDO_InputDate]:[F-NextVDO_Input]],MATCH(Calc_NetworkF_1[[#This Row],[Cost item]:[Cost item]]&amp;" - "&amp;IF(Calc_NetworkF_1[[#This Row],[Customer type]:[Customer type]]="Residential","RES - ","SME - ")&amp;Calc_NetworkF_1[[#Headers],[Citipower]],Input_ForRateCalc[[Cost item]:[Cost item]],0),MATCH($D$5,Inputs!$H$8:$Q$8,0)),"-")</f>
        <v>90</v>
      </c>
      <c r="I182" s="56" cm="1">
        <f t="array" ref="I182">IFERROR(
IFERROR(INDEX(Calc_CPI_1[[CPI uplift factor]:[CPI uplift factor]],MATCH($C182,Calc_CPI_1[[Cost item]:[Cost item]],0),1),0)+
INDEX(Input_ForRateCalc[[F-CurrentVDO_InputDate]:[F-NextVDO_Input]],MATCH(Calc_NetworkF_1[[#This Row],[Cost item]:[Cost item]]&amp;" - "&amp;IF(Calc_NetworkF_1[[#This Row],[Customer type]:[Customer type]]="Residential","RES - ","SME - ")&amp;Calc_NetworkF_1[[#Headers],[Jemena]],Input_ForRateCalc[[Cost item]:[Cost item]],0),MATCH($D$5,Inputs!$H$8:$Q$8,0)),"-")</f>
        <v>69.03</v>
      </c>
      <c r="J182" s="56" cm="1">
        <f t="array" ref="J182">IFERROR(
IFERROR(INDEX(Calc_CPI_1[[CPI uplift factor]:[CPI uplift factor]],MATCH($C182,Calc_CPI_1[[Cost item]:[Cost item]],0),1),0)+
INDEX(Input_ForRateCalc[[F-CurrentVDO_InputDate]:[F-NextVDO_Input]],MATCH(Calc_NetworkF_1[[#This Row],[Cost item]:[Cost item]]&amp;" - "&amp;IF(Calc_NetworkF_1[[#This Row],[Customer type]:[Customer type]]="Residential","RES - ","SME - ")&amp;Calc_NetworkF_1[[#Headers],[Powercor]],Input_ForRateCalc[[Cost item]:[Cost item]],0),MATCH($D$5,Inputs!$H$8:$Q$8,0)),"-")</f>
        <v>140</v>
      </c>
      <c r="K182" s="56" cm="1">
        <f t="array" ref="K182">IFERROR(
IFERROR(INDEX(Calc_CPI_1[[CPI uplift factor]:[CPI uplift factor]],MATCH($C182,Calc_CPI_1[[Cost item]:[Cost item]],0),1),0)+
INDEX(Input_ForRateCalc[[F-CurrentVDO_InputDate]:[F-NextVDO_Input]],MATCH(Calc_NetworkF_1[[#This Row],[Cost item]:[Cost item]]&amp;" - "&amp;IF(Calc_NetworkF_1[[#This Row],[Customer type]:[Customer type]]="Residential","RES - ","SME - ")&amp;Calc_NetworkF_1[[#Headers],[United Energy]],Input_ForRateCalc[[Cost item]:[Cost item]],0),MATCH($D$5,Inputs!$H$8:$Q$8,0)),"-")</f>
        <v>59.859999999999992</v>
      </c>
    </row>
    <row r="183" spans="1:11" outlineLevel="2" x14ac:dyDescent="0.35">
      <c r="C183" s="21" t="s">
        <v>380</v>
      </c>
      <c r="D183" s="21" t="s">
        <v>101</v>
      </c>
      <c r="E183" s="21" t="s">
        <v>117</v>
      </c>
      <c r="F183" s="21" t="s">
        <v>89</v>
      </c>
      <c r="G183" s="56" cm="1">
        <f t="array" ref="G183">IFERROR(
IFERROR(INDEX(Calc_CPI_1[[CPI uplift factor]:[CPI uplift factor]],MATCH($C183,Calc_CPI_1[[Cost item]:[Cost item]],0),1),0)+
INDEX(Input_ForRateCalc[[F-CurrentVDO_InputDate]:[F-NextVDO_Input]],MATCH(Calc_NetworkF_1[[#This Row],[Cost item]:[Cost item]]&amp;" - "&amp;IF(Calc_NetworkF_1[[#This Row],[Customer type]:[Customer type]]="Residential","RES - ","SME - ")&amp;Calc_NetworkF_1[[#Headers],[Ausnet]],Input_ForRateCalc[[Cost item]:[Cost item]],0),MATCH($D$5,Inputs!$H$8:$Q$8,0)),"-")</f>
        <v>106</v>
      </c>
      <c r="H183" s="56" cm="1">
        <f t="array" ref="H183">IFERROR(
IFERROR(INDEX(Calc_CPI_1[[CPI uplift factor]:[CPI uplift factor]],MATCH($C183,Calc_CPI_1[[Cost item]:[Cost item]],0),1),0)+
INDEX(Input_ForRateCalc[[F-CurrentVDO_InputDate]:[F-NextVDO_Input]],MATCH(Calc_NetworkF_1[[#This Row],[Cost item]:[Cost item]]&amp;" - "&amp;IF(Calc_NetworkF_1[[#This Row],[Customer type]:[Customer type]]="Residential","RES - ","SME - ")&amp;Calc_NetworkF_1[[#Headers],[Citipower]],Input_ForRateCalc[[Cost item]:[Cost item]],0),MATCH($D$5,Inputs!$H$8:$Q$8,0)),"-")</f>
        <v>160</v>
      </c>
      <c r="I183" s="56" cm="1">
        <f t="array" ref="I183">IFERROR(
IFERROR(INDEX(Calc_CPI_1[[CPI uplift factor]:[CPI uplift factor]],MATCH($C183,Calc_CPI_1[[Cost item]:[Cost item]],0),1),0)+
INDEX(Input_ForRateCalc[[F-CurrentVDO_InputDate]:[F-NextVDO_Input]],MATCH(Calc_NetworkF_1[[#This Row],[Cost item]:[Cost item]]&amp;" - "&amp;IF(Calc_NetworkF_1[[#This Row],[Customer type]:[Customer type]]="Residential","RES - ","SME - ")&amp;Calc_NetworkF_1[[#Headers],[Jemena]],Input_ForRateCalc[[Cost item]:[Cost item]],0),MATCH($D$5,Inputs!$H$8:$Q$8,0)),"-")</f>
        <v>118.741</v>
      </c>
      <c r="J183" s="56" cm="1">
        <f t="array" ref="J183">IFERROR(
IFERROR(INDEX(Calc_CPI_1[[CPI uplift factor]:[CPI uplift factor]],MATCH($C183,Calc_CPI_1[[Cost item]:[Cost item]],0),1),0)+
INDEX(Input_ForRateCalc[[F-CurrentVDO_InputDate]:[F-NextVDO_Input]],MATCH(Calc_NetworkF_1[[#This Row],[Cost item]:[Cost item]]&amp;" - "&amp;IF(Calc_NetworkF_1[[#This Row],[Customer type]:[Customer type]]="Residential","RES - ","SME - ")&amp;Calc_NetworkF_1[[#Headers],[Powercor]],Input_ForRateCalc[[Cost item]:[Cost item]],0),MATCH($D$5,Inputs!$H$8:$Q$8,0)),"-")</f>
        <v>180</v>
      </c>
      <c r="K183" s="56" cm="1">
        <f t="array" ref="K183">IFERROR(
IFERROR(INDEX(Calc_CPI_1[[CPI uplift factor]:[CPI uplift factor]],MATCH($C183,Calc_CPI_1[[Cost item]:[Cost item]],0),1),0)+
INDEX(Input_ForRateCalc[[F-CurrentVDO_InputDate]:[F-NextVDO_Input]],MATCH(Calc_NetworkF_1[[#This Row],[Cost item]:[Cost item]]&amp;" - "&amp;IF(Calc_NetworkF_1[[#This Row],[Customer type]:[Customer type]]="Residential","RES - ","SME - ")&amp;Calc_NetworkF_1[[#Headers],[United Energy]],Input_ForRateCalc[[Cost item]:[Cost item]],0),MATCH($D$5,Inputs!$H$8:$Q$8,0)),"-")</f>
        <v>79.861999999999995</v>
      </c>
    </row>
    <row r="184" spans="1:11" outlineLevel="2" x14ac:dyDescent="0.35">
      <c r="C184" s="21" t="s">
        <v>381</v>
      </c>
      <c r="D184" s="21" t="s">
        <v>101</v>
      </c>
      <c r="E184" s="21" t="s">
        <v>117</v>
      </c>
      <c r="F184" s="21" t="s">
        <v>88</v>
      </c>
      <c r="G184" s="56" t="str" cm="1">
        <f t="array" ref="G184">IFERROR(
IFERROR(INDEX(Calc_CPI_1[[CPI uplift factor]:[CPI uplift factor]],MATCH($C184,Calc_CPI_1[[Cost item]:[Cost item]],0),1),0)+
INDEX(Input_ForRateCalc[[F-CurrentVDO_InputDate]:[F-NextVDO_Input]],MATCH(Calc_NetworkF_1[[#This Row],[Cost item]:[Cost item]]&amp;" - "&amp;IF(Calc_NetworkF_1[[#This Row],[Customer type]:[Customer type]]="Residential","RES - ","SME - ")&amp;Calc_NetworkF_1[[#Headers],[Ausnet]],Input_ForRateCalc[[Cost item]:[Cost item]],0),MATCH($D$5,Inputs!$H$8:$Q$8,0)),"-")</f>
        <v>-</v>
      </c>
      <c r="H184" s="56" t="str" cm="1">
        <f t="array" ref="H184">IFERROR(
IFERROR(INDEX(Calc_CPI_1[[CPI uplift factor]:[CPI uplift factor]],MATCH($C184,Calc_CPI_1[[Cost item]:[Cost item]],0),1),0)+
INDEX(Input_ForRateCalc[[F-CurrentVDO_InputDate]:[F-NextVDO_Input]],MATCH(Calc_NetworkF_1[[#This Row],[Cost item]:[Cost item]]&amp;" - "&amp;IF(Calc_NetworkF_1[[#This Row],[Customer type]:[Customer type]]="Residential","RES - ","SME - ")&amp;Calc_NetworkF_1[[#Headers],[Citipower]],Input_ForRateCalc[[Cost item]:[Cost item]],0),MATCH($D$5,Inputs!$H$8:$Q$8,0)),"-")</f>
        <v>-</v>
      </c>
      <c r="I184" s="56" t="str" cm="1">
        <f t="array" ref="I184">IFERROR(
IFERROR(INDEX(Calc_CPI_1[[CPI uplift factor]:[CPI uplift factor]],MATCH($C184,Calc_CPI_1[[Cost item]:[Cost item]],0),1),0)+
INDEX(Input_ForRateCalc[[F-CurrentVDO_InputDate]:[F-NextVDO_Input]],MATCH(Calc_NetworkF_1[[#This Row],[Cost item]:[Cost item]]&amp;" - "&amp;IF(Calc_NetworkF_1[[#This Row],[Customer type]:[Customer type]]="Residential","RES - ","SME - ")&amp;Calc_NetworkF_1[[#Headers],[Jemena]],Input_ForRateCalc[[Cost item]:[Cost item]],0),MATCH($D$5,Inputs!$H$8:$Q$8,0)),"-")</f>
        <v>-</v>
      </c>
      <c r="J184" s="56" t="str" cm="1">
        <f t="array" ref="J184">IFERROR(
IFERROR(INDEX(Calc_CPI_1[[CPI uplift factor]:[CPI uplift factor]],MATCH($C184,Calc_CPI_1[[Cost item]:[Cost item]],0),1),0)+
INDEX(Input_ForRateCalc[[F-CurrentVDO_InputDate]:[F-NextVDO_Input]],MATCH(Calc_NetworkF_1[[#This Row],[Cost item]:[Cost item]]&amp;" - "&amp;IF(Calc_NetworkF_1[[#This Row],[Customer type]:[Customer type]]="Residential","RES - ","SME - ")&amp;Calc_NetworkF_1[[#Headers],[Powercor]],Input_ForRateCalc[[Cost item]:[Cost item]],0),MATCH($D$5,Inputs!$H$8:$Q$8,0)),"-")</f>
        <v>-</v>
      </c>
      <c r="K184" s="56" t="str" cm="1">
        <f t="array" ref="K184">IFERROR(
IFERROR(INDEX(Calc_CPI_1[[CPI uplift factor]:[CPI uplift factor]],MATCH($C184,Calc_CPI_1[[Cost item]:[Cost item]],0),1),0)+
INDEX(Input_ForRateCalc[[F-CurrentVDO_InputDate]:[F-NextVDO_Input]],MATCH(Calc_NetworkF_1[[#This Row],[Cost item]:[Cost item]]&amp;" - "&amp;IF(Calc_NetworkF_1[[#This Row],[Customer type]:[Customer type]]="Residential","RES - ","SME - ")&amp;Calc_NetworkF_1[[#Headers],[United Energy]],Input_ForRateCalc[[Cost item]:[Cost item]],0),MATCH($D$5,Inputs!$H$8:$Q$8,0)),"-")</f>
        <v>-</v>
      </c>
    </row>
    <row r="185" spans="1:11" outlineLevel="2" x14ac:dyDescent="0.35">
      <c r="C185" s="21" t="s">
        <v>381</v>
      </c>
      <c r="D185" s="21" t="s">
        <v>101</v>
      </c>
      <c r="E185" s="21" t="s">
        <v>117</v>
      </c>
      <c r="F185" s="21" t="s">
        <v>89</v>
      </c>
      <c r="G185" s="56" t="str" cm="1">
        <f t="array" ref="G185">IFERROR(
IFERROR(INDEX(Calc_CPI_1[[CPI uplift factor]:[CPI uplift factor]],MATCH($C185,Calc_CPI_1[[Cost item]:[Cost item]],0),1),0)+
INDEX(Input_ForRateCalc[[F-CurrentVDO_InputDate]:[F-NextVDO_Input]],MATCH(Calc_NetworkF_1[[#This Row],[Cost item]:[Cost item]]&amp;" - "&amp;IF(Calc_NetworkF_1[[#This Row],[Customer type]:[Customer type]]="Residential","RES - ","SME - ")&amp;Calc_NetworkF_1[[#Headers],[Ausnet]],Input_ForRateCalc[[Cost item]:[Cost item]],0),MATCH($D$5,Inputs!$H$8:$Q$8,0)),"-")</f>
        <v>-</v>
      </c>
      <c r="H185" s="56" t="str" cm="1">
        <f t="array" ref="H185">IFERROR(
IFERROR(INDEX(Calc_CPI_1[[CPI uplift factor]:[CPI uplift factor]],MATCH($C185,Calc_CPI_1[[Cost item]:[Cost item]],0),1),0)+
INDEX(Input_ForRateCalc[[F-CurrentVDO_InputDate]:[F-NextVDO_Input]],MATCH(Calc_NetworkF_1[[#This Row],[Cost item]:[Cost item]]&amp;" - "&amp;IF(Calc_NetworkF_1[[#This Row],[Customer type]:[Customer type]]="Residential","RES - ","SME - ")&amp;Calc_NetworkF_1[[#Headers],[Citipower]],Input_ForRateCalc[[Cost item]:[Cost item]],0),MATCH($D$5,Inputs!$H$8:$Q$8,0)),"-")</f>
        <v>-</v>
      </c>
      <c r="I185" s="56" t="str" cm="1">
        <f t="array" ref="I185">IFERROR(
IFERROR(INDEX(Calc_CPI_1[[CPI uplift factor]:[CPI uplift factor]],MATCH($C185,Calc_CPI_1[[Cost item]:[Cost item]],0),1),0)+
INDEX(Input_ForRateCalc[[F-CurrentVDO_InputDate]:[F-NextVDO_Input]],MATCH(Calc_NetworkF_1[[#This Row],[Cost item]:[Cost item]]&amp;" - "&amp;IF(Calc_NetworkF_1[[#This Row],[Customer type]:[Customer type]]="Residential","RES - ","SME - ")&amp;Calc_NetworkF_1[[#Headers],[Jemena]],Input_ForRateCalc[[Cost item]:[Cost item]],0),MATCH($D$5,Inputs!$H$8:$Q$8,0)),"-")</f>
        <v>-</v>
      </c>
      <c r="J185" s="56" t="str" cm="1">
        <f t="array" ref="J185">IFERROR(
IFERROR(INDEX(Calc_CPI_1[[CPI uplift factor]:[CPI uplift factor]],MATCH($C185,Calc_CPI_1[[Cost item]:[Cost item]],0),1),0)+
INDEX(Input_ForRateCalc[[F-CurrentVDO_InputDate]:[F-NextVDO_Input]],MATCH(Calc_NetworkF_1[[#This Row],[Cost item]:[Cost item]]&amp;" - "&amp;IF(Calc_NetworkF_1[[#This Row],[Customer type]:[Customer type]]="Residential","RES - ","SME - ")&amp;Calc_NetworkF_1[[#Headers],[Powercor]],Input_ForRateCalc[[Cost item]:[Cost item]],0),MATCH($D$5,Inputs!$H$8:$Q$8,0)),"-")</f>
        <v>-</v>
      </c>
      <c r="K185" s="56" t="str" cm="1">
        <f t="array" ref="K185">IFERROR(
IFERROR(INDEX(Calc_CPI_1[[CPI uplift factor]:[CPI uplift factor]],MATCH($C185,Calc_CPI_1[[Cost item]:[Cost item]],0),1),0)+
INDEX(Input_ForRateCalc[[F-CurrentVDO_InputDate]:[F-NextVDO_Input]],MATCH(Calc_NetworkF_1[[#This Row],[Cost item]:[Cost item]]&amp;" - "&amp;IF(Calc_NetworkF_1[[#This Row],[Customer type]:[Customer type]]="Residential","RES - ","SME - ")&amp;Calc_NetworkF_1[[#Headers],[United Energy]],Input_ForRateCalc[[Cost item]:[Cost item]],0),MATCH($D$5,Inputs!$H$8:$Q$8,0)),"-")</f>
        <v>-</v>
      </c>
    </row>
    <row r="186" spans="1:11" outlineLevel="2" x14ac:dyDescent="0.35">
      <c r="C186" s="40" t="s">
        <v>277</v>
      </c>
      <c r="D186" s="40" t="s">
        <v>101</v>
      </c>
      <c r="E186" s="21" t="s">
        <v>117</v>
      </c>
      <c r="F186" s="21" t="s">
        <v>103</v>
      </c>
      <c r="G186" s="56" cm="1">
        <f t="array" ref="G186">IFERROR(
IFERROR(INDEX(Calc_CPI_1[[CPI uplift factor]:[CPI uplift factor]],MATCH($C186,Calc_CPI_1[[Cost item]:[Cost item]],0),1),0)+
INDEX(Input_ForRateCalc[[F-CurrentVDO_InputDate]:[F-NextVDO_Input]],MATCH(Calc_NetworkF_1[[#This Row],[Cost item]:[Cost item]]&amp;" - "&amp;Calc_NetworkF_1[[#Headers],[Ausnet]],Input_ForRateCalc[[Cost item]:[Cost item]],0),MATCH($D$5,Inputs!$H$8:$Q$8,0)),"-")</f>
        <v>59.6</v>
      </c>
      <c r="H186" s="56" cm="1">
        <f t="array" ref="H186">IFERROR(
IFERROR(INDEX(Calc_CPI_1[[CPI uplift factor]:[CPI uplift factor]],MATCH($C186,Calc_CPI_1[[Cost item]:[Cost item]],0),1),0)+
INDEX(Input_ForRateCalc[[F-CurrentVDO_InputDate]:[F-NextVDO_Input]],MATCH(Calc_NetworkF_1[[#This Row],[Cost item]:[Cost item]]&amp;" - "&amp;Calc_NetworkF_1[[#Headers],[Citipower]],Input_ForRateCalc[[Cost item]:[Cost item]],0),MATCH($D$5,Inputs!$H$8:$Q$8,0)),"-")</f>
        <v>65.8</v>
      </c>
      <c r="I186" s="56" cm="1">
        <f t="array" ref="I186">IFERROR(
IFERROR(INDEX(Calc_CPI_1[[CPI uplift factor]:[CPI uplift factor]],MATCH($C186,Calc_CPI_1[[Cost item]:[Cost item]],0),1),0)+
INDEX(Input_ForRateCalc[[F-CurrentVDO_InputDate]:[F-NextVDO_Input]],MATCH(Calc_NetworkF_1[[#This Row],[Cost item]:[Cost item]]&amp;" - "&amp;Calc_NetworkF_1[[#Headers],[Jemena]],Input_ForRateCalc[[Cost item]:[Cost item]],0),MATCH($D$5,Inputs!$H$8:$Q$8,0)),"-")</f>
        <v>66.28</v>
      </c>
      <c r="J186" s="56" cm="1">
        <f t="array" ref="J186">IFERROR(
IFERROR(INDEX(Calc_CPI_1[[CPI uplift factor]:[CPI uplift factor]],MATCH($C186,Calc_CPI_1[[Cost item]:[Cost item]],0),1),0)+
INDEX(Input_ForRateCalc[[F-CurrentVDO_InputDate]:[F-NextVDO_Input]],MATCH(Calc_NetworkF_1[[#This Row],[Cost item]:[Cost item]]&amp;" - "&amp;Calc_NetworkF_1[[#Headers],[Powercor]],Input_ForRateCalc[[Cost item]:[Cost item]],0),MATCH($D$5,Inputs!$H$8:$Q$8,0)),"-")</f>
        <v>65.5</v>
      </c>
      <c r="K186" s="56" cm="1">
        <f t="array" ref="K186">IFERROR(
IFERROR(INDEX(Calc_CPI_1[[CPI uplift factor]:[CPI uplift factor]],MATCH($C186,Calc_CPI_1[[Cost item]:[Cost item]],0),1),0)+
INDEX(Input_ForRateCalc[[F-CurrentVDO_InputDate]:[F-NextVDO_Input]],MATCH(Calc_NetworkF_1[[#This Row],[Cost item]:[Cost item]]&amp;" - "&amp;Calc_NetworkF_1[[#Headers],[United Energy]],Input_ForRateCalc[[Cost item]:[Cost item]],0),MATCH($D$5,Inputs!$H$8:$Q$8,0)),"-")</f>
        <v>48.82</v>
      </c>
    </row>
    <row r="187" spans="1:11" outlineLevel="2" x14ac:dyDescent="0.35"/>
    <row r="188" spans="1:11" ht="15.5" outlineLevel="2" x14ac:dyDescent="0.35">
      <c r="C188" s="26" t="s">
        <v>305</v>
      </c>
    </row>
    <row r="189" spans="1:11" ht="15.5" outlineLevel="2" x14ac:dyDescent="0.35">
      <c r="C189" s="39" t="s">
        <v>42</v>
      </c>
      <c r="D189" s="39" t="s">
        <v>94</v>
      </c>
      <c r="E189" s="39" t="s">
        <v>95</v>
      </c>
      <c r="F189" s="39" t="s">
        <v>87</v>
      </c>
      <c r="G189" s="55" t="s">
        <v>270</v>
      </c>
      <c r="H189" s="55" t="s">
        <v>271</v>
      </c>
      <c r="I189" s="55" t="s">
        <v>272</v>
      </c>
      <c r="J189" s="55" t="s">
        <v>273</v>
      </c>
      <c r="K189" s="55" t="s">
        <v>274</v>
      </c>
    </row>
    <row r="190" spans="1:11" outlineLevel="2" x14ac:dyDescent="0.35">
      <c r="C190" s="21" t="s">
        <v>288</v>
      </c>
      <c r="D190" s="21" t="s">
        <v>124</v>
      </c>
      <c r="E190" s="21" t="s">
        <v>284</v>
      </c>
      <c r="F190" s="21" t="s">
        <v>88</v>
      </c>
      <c r="G190" s="56" cm="1">
        <f t="array" ref="G190">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0.10535</v>
      </c>
      <c r="H190" s="56" t="str" cm="1">
        <f t="array" ref="H190">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0" s="56" t="str" cm="1">
        <f t="array" ref="I190">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0" s="56" t="str" cm="1">
        <f t="array" ref="J190">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0" s="56" t="str" cm="1">
        <f t="array" ref="K190">IFERROR(
(IFERROR(INDEX(Calc_CPI_1[[CPI uplift factor]:[CPI uplift factor]],MATCH($C190,Calc_CPI_1[[Cost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1" spans="1:11" outlineLevel="2" x14ac:dyDescent="0.35">
      <c r="C191" s="21" t="s">
        <v>290</v>
      </c>
      <c r="D191" s="21" t="s">
        <v>124</v>
      </c>
      <c r="E191" s="21" t="s">
        <v>284</v>
      </c>
      <c r="F191" s="21" t="s">
        <v>88</v>
      </c>
      <c r="G191" s="56" cm="1">
        <f t="array" ref="G191">IFERROR(
(IFERROR(INDEX(Calc_CPI_1[[CPI uplift factor]:[CPI uplift factor]],MATCH($C191,Calc_CPI_1[[Cost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0.12073700000000001</v>
      </c>
      <c r="H191" s="56" t="str" cm="1">
        <f t="array" ref="H191">IFERROR(
(IFERROR(INDEX(Calc_CPI_1[[CPI uplift factor]:[CPI uplift factor]],MATCH($C191,Calc_CPI_1[[Cost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1" s="56" t="str" cm="1">
        <f t="array" ref="I191">IFERROR(
(IFERROR(INDEX(Calc_CPI_1[[CPI uplift factor]:[CPI uplift factor]],MATCH($C191,Calc_CPI_1[[Cost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1" s="56" t="str" cm="1">
        <f t="array" ref="J191">IFERROR(
(IFERROR(INDEX(Calc_CPI_1[[CPI uplift factor]:[CPI uplift factor]],MATCH($C191,Calc_CPI_1[[Cost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1" s="56" t="str" cm="1">
        <f t="array" ref="K191">IFERROR(
(IFERROR(INDEX(Calc_CPI_1[[CPI uplift factor]:[CPI uplift factor]],MATCH($C191,Calc_CPI_1[[Cost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2" spans="1:11" outlineLevel="2" x14ac:dyDescent="0.35">
      <c r="C192" s="21" t="s">
        <v>291</v>
      </c>
      <c r="D192" s="21" t="s">
        <v>124</v>
      </c>
      <c r="E192" s="21" t="s">
        <v>284</v>
      </c>
      <c r="F192" s="21" t="s">
        <v>88</v>
      </c>
      <c r="G192" s="56" t="str" cm="1">
        <f t="array" ref="G192">IFERROR(
(IFERROR(INDEX(Calc_CPI_1[[CPI uplift factor]:[CPI uplift factor]],MATCH($C192,Calc_CPI_1[[Cost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192" s="56" cm="1">
        <f t="array" ref="H192">IFERROR(
(IFERROR(INDEX(Calc_CPI_1[[CPI uplift factor]:[CPI uplift factor]],MATCH($C192,Calc_CPI_1[[Cost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6.4699999999999994E-2</v>
      </c>
      <c r="I192" s="56" cm="1">
        <f t="array" ref="I192">IFERROR(
(IFERROR(INDEX(Calc_CPI_1[[CPI uplift factor]:[CPI uplift factor]],MATCH($C192,Calc_CPI_1[[Cost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7.4139999999999998E-2</v>
      </c>
      <c r="J192" s="56" cm="1">
        <f t="array" ref="J192">IFERROR(
(IFERROR(INDEX(Calc_CPI_1[[CPI uplift factor]:[CPI uplift factor]],MATCH($C192,Calc_CPI_1[[Cost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6.7400000000000002E-2</v>
      </c>
      <c r="K192" s="56" cm="1">
        <f t="array" ref="K192">IFERROR(
(IFERROR(INDEX(Calc_CPI_1[[CPI uplift factor]:[CPI uplift factor]],MATCH($C192,Calc_CPI_1[[Cost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7.6700000000000004E-2</v>
      </c>
    </row>
    <row r="193" spans="1:11" outlineLevel="2" x14ac:dyDescent="0.35">
      <c r="C193" s="21" t="s">
        <v>292</v>
      </c>
      <c r="D193" s="21" t="s">
        <v>124</v>
      </c>
      <c r="E193" s="21" t="s">
        <v>284</v>
      </c>
      <c r="F193" s="21" t="s">
        <v>88</v>
      </c>
      <c r="G193" s="56" t="str" cm="1">
        <f t="array" ref="G193">IFERROR(
(IFERROR(INDEX(Calc_CPI_1[[CPI uplift factor]:[CPI uplift factor]],MATCH($C193,Calc_CPI_1[[Cost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193" s="56" t="str" cm="1">
        <f t="array" ref="H193">IFERROR(
(IFERROR(INDEX(Calc_CPI_1[[CPI uplift factor]:[CPI uplift factor]],MATCH($C193,Calc_CPI_1[[Cost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3" s="56" t="str" cm="1">
        <f t="array" ref="I193">IFERROR(
(IFERROR(INDEX(Calc_CPI_1[[CPI uplift factor]:[CPI uplift factor]],MATCH($C193,Calc_CPI_1[[Cost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3" s="56" t="str" cm="1">
        <f t="array" ref="J193">IFERROR(
(IFERROR(INDEX(Calc_CPI_1[[CPI uplift factor]:[CPI uplift factor]],MATCH($C193,Calc_CPI_1[[Cost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3" s="56" t="str" cm="1">
        <f t="array" ref="K193">IFERROR(
(IFERROR(INDEX(Calc_CPI_1[[CPI uplift factor]:[CPI uplift factor]],MATCH($C193,Calc_CPI_1[[Cost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4" spans="1:11" outlineLevel="2" x14ac:dyDescent="0.35">
      <c r="C194" s="21" t="s">
        <v>293</v>
      </c>
      <c r="D194" s="21" t="s">
        <v>124</v>
      </c>
      <c r="E194" s="21" t="s">
        <v>284</v>
      </c>
      <c r="F194" s="21" t="s">
        <v>88</v>
      </c>
      <c r="G194" s="56" t="str" cm="1">
        <f t="array" ref="G194">IFERROR(
(IFERROR(INDEX(Calc_CPI_1[[CPI uplift factor]:[CPI uplift factor]],MATCH($C194,Calc_CPI_1[[Cost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194" s="56" t="str" cm="1">
        <f t="array" ref="H194">IFERROR(
(IFERROR(INDEX(Calc_CPI_1[[CPI uplift factor]:[CPI uplift factor]],MATCH($C194,Calc_CPI_1[[Cost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4" s="56" t="str" cm="1">
        <f t="array" ref="I194">IFERROR(
(IFERROR(INDEX(Calc_CPI_1[[CPI uplift factor]:[CPI uplift factor]],MATCH($C194,Calc_CPI_1[[Cost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4" s="56" t="str" cm="1">
        <f t="array" ref="J194">IFERROR(
(IFERROR(INDEX(Calc_CPI_1[[CPI uplift factor]:[CPI uplift factor]],MATCH($C194,Calc_CPI_1[[Cost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4" s="56" t="str" cm="1">
        <f t="array" ref="K194">IFERROR(
(IFERROR(INDEX(Calc_CPI_1[[CPI uplift factor]:[CPI uplift factor]],MATCH($C194,Calc_CPI_1[[Cost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5" spans="1:11" outlineLevel="2" x14ac:dyDescent="0.35">
      <c r="C195" s="21" t="s">
        <v>294</v>
      </c>
      <c r="D195" s="21" t="s">
        <v>124</v>
      </c>
      <c r="E195" s="21" t="s">
        <v>284</v>
      </c>
      <c r="F195" s="21" t="s">
        <v>88</v>
      </c>
      <c r="G195" s="56" cm="1">
        <f t="array" ref="G195">IFERROR(
(IFERROR(INDEX(Calc_CPI_1[[CPI uplift factor]:[CPI uplift factor]],MATCH($C195,Calc_CPI_1[[Cost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3.8612E-2</v>
      </c>
      <c r="H195" s="56" cm="1">
        <f t="array" ref="H195">IFERROR(
(IFERROR(INDEX(Calc_CPI_1[[CPI uplift factor]:[CPI uplift factor]],MATCH($C195,Calc_CPI_1[[Cost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2.0899999999999998E-2</v>
      </c>
      <c r="I195" s="56" cm="1">
        <f t="array" ref="I195">IFERROR(
(IFERROR(INDEX(Calc_CPI_1[[CPI uplift factor]:[CPI uplift factor]],MATCH($C195,Calc_CPI_1[[Cost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2.9159999999999998E-2</v>
      </c>
      <c r="J195" s="56" cm="1">
        <f t="array" ref="J195">IFERROR(
(IFERROR(INDEX(Calc_CPI_1[[CPI uplift factor]:[CPI uplift factor]],MATCH($C195,Calc_CPI_1[[Cost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2.1400000000000002E-2</v>
      </c>
      <c r="K195" s="56" cm="1">
        <f t="array" ref="K195">IFERROR(
(IFERROR(INDEX(Calc_CPI_1[[CPI uplift factor]:[CPI uplift factor]],MATCH($C195,Calc_CPI_1[[Cost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1.7299999999999999E-2</v>
      </c>
    </row>
    <row r="196" spans="1:11" outlineLevel="2" x14ac:dyDescent="0.35">
      <c r="C196" s="21" t="s">
        <v>288</v>
      </c>
      <c r="D196" s="21" t="s">
        <v>124</v>
      </c>
      <c r="E196" s="21" t="s">
        <v>284</v>
      </c>
      <c r="F196" s="21" t="s">
        <v>89</v>
      </c>
      <c r="G196" s="56" cm="1">
        <f t="array" ref="G196">IFERROR(
(IFERROR(INDEX(Calc_CPI_1[[CPI uplift factor]:[CPI uplift factor]],MATCH($C196,Calc_CPI_1[[Cost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0.139602</v>
      </c>
      <c r="H196" s="56" t="str" cm="1">
        <f t="array" ref="H196">IFERROR(
(IFERROR(INDEX(Calc_CPI_1[[CPI uplift factor]:[CPI uplift factor]],MATCH($C196,Calc_CPI_1[[Cost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6" s="56" t="str" cm="1">
        <f t="array" ref="I196">IFERROR(
(IFERROR(INDEX(Calc_CPI_1[[CPI uplift factor]:[CPI uplift factor]],MATCH($C196,Calc_CPI_1[[Cost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6" s="56" t="str" cm="1">
        <f t="array" ref="J196">IFERROR(
(IFERROR(INDEX(Calc_CPI_1[[CPI uplift factor]:[CPI uplift factor]],MATCH($C196,Calc_CPI_1[[Cost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6" s="56" t="str" cm="1">
        <f t="array" ref="K196">IFERROR(
(IFERROR(INDEX(Calc_CPI_1[[CPI uplift factor]:[CPI uplift factor]],MATCH($C196,Calc_CPI_1[[Cost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7" spans="1:11" outlineLevel="2" x14ac:dyDescent="0.35">
      <c r="C197" s="21" t="s">
        <v>290</v>
      </c>
      <c r="D197" s="21" t="s">
        <v>124</v>
      </c>
      <c r="E197" s="21" t="s">
        <v>284</v>
      </c>
      <c r="F197" s="21" t="s">
        <v>89</v>
      </c>
      <c r="G197" s="56" cm="1">
        <f t="array" ref="G197">IFERROR(
(IFERROR(INDEX(Calc_CPI_1[[CPI uplift factor]:[CPI uplift factor]],MATCH($C197,Calc_CPI_1[[Cost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0.169349</v>
      </c>
      <c r="H197" s="56" t="str" cm="1">
        <f t="array" ref="H197">IFERROR(
(IFERROR(INDEX(Calc_CPI_1[[CPI uplift factor]:[CPI uplift factor]],MATCH($C197,Calc_CPI_1[[Cost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7" s="56" t="str" cm="1">
        <f t="array" ref="I197">IFERROR(
(IFERROR(INDEX(Calc_CPI_1[[CPI uplift factor]:[CPI uplift factor]],MATCH($C197,Calc_CPI_1[[Cost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7" s="56" t="str" cm="1">
        <f t="array" ref="J197">IFERROR(
(IFERROR(INDEX(Calc_CPI_1[[CPI uplift factor]:[CPI uplift factor]],MATCH($C197,Calc_CPI_1[[Cost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7" s="56" t="str" cm="1">
        <f t="array" ref="K197">IFERROR(
(IFERROR(INDEX(Calc_CPI_1[[CPI uplift factor]:[CPI uplift factor]],MATCH($C197,Calc_CPI_1[[Cost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198" spans="1:11" outlineLevel="2" x14ac:dyDescent="0.35">
      <c r="C198" s="21" t="s">
        <v>291</v>
      </c>
      <c r="D198" s="21" t="s">
        <v>124</v>
      </c>
      <c r="E198" s="21" t="s">
        <v>284</v>
      </c>
      <c r="F198" s="21" t="s">
        <v>89</v>
      </c>
      <c r="G198" s="56" t="str" cm="1">
        <f t="array" ref="G198">IFERROR(
(IFERROR(INDEX(Calc_CPI_1[[CPI uplift factor]:[CPI uplift factor]],MATCH($C198,Calc_CPI_1[[Cost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198" s="56" cm="1">
        <f t="array" ref="H198">IFERROR(
(IFERROR(INDEX(Calc_CPI_1[[CPI uplift factor]:[CPI uplift factor]],MATCH($C198,Calc_CPI_1[[Cost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7.5399999999999995E-2</v>
      </c>
      <c r="I198" s="56" cm="1">
        <f t="array" ref="I198">IFERROR(
(IFERROR(INDEX(Calc_CPI_1[[CPI uplift factor]:[CPI uplift factor]],MATCH($C198,Calc_CPI_1[[Cost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9.326000000000001E-2</v>
      </c>
      <c r="J198" s="56" cm="1">
        <f t="array" ref="J198">IFERROR(
(IFERROR(INDEX(Calc_CPI_1[[CPI uplift factor]:[CPI uplift factor]],MATCH($C198,Calc_CPI_1[[Cost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8.4399999999999989E-2</v>
      </c>
      <c r="K198" s="56" cm="1">
        <f t="array" ref="K198">IFERROR(
(IFERROR(INDEX(Calc_CPI_1[[CPI uplift factor]:[CPI uplift factor]],MATCH($C198,Calc_CPI_1[[Cost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9.2699999999999991E-2</v>
      </c>
    </row>
    <row r="199" spans="1:11" outlineLevel="2" x14ac:dyDescent="0.35">
      <c r="C199" s="21" t="s">
        <v>292</v>
      </c>
      <c r="D199" s="21" t="s">
        <v>124</v>
      </c>
      <c r="E199" s="21" t="s">
        <v>284</v>
      </c>
      <c r="F199" s="21" t="s">
        <v>89</v>
      </c>
      <c r="G199" s="56" t="str" cm="1">
        <f t="array" ref="G199">IFERROR(
(IFERROR(INDEX(Calc_CPI_1[[CPI uplift factor]:[CPI uplift factor]],MATCH($C199,Calc_CPI_1[[Cost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199" s="56" t="str" cm="1">
        <f t="array" ref="H199">IFERROR(
(IFERROR(INDEX(Calc_CPI_1[[CPI uplift factor]:[CPI uplift factor]],MATCH($C199,Calc_CPI_1[[Cost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199" s="56" t="str" cm="1">
        <f t="array" ref="I199">IFERROR(
(IFERROR(INDEX(Calc_CPI_1[[CPI uplift factor]:[CPI uplift factor]],MATCH($C199,Calc_CPI_1[[Cost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199" s="56" t="str" cm="1">
        <f t="array" ref="J199">IFERROR(
(IFERROR(INDEX(Calc_CPI_1[[CPI uplift factor]:[CPI uplift factor]],MATCH($C199,Calc_CPI_1[[Cost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199" s="56" t="str" cm="1">
        <f t="array" ref="K199">IFERROR(
(IFERROR(INDEX(Calc_CPI_1[[CPI uplift factor]:[CPI uplift factor]],MATCH($C199,Calc_CPI_1[[Cost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200" spans="1:11" outlineLevel="2" x14ac:dyDescent="0.35">
      <c r="C200" s="21" t="s">
        <v>293</v>
      </c>
      <c r="D200" s="40" t="s">
        <v>124</v>
      </c>
      <c r="E200" s="21" t="s">
        <v>284</v>
      </c>
      <c r="F200" s="21" t="s">
        <v>89</v>
      </c>
      <c r="G200" s="56" t="str" cm="1">
        <f t="array" ref="G200">IFERROR(
(IFERROR(INDEX(Calc_CPI_1[[CPI uplift factor]:[CPI uplift factor]],MATCH($C200,Calc_CPI_1[[Cost item]:[Cost item]],0),1),0)+
INDEX(Input_ForRateCalc[[F-CurrentVDO_InputDate]:[F-NextVDO_Input]],MATCH(Calc_NetworkV_1[[#This Row],[Cost item]:[Cost item]]&amp;" - "&amp;IF(Calc_NetworkV_1[[#This Row],[Customer type]:[Customer type]]="Residential","RES - ","SME - ")&amp;Calc_NetworkV_1[[#Headers],[Ausnet]],Input_ForRateCalc[[Cost item]:[Cost item]],0),MATCH($D$5,Inputs!$H$8:$Q$8,0)))/100,"-")</f>
        <v>-</v>
      </c>
      <c r="H200" s="56" t="str" cm="1">
        <f t="array" ref="H200">IFERROR(
(IFERROR(INDEX(Calc_CPI_1[[CPI uplift factor]:[CPI uplift factor]],MATCH($C200,Calc_CPI_1[[Cost item]:[Cost item]],0),1),0)+
INDEX(Input_ForRateCalc[[F-CurrentVDO_InputDate]:[F-NextVDO_Input]],MATCH(Calc_NetworkV_1[[#This Row],[Cost item]:[Cost item]]&amp;" - "&amp;IF(Calc_NetworkV_1[[#This Row],[Customer type]:[Customer type]]="Residential","RES - ","SME - ")&amp;Calc_NetworkV_1[[#Headers],[Citipower]],Input_ForRateCalc[[Cost item]:[Cost item]],0),MATCH($D$5,Inputs!$H$8:$Q$8,0)))/100,"-")</f>
        <v>-</v>
      </c>
      <c r="I200" s="56" t="str" cm="1">
        <f t="array" ref="I200">IFERROR(
(IFERROR(INDEX(Calc_CPI_1[[CPI uplift factor]:[CPI uplift factor]],MATCH($C200,Calc_CPI_1[[Cost item]:[Cost item]],0),1),0)+
INDEX(Input_ForRateCalc[[F-CurrentVDO_InputDate]:[F-NextVDO_Input]],MATCH(Calc_NetworkV_1[[#This Row],[Cost item]:[Cost item]]&amp;" - "&amp;IF(Calc_NetworkV_1[[#This Row],[Customer type]:[Customer type]]="Residential","RES - ","SME - ")&amp;Calc_NetworkV_1[[#Headers],[Jemena]],Input_ForRateCalc[[Cost item]:[Cost item]],0),MATCH($D$5,Inputs!$H$8:$Q$8,0)))/100,"-")</f>
        <v>-</v>
      </c>
      <c r="J200" s="56" t="str" cm="1">
        <f t="array" ref="J200">IFERROR(
(IFERROR(INDEX(Calc_CPI_1[[CPI uplift factor]:[CPI uplift factor]],MATCH($C200,Calc_CPI_1[[Cost item]:[Cost item]],0),1),0)+
INDEX(Input_ForRateCalc[[F-CurrentVDO_InputDate]:[F-NextVDO_Input]],MATCH(Calc_NetworkV_1[[#This Row],[Cost item]:[Cost item]]&amp;" - "&amp;IF(Calc_NetworkV_1[[#This Row],[Customer type]:[Customer type]]="Residential","RES - ","SME - ")&amp;Calc_NetworkV_1[[#Headers],[Powercor]],Input_ForRateCalc[[Cost item]:[Cost item]],0),MATCH($D$5,Inputs!$H$8:$Q$8,0)))/100,"-")</f>
        <v>-</v>
      </c>
      <c r="K200" s="56" t="str" cm="1">
        <f t="array" ref="K200">IFERROR(
(IFERROR(INDEX(Calc_CPI_1[[CPI uplift factor]:[CPI uplift factor]],MATCH($C200,Calc_CPI_1[[Cost item]:[Cost item]],0),1),0)+
INDEX(Input_ForRateCalc[[F-CurrentVDO_InputDate]:[F-NextVDO_Input]],MATCH(Calc_NetworkV_1[[#This Row],[Cost item]:[Cost item]]&amp;" - "&amp;IF(Calc_NetworkV_1[[#This Row],[Customer type]:[Customer type]]="Residential","RES - ","SME - ")&amp;Calc_NetworkV_1[[#Headers],[United Energy]],Input_ForRateCalc[[Cost item]:[Cost item]],0),MATCH($D$5,Inputs!$H$8:$Q$8,0)))/100,"-")</f>
        <v>-</v>
      </c>
    </row>
    <row r="201" spans="1:11" outlineLevel="2" x14ac:dyDescent="0.35"/>
    <row r="202" spans="1:11" ht="16" outlineLevel="1" collapsed="1" thickBot="1" x14ac:dyDescent="0.4">
      <c r="A202" s="2" t="s">
        <v>22</v>
      </c>
      <c r="B202" s="8">
        <f ca="1">MAX(B$3:B201)+0.1</f>
        <v>9.5999999999999979</v>
      </c>
      <c r="C202" s="25" t="s">
        <v>122</v>
      </c>
      <c r="D202" s="25"/>
      <c r="E202" s="25"/>
      <c r="F202" s="25"/>
      <c r="G202" s="25"/>
      <c r="H202" s="25"/>
      <c r="I202" s="25"/>
      <c r="J202" s="25"/>
      <c r="K202" s="25"/>
    </row>
    <row r="203" spans="1:11" outlineLevel="1" x14ac:dyDescent="0.35"/>
    <row r="204" spans="1:11" ht="15.5" outlineLevel="2" x14ac:dyDescent="0.35">
      <c r="C204" s="26" t="s">
        <v>306</v>
      </c>
    </row>
    <row r="205" spans="1:11" ht="15.5" outlineLevel="2" x14ac:dyDescent="0.35">
      <c r="C205" s="39" t="s">
        <v>42</v>
      </c>
      <c r="D205" s="39" t="s">
        <v>94</v>
      </c>
      <c r="E205" s="39" t="s">
        <v>95</v>
      </c>
      <c r="F205" s="39" t="s">
        <v>87</v>
      </c>
      <c r="G205" s="55" t="s">
        <v>270</v>
      </c>
      <c r="H205" s="55" t="s">
        <v>271</v>
      </c>
      <c r="I205" s="55" t="s">
        <v>272</v>
      </c>
      <c r="J205" s="55" t="s">
        <v>273</v>
      </c>
      <c r="K205" s="55" t="s">
        <v>274</v>
      </c>
    </row>
    <row r="206" spans="1:11" outlineLevel="2" x14ac:dyDescent="0.35">
      <c r="C206" s="21" t="s">
        <v>307</v>
      </c>
      <c r="D206" s="21" t="s">
        <v>124</v>
      </c>
      <c r="E206" s="21" t="s">
        <v>284</v>
      </c>
      <c r="F206" s="21" t="s">
        <v>88</v>
      </c>
      <c r="G206" s="56" cm="1">
        <f t="array" ref="G206">IFERROR(
(IFERROR(INDEX(Calc_CPI_1[[CPI uplift factor]:[CPI uplift factor]],MATCH($C206,Calc_CPI_1[[Cost item]:[Cost item]],0),1),0)+
INDEX(Input_ForRateCalc[[F-CurrentVDO_InputDate]:[F-NextVDO_Input]],MATCH(Calc_WholesaleRES_1[[#This Row],[Cost item]:[Cost item]]&amp;" - "&amp;Calc_WholesaleRES_1[[#Headers],[Ausnet]],Input_ForRateCalc[[Cost item]:[Cost item]],0),MATCH($D$5,Inputs!$H$8:$Q$8,0)))/1000,"-")</f>
        <v>9.4019999999999992E-2</v>
      </c>
      <c r="H206" s="56" cm="1">
        <f t="array" ref="H206">IFERROR(
(IFERROR(INDEX(Calc_CPI_1[[CPI uplift factor]:[CPI uplift factor]],MATCH($C206,Calc_CPI_1[[Cost item]:[Cost item]],0),1),0)+
INDEX(Input_ForRateCalc[[F-CurrentVDO_InputDate]:[F-NextVDO_Input]],MATCH(Calc_WholesaleRES_1[[#This Row],[Cost item]:[Cost item]]&amp;" - "&amp;Calc_WholesaleRES_1[[#Headers],[Citipower]],Input_ForRateCalc[[Cost item]:[Cost item]],0),MATCH($D$5,Inputs!$H$8:$Q$8,0)))/1000,"-")</f>
        <v>8.8840000000000002E-2</v>
      </c>
      <c r="I206" s="56" cm="1">
        <f t="array" ref="I206">IFERROR(
(IFERROR(INDEX(Calc_CPI_1[[CPI uplift factor]:[CPI uplift factor]],MATCH($C206,Calc_CPI_1[[Cost item]:[Cost item]],0),1),0)+
INDEX(Input_ForRateCalc[[F-CurrentVDO_InputDate]:[F-NextVDO_Input]],MATCH(Calc_WholesaleRES_1[[#This Row],[Cost item]:[Cost item]]&amp;" - "&amp;Calc_WholesaleRES_1[[#Headers],[Jemena]],Input_ForRateCalc[[Cost item]:[Cost item]],0),MATCH($D$5,Inputs!$H$8:$Q$8,0)))/1000,"-")</f>
        <v>9.7799999999999998E-2</v>
      </c>
      <c r="J206" s="56" cm="1">
        <f t="array" ref="J206">IFERROR(
(IFERROR(INDEX(Calc_CPI_1[[CPI uplift factor]:[CPI uplift factor]],MATCH($C206,Calc_CPI_1[[Cost item]:[Cost item]],0),1),0)+
INDEX(Input_ForRateCalc[[F-CurrentVDO_InputDate]:[F-NextVDO_Input]],MATCH(Calc_WholesaleRES_1[[#This Row],[Cost item]:[Cost item]]&amp;" - "&amp;Calc_WholesaleRES_1[[#Headers],[Powercor]],Input_ForRateCalc[[Cost item]:[Cost item]],0),MATCH($D$5,Inputs!$H$8:$Q$8,0)))/1000,"-")</f>
        <v>9.2030000000000001E-2</v>
      </c>
      <c r="K206" s="56" cm="1">
        <f t="array" ref="K206">IFERROR(
(IFERROR(INDEX(Calc_CPI_1[[CPI uplift factor]:[CPI uplift factor]],MATCH($C206,Calc_CPI_1[[Cost item]:[Cost item]],0),1),0)+
INDEX(Input_ForRateCalc[[F-CurrentVDO_InputDate]:[F-NextVDO_Input]],MATCH(Calc_WholesaleRES_1[[#This Row],[Cost item]:[Cost item]]&amp;" - "&amp;Calc_WholesaleRES_1[[#Headers],[United Energy]],Input_ForRateCalc[[Cost item]:[Cost item]],0),MATCH($D$5,Inputs!$H$8:$Q$8,0)))/1000,"-")</f>
        <v>9.8180000000000003E-2</v>
      </c>
    </row>
    <row r="207" spans="1:11" outlineLevel="2" x14ac:dyDescent="0.35">
      <c r="C207" s="21" t="s">
        <v>308</v>
      </c>
      <c r="D207" s="21" t="s">
        <v>124</v>
      </c>
      <c r="E207" s="21" t="s">
        <v>284</v>
      </c>
      <c r="F207" s="21" t="s">
        <v>88</v>
      </c>
      <c r="G207" s="56" cm="1">
        <f t="array" ref="G207">IFERROR(
(IFERROR(INDEX(Calc_CPI_1[[CPI uplift factor]:[CPI uplift factor]],MATCH($C207,Calc_CPI_1[[Cost item]:[Cost item]],0),1),0)+
INDEX(Input_ForRateCalc[[F-CurrentVDO_InputDate]:[F-NextVDO_Input]],MATCH(Calc_WholesaleRES_1[[#This Row],[Cost item]:[Cost item]]&amp;" - "&amp;Calc_WholesaleRES_1[[#Headers],[Ausnet]],Input_ForRateCalc[[Cost item]:[Cost item]],0),MATCH($D$5,Inputs!$H$8:$Q$8,0)))/1000,"-")</f>
        <v>4.7999999999999996E-4</v>
      </c>
      <c r="H207" s="56" cm="1">
        <f t="array" ref="H207">IFERROR(
(IFERROR(INDEX(Calc_CPI_1[[CPI uplift factor]:[CPI uplift factor]],MATCH($C207,Calc_CPI_1[[Cost item]:[Cost item]],0),1),0)+
INDEX(Input_ForRateCalc[[F-CurrentVDO_InputDate]:[F-NextVDO_Input]],MATCH(Calc_WholesaleRES_1[[#This Row],[Cost item]:[Cost item]]&amp;" - "&amp;Calc_WholesaleRES_1[[#Headers],[Citipower]],Input_ForRateCalc[[Cost item]:[Cost item]],0),MATCH($D$5,Inputs!$H$8:$Q$8,0)))/1000,"-")</f>
        <v>4.6999999999999999E-4</v>
      </c>
      <c r="I207" s="56" cm="1">
        <f t="array" ref="I207">IFERROR(
(IFERROR(INDEX(Calc_CPI_1[[CPI uplift factor]:[CPI uplift factor]],MATCH($C207,Calc_CPI_1[[Cost item]:[Cost item]],0),1),0)+
INDEX(Input_ForRateCalc[[F-CurrentVDO_InputDate]:[F-NextVDO_Input]],MATCH(Calc_WholesaleRES_1[[#This Row],[Cost item]:[Cost item]]&amp;" - "&amp;Calc_WholesaleRES_1[[#Headers],[Jemena]],Input_ForRateCalc[[Cost item]:[Cost item]],0),MATCH($D$5,Inputs!$H$8:$Q$8,0)))/1000,"-")</f>
        <v>4.4999999999999999E-4</v>
      </c>
      <c r="J207" s="56" cm="1">
        <f t="array" ref="J207">IFERROR(
(IFERROR(INDEX(Calc_CPI_1[[CPI uplift factor]:[CPI uplift factor]],MATCH($C207,Calc_CPI_1[[Cost item]:[Cost item]],0),1),0)+
INDEX(Input_ForRateCalc[[F-CurrentVDO_InputDate]:[F-NextVDO_Input]],MATCH(Calc_WholesaleRES_1[[#This Row],[Cost item]:[Cost item]]&amp;" - "&amp;Calc_WholesaleRES_1[[#Headers],[Powercor]],Input_ForRateCalc[[Cost item]:[Cost item]],0),MATCH($D$5,Inputs!$H$8:$Q$8,0)))/1000,"-")</f>
        <v>4.1999999999999996E-4</v>
      </c>
      <c r="K207" s="56" cm="1">
        <f t="array" ref="K207">IFERROR(
(IFERROR(INDEX(Calc_CPI_1[[CPI uplift factor]:[CPI uplift factor]],MATCH($C207,Calc_CPI_1[[Cost item]:[Cost item]],0),1),0)+
INDEX(Input_ForRateCalc[[F-CurrentVDO_InputDate]:[F-NextVDO_Input]],MATCH(Calc_WholesaleRES_1[[#This Row],[Cost item]:[Cost item]]&amp;" - "&amp;Calc_WholesaleRES_1[[#Headers],[United Energy]],Input_ForRateCalc[[Cost item]:[Cost item]],0),MATCH($D$5,Inputs!$H$8:$Q$8,0)))/1000,"-")</f>
        <v>4.8999999999999998E-4</v>
      </c>
    </row>
    <row r="208" spans="1:11" outlineLevel="2" x14ac:dyDescent="0.35">
      <c r="C208" s="40" t="s">
        <v>285</v>
      </c>
      <c r="D208" s="40" t="s">
        <v>124</v>
      </c>
      <c r="E208" s="40" t="s">
        <v>284</v>
      </c>
      <c r="F208" s="21" t="s">
        <v>88</v>
      </c>
      <c r="G208" s="61">
        <f>IFERROR(G206+G207,"-")</f>
        <v>9.4499999999999987E-2</v>
      </c>
      <c r="H208" s="61">
        <f t="shared" ref="H208:K208" si="44">IFERROR(H206+H207,"-")</f>
        <v>8.931E-2</v>
      </c>
      <c r="I208" s="61">
        <f t="shared" si="44"/>
        <v>9.8250000000000004E-2</v>
      </c>
      <c r="J208" s="61">
        <f t="shared" si="44"/>
        <v>9.2450000000000004E-2</v>
      </c>
      <c r="K208" s="61">
        <f t="shared" si="44"/>
        <v>9.8670000000000008E-2</v>
      </c>
    </row>
    <row r="209" spans="1:11" outlineLevel="2" x14ac:dyDescent="0.35"/>
    <row r="210" spans="1:11" ht="15.5" outlineLevel="2" x14ac:dyDescent="0.35">
      <c r="C210" s="26" t="s">
        <v>309</v>
      </c>
    </row>
    <row r="211" spans="1:11" ht="15.5" outlineLevel="2" x14ac:dyDescent="0.35">
      <c r="C211" s="39" t="s">
        <v>42</v>
      </c>
      <c r="D211" s="39" t="s">
        <v>94</v>
      </c>
      <c r="E211" s="39" t="s">
        <v>95</v>
      </c>
      <c r="F211" s="39" t="s">
        <v>87</v>
      </c>
      <c r="G211" s="55" t="s">
        <v>270</v>
      </c>
      <c r="H211" s="55" t="s">
        <v>271</v>
      </c>
      <c r="I211" s="55" t="s">
        <v>272</v>
      </c>
      <c r="J211" s="55" t="s">
        <v>273</v>
      </c>
      <c r="K211" s="55" t="s">
        <v>274</v>
      </c>
    </row>
    <row r="212" spans="1:11" outlineLevel="2" x14ac:dyDescent="0.35">
      <c r="C212" s="21" t="s">
        <v>310</v>
      </c>
      <c r="D212" s="21" t="s">
        <v>124</v>
      </c>
      <c r="E212" s="21" t="s">
        <v>284</v>
      </c>
      <c r="F212" s="21" t="s">
        <v>89</v>
      </c>
      <c r="G212" s="56" cm="1">
        <f t="array" ref="G212">IFERROR(
(IFERROR(INDEX(Calc_CPI_1[[CPI uplift factor]:[CPI uplift factor]],MATCH($C212,Calc_CPI_1[[Cost item]:[Cost item]],0),1),0)+
INDEX(Input_ForRateCalc[[F-CurrentVDO_InputDate]:[F-NextVDO_Input]],MATCH(Calc_WholesaleSME_1[[#This Row],[Cost item]:[Cost item]]&amp;" - "&amp;Calc_WholesaleSME_1[[#Headers],[Ausnet]],Input_ForRateCalc[[Cost item]:[Cost item]],0),MATCH($D$5,Inputs!$H$8:$Q$8,0)))/1000,"-")</f>
        <v>8.2280000000000006E-2</v>
      </c>
      <c r="H212" s="56" cm="1">
        <f t="array" ref="H212">IFERROR(
(IFERROR(INDEX(Calc_CPI_1[[CPI uplift factor]:[CPI uplift factor]],MATCH($C212,Calc_CPI_1[[Cost item]:[Cost item]],0),1),0)+
INDEX(Input_ForRateCalc[[F-CurrentVDO_InputDate]:[F-NextVDO_Input]],MATCH(Calc_WholesaleSME_1[[#This Row],[Cost item]:[Cost item]]&amp;" - "&amp;Calc_WholesaleSME_1[[#Headers],[Citipower]],Input_ForRateCalc[[Cost item]:[Cost item]],0),MATCH($D$5,Inputs!$H$8:$Q$8,0)))/1000,"-")</f>
        <v>8.5080000000000003E-2</v>
      </c>
      <c r="I212" s="56" cm="1">
        <f t="array" ref="I212">IFERROR(
(IFERROR(INDEX(Calc_CPI_1[[CPI uplift factor]:[CPI uplift factor]],MATCH($C212,Calc_CPI_1[[Cost item]:[Cost item]],0),1),0)+
INDEX(Input_ForRateCalc[[F-CurrentVDO_InputDate]:[F-NextVDO_Input]],MATCH(Calc_WholesaleSME_1[[#This Row],[Cost item]:[Cost item]]&amp;" - "&amp;Calc_WholesaleSME_1[[#Headers],[Jemena]],Input_ForRateCalc[[Cost item]:[Cost item]],0),MATCH($D$5,Inputs!$H$8:$Q$8,0)))/1000,"-")</f>
        <v>8.4510000000000002E-2</v>
      </c>
      <c r="J212" s="56" cm="1">
        <f t="array" ref="J212">IFERROR(
(IFERROR(INDEX(Calc_CPI_1[[CPI uplift factor]:[CPI uplift factor]],MATCH($C212,Calc_CPI_1[[Cost item]:[Cost item]],0),1),0)+
INDEX(Input_ForRateCalc[[F-CurrentVDO_InputDate]:[F-NextVDO_Input]],MATCH(Calc_WholesaleSME_1[[#This Row],[Cost item]:[Cost item]]&amp;" - "&amp;Calc_WholesaleSME_1[[#Headers],[Powercor]],Input_ForRateCalc[[Cost item]:[Cost item]],0),MATCH($D$5,Inputs!$H$8:$Q$8,0)))/1000,"-")</f>
        <v>8.0110000000000001E-2</v>
      </c>
      <c r="K212" s="56" cm="1">
        <f t="array" ref="K212">IFERROR(
(IFERROR(INDEX(Calc_CPI_1[[CPI uplift factor]:[CPI uplift factor]],MATCH($C212,Calc_CPI_1[[Cost item]:[Cost item]],0),1),0)+
INDEX(Input_ForRateCalc[[F-CurrentVDO_InputDate]:[F-NextVDO_Input]],MATCH(Calc_WholesaleSME_1[[#This Row],[Cost item]:[Cost item]]&amp;" - "&amp;Calc_WholesaleSME_1[[#Headers],[United Energy]],Input_ForRateCalc[[Cost item]:[Cost item]],0),MATCH($D$5,Inputs!$H$8:$Q$8,0)))/1000,"-")</f>
        <v>8.6629999999999999E-2</v>
      </c>
    </row>
    <row r="213" spans="1:11" outlineLevel="2" x14ac:dyDescent="0.35">
      <c r="C213" s="21" t="s">
        <v>311</v>
      </c>
      <c r="D213" s="21" t="s">
        <v>124</v>
      </c>
      <c r="E213" s="21" t="s">
        <v>284</v>
      </c>
      <c r="F213" s="21" t="s">
        <v>89</v>
      </c>
      <c r="G213" s="56" cm="1">
        <f t="array" ref="G213">IFERROR(
(IFERROR(INDEX(Calc_CPI_1[[CPI uplift factor]:[CPI uplift factor]],MATCH($C213,Calc_CPI_1[[Cost item]:[Cost item]],0),1),0)+
INDEX(Input_ForRateCalc[[F-CurrentVDO_InputDate]:[F-NextVDO_Input]],MATCH(Calc_WholesaleSME_1[[#This Row],[Cost item]:[Cost item]]&amp;" - "&amp;Calc_WholesaleSME_1[[#Headers],[Ausnet]],Input_ForRateCalc[[Cost item]:[Cost item]],0),MATCH($D$5,Inputs!$H$8:$Q$8,0)))/1000,"-")</f>
        <v>3.4000000000000002E-4</v>
      </c>
      <c r="H213" s="56" cm="1">
        <f t="array" ref="H213">IFERROR(
(IFERROR(INDEX(Calc_CPI_1[[CPI uplift factor]:[CPI uplift factor]],MATCH($C213,Calc_CPI_1[[Cost item]:[Cost item]],0),1),0)+
INDEX(Input_ForRateCalc[[F-CurrentVDO_InputDate]:[F-NextVDO_Input]],MATCH(Calc_WholesaleSME_1[[#This Row],[Cost item]:[Cost item]]&amp;" - "&amp;Calc_WholesaleSME_1[[#Headers],[Citipower]],Input_ForRateCalc[[Cost item]:[Cost item]],0),MATCH($D$5,Inputs!$H$8:$Q$8,0)))/1000,"-")</f>
        <v>4.0000000000000002E-4</v>
      </c>
      <c r="I213" s="56" cm="1">
        <f t="array" ref="I213">IFERROR(
(IFERROR(INDEX(Calc_CPI_1[[CPI uplift factor]:[CPI uplift factor]],MATCH($C213,Calc_CPI_1[[Cost item]:[Cost item]],0),1),0)+
INDEX(Input_ForRateCalc[[F-CurrentVDO_InputDate]:[F-NextVDO_Input]],MATCH(Calc_WholesaleSME_1[[#This Row],[Cost item]:[Cost item]]&amp;" - "&amp;Calc_WholesaleSME_1[[#Headers],[Jemena]],Input_ForRateCalc[[Cost item]:[Cost item]],0),MATCH($D$5,Inputs!$H$8:$Q$8,0)))/1000,"-")</f>
        <v>3.5999999999999997E-4</v>
      </c>
      <c r="J213" s="56" cm="1">
        <f t="array" ref="J213">IFERROR(
(IFERROR(INDEX(Calc_CPI_1[[CPI uplift factor]:[CPI uplift factor]],MATCH($C213,Calc_CPI_1[[Cost item]:[Cost item]],0),1),0)+
INDEX(Input_ForRateCalc[[F-CurrentVDO_InputDate]:[F-NextVDO_Input]],MATCH(Calc_WholesaleSME_1[[#This Row],[Cost item]:[Cost item]]&amp;" - "&amp;Calc_WholesaleSME_1[[#Headers],[Powercor]],Input_ForRateCalc[[Cost item]:[Cost item]],0),MATCH($D$5,Inputs!$H$8:$Q$8,0)))/1000,"-")</f>
        <v>3.1E-4</v>
      </c>
      <c r="K213" s="56" cm="1">
        <f t="array" ref="K213">IFERROR(
(IFERROR(INDEX(Calc_CPI_1[[CPI uplift factor]:[CPI uplift factor]],MATCH($C213,Calc_CPI_1[[Cost item]:[Cost item]],0),1),0)+
INDEX(Input_ForRateCalc[[F-CurrentVDO_InputDate]:[F-NextVDO_Input]],MATCH(Calc_WholesaleSME_1[[#This Row],[Cost item]:[Cost item]]&amp;" - "&amp;Calc_WholesaleSME_1[[#Headers],[United Energy]],Input_ForRateCalc[[Cost item]:[Cost item]],0),MATCH($D$5,Inputs!$H$8:$Q$8,0)))/1000,"-")</f>
        <v>4.0999999999999999E-4</v>
      </c>
    </row>
    <row r="214" spans="1:11" outlineLevel="2" x14ac:dyDescent="0.35">
      <c r="C214" s="40" t="s">
        <v>285</v>
      </c>
      <c r="D214" s="40" t="s">
        <v>124</v>
      </c>
      <c r="E214" s="40" t="s">
        <v>284</v>
      </c>
      <c r="F214" s="21" t="s">
        <v>89</v>
      </c>
      <c r="G214" s="61">
        <f>IFERROR(G212+G213,"-")</f>
        <v>8.2619999999999999E-2</v>
      </c>
      <c r="H214" s="61">
        <f t="shared" ref="H214:K214" si="45">IFERROR(H212+H213,"-")</f>
        <v>8.548E-2</v>
      </c>
      <c r="I214" s="61">
        <f t="shared" si="45"/>
        <v>8.4870000000000001E-2</v>
      </c>
      <c r="J214" s="61">
        <f t="shared" si="45"/>
        <v>8.0420000000000005E-2</v>
      </c>
      <c r="K214" s="61">
        <f t="shared" si="45"/>
        <v>8.7039999999999992E-2</v>
      </c>
    </row>
    <row r="215" spans="1:11" outlineLevel="2" x14ac:dyDescent="0.35"/>
    <row r="216" spans="1:11" ht="16" outlineLevel="1" collapsed="1" thickBot="1" x14ac:dyDescent="0.4">
      <c r="A216" s="2" t="s">
        <v>22</v>
      </c>
      <c r="B216" s="8">
        <f ca="1">MAX(B$3:B215)+0.1</f>
        <v>9.6999999999999975</v>
      </c>
      <c r="C216" s="25" t="s">
        <v>312</v>
      </c>
      <c r="D216" s="25"/>
      <c r="E216" s="25"/>
      <c r="F216" s="25"/>
      <c r="G216" s="25"/>
      <c r="H216" s="25"/>
      <c r="I216" s="25"/>
      <c r="J216" s="25"/>
      <c r="K216" s="25"/>
    </row>
    <row r="217" spans="1:11" outlineLevel="1" x14ac:dyDescent="0.35"/>
    <row r="218" spans="1:11" ht="15.5" outlineLevel="2" x14ac:dyDescent="0.35">
      <c r="C218" s="26" t="s">
        <v>313</v>
      </c>
    </row>
    <row r="219" spans="1:11" ht="15.5" outlineLevel="2" x14ac:dyDescent="0.35">
      <c r="C219" s="39" t="s">
        <v>42</v>
      </c>
      <c r="D219" s="39" t="s">
        <v>94</v>
      </c>
      <c r="E219" s="39" t="s">
        <v>95</v>
      </c>
      <c r="F219" s="39" t="s">
        <v>87</v>
      </c>
      <c r="G219" s="55" t="s">
        <v>270</v>
      </c>
      <c r="H219" s="55" t="s">
        <v>271</v>
      </c>
      <c r="I219" s="55" t="s">
        <v>272</v>
      </c>
      <c r="J219" s="55" t="s">
        <v>273</v>
      </c>
      <c r="K219" s="55" t="s">
        <v>274</v>
      </c>
    </row>
    <row r="220" spans="1:11" outlineLevel="2" x14ac:dyDescent="0.35">
      <c r="C220" s="21" t="s">
        <v>146</v>
      </c>
      <c r="D220" s="21" t="s">
        <v>124</v>
      </c>
      <c r="E220" s="21" t="s">
        <v>147</v>
      </c>
      <c r="F220" s="21" t="s">
        <v>103</v>
      </c>
      <c r="G220" s="56" cm="1">
        <f t="array" ref="G220">IFERROR(
(IFERROR(INDEX(Calc_CPI_1[[CPI uplift factor]:[CPI uplift factor]],MATCH($C220,Calc_CPI_1[[Cost item]:[Cost item]],0),1),0)+
INDEX(Input_ForRateCalc[[F-CurrentVDO_InputDate]:[F-NextVDO_Input]],MATCH(Calc_EnviroVEU_1[[#This Row],[Cost item]:[Cost item]],Input_ForRateCalc[[Cost item]:[Cost item]],0),MATCH($D$5,Inputs!$H$8:$Q$8,0))),"-")</f>
        <v>32.379354863483861</v>
      </c>
      <c r="H220" s="56" cm="1">
        <f t="array" ref="H220">IFERROR(
(IFERROR(INDEX(Calc_CPI_1[[CPI uplift factor]:[CPI uplift factor]],MATCH($C220,Calc_CPI_1[[Cost item]:[Cost item]],0),1),0)+
INDEX(Input_ForRateCalc[[F-CurrentVDO_InputDate]:[F-NextVDO_Input]],MATCH(Calc_EnviroVEU_1[[#This Row],[Cost item]:[Cost item]],Input_ForRateCalc[[Cost item]:[Cost item]],0),MATCH($D$5,Inputs!$H$8:$Q$8,0))),"-")</f>
        <v>32.379354863483861</v>
      </c>
      <c r="I220" s="56" cm="1">
        <f t="array" ref="I220">IFERROR(
(IFERROR(INDEX(Calc_CPI_1[[CPI uplift factor]:[CPI uplift factor]],MATCH($C220,Calc_CPI_1[[Cost item]:[Cost item]],0),1),0)+
INDEX(Input_ForRateCalc[[F-CurrentVDO_InputDate]:[F-NextVDO_Input]],MATCH(Calc_EnviroVEU_1[[#This Row],[Cost item]:[Cost item]],Input_ForRateCalc[[Cost item]:[Cost item]],0),MATCH($D$5,Inputs!$H$8:$Q$8,0))),"-")</f>
        <v>32.379354863483861</v>
      </c>
      <c r="J220" s="56" cm="1">
        <f t="array" ref="J220">IFERROR(
(IFERROR(INDEX(Calc_CPI_1[[CPI uplift factor]:[CPI uplift factor]],MATCH($C220,Calc_CPI_1[[Cost item]:[Cost item]],0),1),0)+
INDEX(Input_ForRateCalc[[F-CurrentVDO_InputDate]:[F-NextVDO_Input]],MATCH(Calc_EnviroVEU_1[[#This Row],[Cost item]:[Cost item]],Input_ForRateCalc[[Cost item]:[Cost item]],0),MATCH($D$5,Inputs!$H$8:$Q$8,0))),"-")</f>
        <v>32.379354863483861</v>
      </c>
      <c r="K220" s="56" cm="1">
        <f t="array" ref="K220">IFERROR(
(IFERROR(INDEX(Calc_CPI_1[[CPI uplift factor]:[CPI uplift factor]],MATCH($C220,Calc_CPI_1[[Cost item]:[Cost item]],0),1),0)+
INDEX(Input_ForRateCalc[[F-CurrentVDO_InputDate]:[F-NextVDO_Input]],MATCH(Calc_EnviroVEU_1[[#This Row],[Cost item]:[Cost item]],Input_ForRateCalc[[Cost item]:[Cost item]],0),MATCH($D$5,Inputs!$H$8:$Q$8,0))),"-")</f>
        <v>32.379354863483861</v>
      </c>
    </row>
    <row r="221" spans="1:11" outlineLevel="2" x14ac:dyDescent="0.35">
      <c r="C221" s="21" t="s">
        <v>150</v>
      </c>
      <c r="D221" s="21" t="s">
        <v>124</v>
      </c>
      <c r="E221" s="21" t="s">
        <v>151</v>
      </c>
      <c r="F221" s="21" t="s">
        <v>103</v>
      </c>
      <c r="G221" s="53" cm="1">
        <f t="array" ref="G221">IFERROR(
(IFERROR(INDEX(Calc_CPI_1[[CPI uplift factor]:[CPI uplift factor]],MATCH($C221,Calc_CPI_1[[Cost item]:[Cost item]],0),1),0)+
INDEX(Input_ForRateCalc[[F-CurrentVDO_InputDate]:[F-NextVDO_Input]],MATCH(Calc_EnviroVEU_1[[#This Row],[Cost item]:[Cost item]],Input_ForRateCalc[[Cost item]:[Cost item]],0),MATCH($D$5,Inputs!$H$8:$Q$8,0))),"-")</f>
        <v>0.17255000000000001</v>
      </c>
      <c r="H221" s="53" cm="1">
        <f t="array" ref="H221">IFERROR(
(IFERROR(INDEX(Calc_CPI_1[[CPI uplift factor]:[CPI uplift factor]],MATCH($C221,Calc_CPI_1[[Cost item]:[Cost item]],0),1),0)+
INDEX(Input_ForRateCalc[[F-CurrentVDO_InputDate]:[F-NextVDO_Input]],MATCH(Calc_EnviroVEU_1[[#This Row],[Cost item]:[Cost item]],Input_ForRateCalc[[Cost item]:[Cost item]],0),MATCH($D$5,Inputs!$H$8:$Q$8,0))),"-")</f>
        <v>0.17255000000000001</v>
      </c>
      <c r="I221" s="53" cm="1">
        <f t="array" ref="I221">IFERROR(
(IFERROR(INDEX(Calc_CPI_1[[CPI uplift factor]:[CPI uplift factor]],MATCH($C221,Calc_CPI_1[[Cost item]:[Cost item]],0),1),0)+
INDEX(Input_ForRateCalc[[F-CurrentVDO_InputDate]:[F-NextVDO_Input]],MATCH(Calc_EnviroVEU_1[[#This Row],[Cost item]:[Cost item]],Input_ForRateCalc[[Cost item]:[Cost item]],0),MATCH($D$5,Inputs!$H$8:$Q$8,0))),"-")</f>
        <v>0.17255000000000001</v>
      </c>
      <c r="J221" s="53" cm="1">
        <f t="array" ref="J221">IFERROR(
(IFERROR(INDEX(Calc_CPI_1[[CPI uplift factor]:[CPI uplift factor]],MATCH($C221,Calc_CPI_1[[Cost item]:[Cost item]],0),1),0)+
INDEX(Input_ForRateCalc[[F-CurrentVDO_InputDate]:[F-NextVDO_Input]],MATCH(Calc_EnviroVEU_1[[#This Row],[Cost item]:[Cost item]],Input_ForRateCalc[[Cost item]:[Cost item]],0),MATCH($D$5,Inputs!$H$8:$Q$8,0))),"-")</f>
        <v>0.17255000000000001</v>
      </c>
      <c r="K221" s="53" cm="1">
        <f t="array" ref="K221">IFERROR(
(IFERROR(INDEX(Calc_CPI_1[[CPI uplift factor]:[CPI uplift factor]],MATCH($C221,Calc_CPI_1[[Cost item]:[Cost item]],0),1),0)+
INDEX(Input_ForRateCalc[[F-CurrentVDO_InputDate]:[F-NextVDO_Input]],MATCH(Calc_EnviroVEU_1[[#This Row],[Cost item]:[Cost item]],Input_ForRateCalc[[Cost item]:[Cost item]],0),MATCH($D$5,Inputs!$H$8:$Q$8,0))),"-")</f>
        <v>0.17255000000000001</v>
      </c>
    </row>
    <row r="222" spans="1:11" outlineLevel="2" x14ac:dyDescent="0.35">
      <c r="C222" s="40" t="s">
        <v>314</v>
      </c>
      <c r="D222" s="40" t="s">
        <v>124</v>
      </c>
      <c r="E222" s="40" t="s">
        <v>284</v>
      </c>
      <c r="F222" s="21" t="s">
        <v>103</v>
      </c>
      <c r="G222" s="61">
        <f>IFERROR(
IFERROR(INDEX(Calc_CPI_1[CPI uplift factor],MATCH($C222,Calc_CPI_1[Cost item],0),1),0)+
(G220*G221)/1000,"-")</f>
        <v>5.5870576816941407E-3</v>
      </c>
      <c r="H222" s="61">
        <f>IFERROR(
IFERROR(INDEX(Calc_CPI_1[CPI uplift factor],MATCH($C222,Calc_CPI_1[Cost item],0),1),0)+
(H220*H221)/1000,"-")</f>
        <v>5.5870576816941407E-3</v>
      </c>
      <c r="I222" s="61">
        <f>IFERROR(
IFERROR(INDEX(Calc_CPI_1[CPI uplift factor],MATCH($C222,Calc_CPI_1[Cost item],0),1),0)+
(I220*I221)/1000,"-")</f>
        <v>5.5870576816941407E-3</v>
      </c>
      <c r="J222" s="61">
        <f>IFERROR(
IFERROR(INDEX(Calc_CPI_1[CPI uplift factor],MATCH($C222,Calc_CPI_1[Cost item],0),1),0)+
(J220*J221)/1000,"-")</f>
        <v>5.5870576816941407E-3</v>
      </c>
      <c r="K222" s="61">
        <f>IFERROR(
IFERROR(INDEX(Calc_CPI_1[CPI uplift factor],MATCH($C222,Calc_CPI_1[Cost item],0),1),0)+
(K220*K221)/1000,"-")</f>
        <v>5.5870576816941407E-3</v>
      </c>
    </row>
    <row r="223" spans="1:11" outlineLevel="2" x14ac:dyDescent="0.35"/>
    <row r="224" spans="1:11" ht="15.5" outlineLevel="2" x14ac:dyDescent="0.35">
      <c r="C224" s="26" t="s">
        <v>315</v>
      </c>
    </row>
    <row r="225" spans="3:11" ht="15.5" outlineLevel="2" x14ac:dyDescent="0.35">
      <c r="C225" s="39" t="s">
        <v>42</v>
      </c>
      <c r="D225" s="39" t="s">
        <v>94</v>
      </c>
      <c r="E225" s="39" t="s">
        <v>95</v>
      </c>
      <c r="F225" s="39" t="s">
        <v>87</v>
      </c>
      <c r="G225" s="55" t="s">
        <v>270</v>
      </c>
      <c r="H225" s="55" t="s">
        <v>271</v>
      </c>
      <c r="I225" s="55" t="s">
        <v>272</v>
      </c>
      <c r="J225" s="55" t="s">
        <v>273</v>
      </c>
      <c r="K225" s="55" t="s">
        <v>274</v>
      </c>
    </row>
    <row r="226" spans="3:11" outlineLevel="2" x14ac:dyDescent="0.35">
      <c r="C226" s="21" t="s">
        <v>148</v>
      </c>
      <c r="D226" s="21" t="s">
        <v>124</v>
      </c>
      <c r="E226" s="21" t="s">
        <v>147</v>
      </c>
      <c r="F226" s="21" t="s">
        <v>103</v>
      </c>
      <c r="G226" s="56" cm="1">
        <f t="array" ref="G226">IFERROR(
(IFERROR(INDEX(Calc_CPI_1[[CPI uplift factor]:[CPI uplift factor]],MATCH($C226,Calc_CPI_1[[Cost item]:[Cost item]],0),1),0)+
INDEX(Input_ForRateCalc[[F-CurrentVDO_InputDate]:[F-NextVDO_Input]],MATCH(Calc_EnviroLRET_1[[#This Row],[Cost item]:[Cost item]],Input_ForRateCalc[[Cost item]:[Cost item]],0),MATCH($D$5,Inputs!$H$8:$Q$8,0))),"-")</f>
        <v>35.75</v>
      </c>
      <c r="H226" s="56" cm="1">
        <f t="array" ref="H226">IFERROR(
(IFERROR(INDEX(Calc_CPI_1[[CPI uplift factor]:[CPI uplift factor]],MATCH($C226,Calc_CPI_1[[Cost item]:[Cost item]],0),1),0)+
INDEX(Input_ForRateCalc[[F-CurrentVDO_InputDate]:[F-NextVDO_Input]],MATCH(Calc_EnviroLRET_1[[#This Row],[Cost item]:[Cost item]],Input_ForRateCalc[[Cost item]:[Cost item]],0),MATCH($D$5,Inputs!$H$8:$Q$8,0))),"-")</f>
        <v>35.75</v>
      </c>
      <c r="I226" s="56" cm="1">
        <f t="array" ref="I226">IFERROR(
(IFERROR(INDEX(Calc_CPI_1[[CPI uplift factor]:[CPI uplift factor]],MATCH($C226,Calc_CPI_1[[Cost item]:[Cost item]],0),1),0)+
INDEX(Input_ForRateCalc[[F-CurrentVDO_InputDate]:[F-NextVDO_Input]],MATCH(Calc_EnviroLRET_1[[#This Row],[Cost item]:[Cost item]],Input_ForRateCalc[[Cost item]:[Cost item]],0),MATCH($D$5,Inputs!$H$8:$Q$8,0))),"-")</f>
        <v>35.75</v>
      </c>
      <c r="J226" s="56" cm="1">
        <f t="array" ref="J226">IFERROR(
(IFERROR(INDEX(Calc_CPI_1[[CPI uplift factor]:[CPI uplift factor]],MATCH($C226,Calc_CPI_1[[Cost item]:[Cost item]],0),1),0)+
INDEX(Input_ForRateCalc[[F-CurrentVDO_InputDate]:[F-NextVDO_Input]],MATCH(Calc_EnviroLRET_1[[#This Row],[Cost item]:[Cost item]],Input_ForRateCalc[[Cost item]:[Cost item]],0),MATCH($D$5,Inputs!$H$8:$Q$8,0))),"-")</f>
        <v>35.75</v>
      </c>
      <c r="K226" s="56" cm="1">
        <f t="array" ref="K226">IFERROR(
(IFERROR(INDEX(Calc_CPI_1[[CPI uplift factor]:[CPI uplift factor]],MATCH($C226,Calc_CPI_1[[Cost item]:[Cost item]],0),1),0)+
INDEX(Input_ForRateCalc[[F-CurrentVDO_InputDate]:[F-NextVDO_Input]],MATCH(Calc_EnviroLRET_1[[#This Row],[Cost item]:[Cost item]],Input_ForRateCalc[[Cost item]:[Cost item]],0),MATCH($D$5,Inputs!$H$8:$Q$8,0))),"-")</f>
        <v>35.75</v>
      </c>
    </row>
    <row r="227" spans="3:11" outlineLevel="2" x14ac:dyDescent="0.35">
      <c r="C227" s="21" t="s">
        <v>152</v>
      </c>
      <c r="D227" s="21" t="s">
        <v>124</v>
      </c>
      <c r="E227" s="21" t="s">
        <v>151</v>
      </c>
      <c r="F227" s="21" t="s">
        <v>103</v>
      </c>
      <c r="G227" s="53" cm="1">
        <f t="array" ref="G227">IFERROR(
(IFERROR(INDEX(Calc_CPI_1[[CPI uplift factor]:[CPI uplift factor]],MATCH($C227,Calc_CPI_1[[Cost item]:[Cost item]],0),1),0)+
INDEX(Input_ForRateCalc[[F-CurrentVDO_InputDate]:[F-NextVDO_Input]],MATCH(Calc_EnviroLRET_1[[#This Row],[Cost item]:[Cost item]],Input_ForRateCalc[[Cost item]:[Cost item]],0),MATCH($D$5,Inputs!$H$8:$Q$8,0))),"-")</f>
        <v>0.17764411838867972</v>
      </c>
      <c r="H227" s="53" cm="1">
        <f t="array" ref="H227">IFERROR(
(IFERROR(INDEX(Calc_CPI_1[[CPI uplift factor]:[CPI uplift factor]],MATCH($C227,Calc_CPI_1[[Cost item]:[Cost item]],0),1),0)+
INDEX(Input_ForRateCalc[[F-CurrentVDO_InputDate]:[F-NextVDO_Input]],MATCH(Calc_EnviroLRET_1[[#This Row],[Cost item]:[Cost item]],Input_ForRateCalc[[Cost item]:[Cost item]],0),MATCH($D$5,Inputs!$H$8:$Q$8,0))),"-")</f>
        <v>0.17764411838867972</v>
      </c>
      <c r="I227" s="53" cm="1">
        <f t="array" ref="I227">IFERROR(
(IFERROR(INDEX(Calc_CPI_1[[CPI uplift factor]:[CPI uplift factor]],MATCH($C227,Calc_CPI_1[[Cost item]:[Cost item]],0),1),0)+
INDEX(Input_ForRateCalc[[F-CurrentVDO_InputDate]:[F-NextVDO_Input]],MATCH(Calc_EnviroLRET_1[[#This Row],[Cost item]:[Cost item]],Input_ForRateCalc[[Cost item]:[Cost item]],0),MATCH($D$5,Inputs!$H$8:$Q$8,0))),"-")</f>
        <v>0.17764411838867972</v>
      </c>
      <c r="J227" s="53" cm="1">
        <f t="array" ref="J227">IFERROR(
(IFERROR(INDEX(Calc_CPI_1[[CPI uplift factor]:[CPI uplift factor]],MATCH($C227,Calc_CPI_1[[Cost item]:[Cost item]],0),1),0)+
INDEX(Input_ForRateCalc[[F-CurrentVDO_InputDate]:[F-NextVDO_Input]],MATCH(Calc_EnviroLRET_1[[#This Row],[Cost item]:[Cost item]],Input_ForRateCalc[[Cost item]:[Cost item]],0),MATCH($D$5,Inputs!$H$8:$Q$8,0))),"-")</f>
        <v>0.17764411838867972</v>
      </c>
      <c r="K227" s="53" cm="1">
        <f t="array" ref="K227">IFERROR(
(IFERROR(INDEX(Calc_CPI_1[[CPI uplift factor]:[CPI uplift factor]],MATCH($C227,Calc_CPI_1[[Cost item]:[Cost item]],0),1),0)+
INDEX(Input_ForRateCalc[[F-CurrentVDO_InputDate]:[F-NextVDO_Input]],MATCH(Calc_EnviroLRET_1[[#This Row],[Cost item]:[Cost item]],Input_ForRateCalc[[Cost item]:[Cost item]],0),MATCH($D$5,Inputs!$H$8:$Q$8,0))),"-")</f>
        <v>0.17764411838867972</v>
      </c>
    </row>
    <row r="228" spans="3:11" outlineLevel="2" x14ac:dyDescent="0.35">
      <c r="C228" s="40" t="s">
        <v>316</v>
      </c>
      <c r="D228" s="40" t="s">
        <v>124</v>
      </c>
      <c r="E228" s="40" t="s">
        <v>284</v>
      </c>
      <c r="F228" s="21" t="s">
        <v>103</v>
      </c>
      <c r="G228" s="61">
        <f>IFERROR(
IFERROR(INDEX(Calc_CPI_1[CPI uplift factor],MATCH($C228,Calc_CPI_1[Cost item],0),1),0)+
(G226*G227)/1000,"-")</f>
        <v>6.3507772323953002E-3</v>
      </c>
      <c r="H228" s="61">
        <f>IFERROR(
IFERROR(INDEX(Calc_CPI_1[CPI uplift factor],MATCH($C228,Calc_CPI_1[Cost item],0),1),0)+
(H226*H227)/1000,"-")</f>
        <v>6.3507772323953002E-3</v>
      </c>
      <c r="I228" s="61">
        <f>IFERROR(
IFERROR(INDEX(Calc_CPI_1[CPI uplift factor],MATCH($C228,Calc_CPI_1[Cost item],0),1),0)+
(I226*I227)/1000,"-")</f>
        <v>6.3507772323953002E-3</v>
      </c>
      <c r="J228" s="61">
        <f>IFERROR(
IFERROR(INDEX(Calc_CPI_1[CPI uplift factor],MATCH($C228,Calc_CPI_1[Cost item],0),1),0)+
(J226*J227)/1000,"-")</f>
        <v>6.3507772323953002E-3</v>
      </c>
      <c r="K228" s="61">
        <f>IFERROR(
IFERROR(INDEX(Calc_CPI_1[CPI uplift factor],MATCH($C228,Calc_CPI_1[Cost item],0),1),0)+
(K226*K227)/1000,"-")</f>
        <v>6.3507772323953002E-3</v>
      </c>
    </row>
    <row r="229" spans="3:11" outlineLevel="2" x14ac:dyDescent="0.35"/>
    <row r="230" spans="3:11" ht="15.5" outlineLevel="2" x14ac:dyDescent="0.35">
      <c r="C230" s="26" t="s">
        <v>317</v>
      </c>
    </row>
    <row r="231" spans="3:11" ht="15.5" outlineLevel="2" x14ac:dyDescent="0.35">
      <c r="C231" s="39" t="s">
        <v>42</v>
      </c>
      <c r="D231" s="39" t="s">
        <v>94</v>
      </c>
      <c r="E231" s="39" t="s">
        <v>95</v>
      </c>
      <c r="F231" s="39" t="s">
        <v>87</v>
      </c>
      <c r="G231" s="55" t="s">
        <v>270</v>
      </c>
      <c r="H231" s="55" t="s">
        <v>271</v>
      </c>
      <c r="I231" s="55" t="s">
        <v>272</v>
      </c>
      <c r="J231" s="55" t="s">
        <v>273</v>
      </c>
      <c r="K231" s="55" t="s">
        <v>274</v>
      </c>
    </row>
    <row r="232" spans="3:11" outlineLevel="2" x14ac:dyDescent="0.35">
      <c r="C232" s="21" t="s">
        <v>149</v>
      </c>
      <c r="D232" s="21" t="s">
        <v>124</v>
      </c>
      <c r="E232" s="21" t="s">
        <v>147</v>
      </c>
      <c r="F232" s="21" t="s">
        <v>103</v>
      </c>
      <c r="G232" s="56" cm="1">
        <f t="array" ref="G232">IFERROR(
(IFERROR(INDEX(Calc_CPI_1[[CPI uplift factor]:[CPI uplift factor]],MATCH($C232,Calc_CPI_1[[Cost item]:[Cost item]],0),1),0)+
INDEX(Input_ForRateCalc[[F-CurrentVDO_InputDate]:[F-NextVDO_Input]],MATCH(Calc_EnviroSRES_1[[#This Row],[Cost item]:[Cost item]],Input_ForRateCalc[[Cost item]:[Cost item]],0),MATCH($D$5,Inputs!$H$8:$Q$8,0))),"-")</f>
        <v>40</v>
      </c>
      <c r="H232" s="56" cm="1">
        <f t="array" ref="H232">IFERROR(
(IFERROR(INDEX(Calc_CPI_1[[CPI uplift factor]:[CPI uplift factor]],MATCH($C232,Calc_CPI_1[[Cost item]:[Cost item]],0),1),0)+
INDEX(Input_ForRateCalc[[F-CurrentVDO_InputDate]:[F-NextVDO_Input]],MATCH(Calc_EnviroSRES_1[[#This Row],[Cost item]:[Cost item]],Input_ForRateCalc[[Cost item]:[Cost item]],0),MATCH($D$5,Inputs!$H$8:$Q$8,0))),"-")</f>
        <v>40</v>
      </c>
      <c r="I232" s="56" cm="1">
        <f t="array" ref="I232">IFERROR(
(IFERROR(INDEX(Calc_CPI_1[[CPI uplift factor]:[CPI uplift factor]],MATCH($C232,Calc_CPI_1[[Cost item]:[Cost item]],0),1),0)+
INDEX(Input_ForRateCalc[[F-CurrentVDO_InputDate]:[F-NextVDO_Input]],MATCH(Calc_EnviroSRES_1[[#This Row],[Cost item]:[Cost item]],Input_ForRateCalc[[Cost item]:[Cost item]],0),MATCH($D$5,Inputs!$H$8:$Q$8,0))),"-")</f>
        <v>40</v>
      </c>
      <c r="J232" s="56" cm="1">
        <f t="array" ref="J232">IFERROR(
(IFERROR(INDEX(Calc_CPI_1[[CPI uplift factor]:[CPI uplift factor]],MATCH($C232,Calc_CPI_1[[Cost item]:[Cost item]],0),1),0)+
INDEX(Input_ForRateCalc[[F-CurrentVDO_InputDate]:[F-NextVDO_Input]],MATCH(Calc_EnviroSRES_1[[#This Row],[Cost item]:[Cost item]],Input_ForRateCalc[[Cost item]:[Cost item]],0),MATCH($D$5,Inputs!$H$8:$Q$8,0))),"-")</f>
        <v>40</v>
      </c>
      <c r="K232" s="56" cm="1">
        <f t="array" ref="K232">IFERROR(
(IFERROR(INDEX(Calc_CPI_1[[CPI uplift factor]:[CPI uplift factor]],MATCH($C232,Calc_CPI_1[[Cost item]:[Cost item]],0),1),0)+
INDEX(Input_ForRateCalc[[F-CurrentVDO_InputDate]:[F-NextVDO_Input]],MATCH(Calc_EnviroSRES_1[[#This Row],[Cost item]:[Cost item]],Input_ForRateCalc[[Cost item]:[Cost item]],0),MATCH($D$5,Inputs!$H$8:$Q$8,0))),"-")</f>
        <v>40</v>
      </c>
    </row>
    <row r="233" spans="3:11" outlineLevel="2" x14ac:dyDescent="0.35">
      <c r="C233" s="21" t="s">
        <v>153</v>
      </c>
      <c r="D233" s="21" t="s">
        <v>124</v>
      </c>
      <c r="E233" s="21" t="s">
        <v>151</v>
      </c>
      <c r="F233" s="21" t="s">
        <v>103</v>
      </c>
      <c r="G233" s="53" cm="1">
        <f t="array" ref="G233">IFERROR(
(IFERROR(INDEX(Calc_CPI_1[[CPI uplift factor]:[CPI uplift factor]],MATCH($C233,Calc_CPI_1[[Cost item]:[Cost item]],0),1),0)+
INDEX(Input_ForRateCalc[[F-CurrentVDO_InputDate]:[F-NextVDO_Input]],MATCH(Calc_EnviroSRES_1[[#This Row],[Cost item]:[Cost item]],Input_ForRateCalc[[Cost item]:[Cost item]],0),MATCH($D$5,Inputs!$H$8:$Q$8,0))),"-")</f>
        <v>0.28149999999999997</v>
      </c>
      <c r="H233" s="53" cm="1">
        <f t="array" ref="H233">IFERROR(
(IFERROR(INDEX(Calc_CPI_1[[CPI uplift factor]:[CPI uplift factor]],MATCH($C233,Calc_CPI_1[[Cost item]:[Cost item]],0),1),0)+
INDEX(Input_ForRateCalc[[F-CurrentVDO_InputDate]:[F-NextVDO_Input]],MATCH(Calc_EnviroSRES_1[[#This Row],[Cost item]:[Cost item]],Input_ForRateCalc[[Cost item]:[Cost item]],0),MATCH($D$5,Inputs!$H$8:$Q$8,0))),"-")</f>
        <v>0.28149999999999997</v>
      </c>
      <c r="I233" s="53" cm="1">
        <f t="array" ref="I233">IFERROR(
(IFERROR(INDEX(Calc_CPI_1[[CPI uplift factor]:[CPI uplift factor]],MATCH($C233,Calc_CPI_1[[Cost item]:[Cost item]],0),1),0)+
INDEX(Input_ForRateCalc[[F-CurrentVDO_InputDate]:[F-NextVDO_Input]],MATCH(Calc_EnviroSRES_1[[#This Row],[Cost item]:[Cost item]],Input_ForRateCalc[[Cost item]:[Cost item]],0),MATCH($D$5,Inputs!$H$8:$Q$8,0))),"-")</f>
        <v>0.28149999999999997</v>
      </c>
      <c r="J233" s="53" cm="1">
        <f t="array" ref="J233">IFERROR(
(IFERROR(INDEX(Calc_CPI_1[[CPI uplift factor]:[CPI uplift factor]],MATCH($C233,Calc_CPI_1[[Cost item]:[Cost item]],0),1),0)+
INDEX(Input_ForRateCalc[[F-CurrentVDO_InputDate]:[F-NextVDO_Input]],MATCH(Calc_EnviroSRES_1[[#This Row],[Cost item]:[Cost item]],Input_ForRateCalc[[Cost item]:[Cost item]],0),MATCH($D$5,Inputs!$H$8:$Q$8,0))),"-")</f>
        <v>0.28149999999999997</v>
      </c>
      <c r="K233" s="53" cm="1">
        <f t="array" ref="K233">IFERROR(
(IFERROR(INDEX(Calc_CPI_1[[CPI uplift factor]:[CPI uplift factor]],MATCH($C233,Calc_CPI_1[[Cost item]:[Cost item]],0),1),0)+
INDEX(Input_ForRateCalc[[F-CurrentVDO_InputDate]:[F-NextVDO_Input]],MATCH(Calc_EnviroSRES_1[[#This Row],[Cost item]:[Cost item]],Input_ForRateCalc[[Cost item]:[Cost item]],0),MATCH($D$5,Inputs!$H$8:$Q$8,0))),"-")</f>
        <v>0.28149999999999997</v>
      </c>
    </row>
    <row r="234" spans="3:11" outlineLevel="2" x14ac:dyDescent="0.35">
      <c r="C234" s="40" t="s">
        <v>318</v>
      </c>
      <c r="D234" s="40" t="s">
        <v>124</v>
      </c>
      <c r="E234" s="40" t="s">
        <v>284</v>
      </c>
      <c r="F234" s="21" t="s">
        <v>103</v>
      </c>
      <c r="G234" s="61">
        <f>IFERROR(
IFERROR(INDEX(Calc_CPI_1[CPI uplift factor],MATCH($C234,Calc_CPI_1[Cost item],0),1),0)+
(G232*G233)/1000,"-")</f>
        <v>1.1259999999999997E-2</v>
      </c>
      <c r="H234" s="61">
        <f>IFERROR(
IFERROR(INDEX(Calc_CPI_1[CPI uplift factor],MATCH($C234,Calc_CPI_1[Cost item],0),1),0)+
(H232*H233)/1000,"-")</f>
        <v>1.1259999999999997E-2</v>
      </c>
      <c r="I234" s="61">
        <f>IFERROR(
IFERROR(INDEX(Calc_CPI_1[CPI uplift factor],MATCH($C234,Calc_CPI_1[Cost item],0),1),0)+
(I232*I233)/1000,"-")</f>
        <v>1.1259999999999997E-2</v>
      </c>
      <c r="J234" s="61">
        <f>IFERROR(
IFERROR(INDEX(Calc_CPI_1[CPI uplift factor],MATCH($C234,Calc_CPI_1[Cost item],0),1),0)+
(J232*J233)/1000,"-")</f>
        <v>1.1259999999999997E-2</v>
      </c>
      <c r="K234" s="61">
        <f>IFERROR(
IFERROR(INDEX(Calc_CPI_1[CPI uplift factor],MATCH($C234,Calc_CPI_1[Cost item],0),1),0)+
(K232*K233)/1000,"-")</f>
        <v>1.1259999999999997E-2</v>
      </c>
    </row>
    <row r="235" spans="3:11" outlineLevel="2" x14ac:dyDescent="0.35"/>
    <row r="236" spans="3:11" ht="15.5" outlineLevel="2" x14ac:dyDescent="0.35">
      <c r="C236" s="26" t="s">
        <v>319</v>
      </c>
    </row>
    <row r="237" spans="3:11" ht="15.5" outlineLevel="2" x14ac:dyDescent="0.35">
      <c r="C237" s="39" t="s">
        <v>42</v>
      </c>
      <c r="D237" s="39" t="s">
        <v>94</v>
      </c>
      <c r="E237" s="39" t="s">
        <v>95</v>
      </c>
      <c r="F237" s="39" t="s">
        <v>87</v>
      </c>
      <c r="G237" s="55" t="s">
        <v>270</v>
      </c>
      <c r="H237" s="55" t="s">
        <v>271</v>
      </c>
      <c r="I237" s="55" t="s">
        <v>272</v>
      </c>
      <c r="J237" s="55" t="s">
        <v>273</v>
      </c>
      <c r="K237" s="55" t="s">
        <v>274</v>
      </c>
    </row>
    <row r="238" spans="3:11" outlineLevel="2" x14ac:dyDescent="0.35">
      <c r="C238" s="40" t="s">
        <v>109</v>
      </c>
      <c r="D238" s="40" t="s">
        <v>101</v>
      </c>
      <c r="E238" s="21" t="s">
        <v>102</v>
      </c>
      <c r="F238" s="21" t="s">
        <v>103</v>
      </c>
      <c r="G238" s="56" cm="1">
        <f t="array" ref="G238">IFERROR(
(IFERROR(INDEX(Calc_CPI_1[[CPI uplift factor]:[CPI uplift factor]],MATCH($C238,Calc_CPI_1[[Cost item]:[Cost item]],0),1),0)+
INDEX(Input_ForRateCalc[[F-CurrentVDO_InputDate]:[F-NextVDO_Input]],MATCH(Calc_FiT_1[[#This Row],[Cost item]:[Cost item]],Input_ForRateCalc[[Cost item]:[Cost item]],0),MATCH($D$5,Inputs!$H$8:$Q$8,0))),"-")</f>
        <v>10.849248189087444</v>
      </c>
      <c r="H238" s="56" cm="1">
        <f t="array" ref="H238">IFERROR(
(IFERROR(INDEX(Calc_CPI_1[[CPI uplift factor]:[CPI uplift factor]],MATCH($C238,Calc_CPI_1[[Cost item]:[Cost item]],0),1),0)+
INDEX(Input_ForRateCalc[[F-CurrentVDO_InputDate]:[F-NextVDO_Input]],MATCH(Calc_FiT_1[[#This Row],[Cost item]:[Cost item]],Input_ForRateCalc[[Cost item]:[Cost item]],0),MATCH($D$5,Inputs!$H$8:$Q$8,0))),"-")</f>
        <v>10.849248189087444</v>
      </c>
      <c r="I238" s="56" cm="1">
        <f t="array" ref="I238">IFERROR(
(IFERROR(INDEX(Calc_CPI_1[[CPI uplift factor]:[CPI uplift factor]],MATCH($C238,Calc_CPI_1[[Cost item]:[Cost item]],0),1),0)+
INDEX(Input_ForRateCalc[[F-CurrentVDO_InputDate]:[F-NextVDO_Input]],MATCH(Calc_FiT_1[[#This Row],[Cost item]:[Cost item]],Input_ForRateCalc[[Cost item]:[Cost item]],0),MATCH($D$5,Inputs!$H$8:$Q$8,0))),"-")</f>
        <v>10.849248189087444</v>
      </c>
      <c r="J238" s="56" cm="1">
        <f t="array" ref="J238">IFERROR(
(IFERROR(INDEX(Calc_CPI_1[[CPI uplift factor]:[CPI uplift factor]],MATCH($C238,Calc_CPI_1[[Cost item]:[Cost item]],0),1),0)+
INDEX(Input_ForRateCalc[[F-CurrentVDO_InputDate]:[F-NextVDO_Input]],MATCH(Calc_FiT_1[[#This Row],[Cost item]:[Cost item]],Input_ForRateCalc[[Cost item]:[Cost item]],0),MATCH($D$5,Inputs!$H$8:$Q$8,0))),"-")</f>
        <v>10.849248189087444</v>
      </c>
      <c r="K238" s="56" cm="1">
        <f t="array" ref="K238">IFERROR(
(IFERROR(INDEX(Calc_CPI_1[[CPI uplift factor]:[CPI uplift factor]],MATCH($C238,Calc_CPI_1[[Cost item]:[Cost item]],0),1),0)+
INDEX(Input_ForRateCalc[[F-CurrentVDO_InputDate]:[F-NextVDO_Input]],MATCH(Calc_FiT_1[[#This Row],[Cost item]:[Cost item]],Input_ForRateCalc[[Cost item]:[Cost item]],0),MATCH($D$5,Inputs!$H$8:$Q$8,0))),"-")</f>
        <v>10.849248189087444</v>
      </c>
    </row>
    <row r="239" spans="3:11" outlineLevel="2" x14ac:dyDescent="0.35"/>
    <row r="240" spans="3:11" outlineLevel="1" collapsed="1" x14ac:dyDescent="0.35"/>
    <row r="241" spans="1:11" ht="15" customHeight="1" x14ac:dyDescent="0.35"/>
    <row r="244" spans="1:11" ht="15.5" x14ac:dyDescent="0.35">
      <c r="B244"/>
      <c r="C244" s="51" t="s">
        <v>93</v>
      </c>
      <c r="D244" s="84" t="s">
        <v>359</v>
      </c>
    </row>
    <row r="245" spans="1:11" outlineLevel="1" x14ac:dyDescent="0.35">
      <c r="B245"/>
    </row>
    <row r="246" spans="1:11" ht="16" outlineLevel="1" thickBot="1" x14ac:dyDescent="0.4">
      <c r="A246" s="2" t="s">
        <v>22</v>
      </c>
      <c r="B246" s="8">
        <f ca="1">MAX(B$3:B245)+0.1</f>
        <v>9.7999999999999972</v>
      </c>
      <c r="C246" s="25" t="s">
        <v>268</v>
      </c>
      <c r="D246" s="25"/>
      <c r="E246" s="25"/>
      <c r="F246" s="25"/>
      <c r="G246" s="25"/>
      <c r="H246" s="25"/>
      <c r="I246" s="25"/>
      <c r="J246" s="25"/>
      <c r="K246" s="25"/>
    </row>
    <row r="247" spans="1:11" outlineLevel="1" x14ac:dyDescent="0.35">
      <c r="B247"/>
      <c r="I247" s="75"/>
    </row>
    <row r="248" spans="1:11" ht="15.5" outlineLevel="2" x14ac:dyDescent="0.35">
      <c r="B248"/>
      <c r="C248" s="39" t="s">
        <v>269</v>
      </c>
      <c r="D248" s="39" t="s">
        <v>94</v>
      </c>
      <c r="E248" s="39" t="s">
        <v>95</v>
      </c>
      <c r="F248" s="39" t="s">
        <v>87</v>
      </c>
      <c r="G248" s="55" t="s">
        <v>270</v>
      </c>
      <c r="H248" s="55" t="s">
        <v>271</v>
      </c>
      <c r="I248" s="55" t="s">
        <v>272</v>
      </c>
      <c r="J248" s="55" t="s">
        <v>273</v>
      </c>
      <c r="K248" s="55" t="s">
        <v>274</v>
      </c>
    </row>
    <row r="249" spans="1:11" outlineLevel="2" x14ac:dyDescent="0.35">
      <c r="B249"/>
      <c r="C249" s="21" t="s">
        <v>99</v>
      </c>
      <c r="D249" s="21" t="s">
        <v>101</v>
      </c>
      <c r="E249" s="21" t="s">
        <v>102</v>
      </c>
      <c r="F249" s="21" t="s">
        <v>103</v>
      </c>
      <c r="G249" s="62">
        <f>SUMIFS(Calc_Retail_2[Ausnet],Calc_Retail_2[[Fixed/Variable]:[Fixed/Variable]],$D249,Calc_Retail_2[[Customer type]:[Customer type]],$F249)</f>
        <v>181.75878095302619</v>
      </c>
      <c r="H249" s="62">
        <f>SUMIFS(Calc_Retail_2[Citipower],Calc_Retail_2[[Fixed/Variable]:[Fixed/Variable]],$D249,Calc_Retail_2[[Customer type]:[Customer type]],$F249)</f>
        <v>181.75878095302619</v>
      </c>
      <c r="I249" s="62">
        <f>SUMIFS(Calc_Retail_2[Jemena],Calc_Retail_2[[Fixed/Variable]:[Fixed/Variable]],$D249,Calc_Retail_2[[Customer type]:[Customer type]],$F249)</f>
        <v>181.75878095302619</v>
      </c>
      <c r="J249" s="62">
        <f>SUMIFS(Calc_Retail_2[Powercor],Calc_Retail_2[[Fixed/Variable]:[Fixed/Variable]],$D249,Calc_Retail_2[[Customer type]:[Customer type]],$F249)</f>
        <v>181.75878095302619</v>
      </c>
      <c r="K249" s="62">
        <f>SUMIFS(Calc_Retail_2[United Energy],Calc_Retail_2[[Fixed/Variable]:[Fixed/Variable]],$D249,Calc_Retail_2[[Customer type]:[Customer type]],$F249)</f>
        <v>181.75878095302619</v>
      </c>
    </row>
    <row r="250" spans="1:11" outlineLevel="2" x14ac:dyDescent="0.35">
      <c r="B250"/>
      <c r="C250" s="21" t="s">
        <v>275</v>
      </c>
      <c r="D250" s="21" t="s">
        <v>101</v>
      </c>
      <c r="E250" s="21" t="s">
        <v>102</v>
      </c>
      <c r="F250" s="21" t="s">
        <v>103</v>
      </c>
      <c r="G250" s="66">
        <f>SUMIFS(Calc_OtherCosts_2[Ausnet],Calc_OtherCosts_2[[Fixed/Variable]:[Fixed/Variable]],$D250,Calc_OtherCosts_2[[Customer type]:[Customer type]],$F250)</f>
        <v>6.126692642408659</v>
      </c>
      <c r="H250" s="62">
        <f>SUMIFS(Calc_OtherCosts_2[Citipower],Calc_OtherCosts_2[[Fixed/Variable]:[Fixed/Variable]],$D250,Calc_OtherCosts_2[[Customer type]:[Customer type]],$F250)</f>
        <v>6.126692642408659</v>
      </c>
      <c r="I250" s="62">
        <f>SUMIFS(Calc_OtherCosts_2[Jemena],Calc_OtherCosts_2[[Fixed/Variable]:[Fixed/Variable]],$D250,Calc_OtherCosts_2[[Customer type]:[Customer type]],$F250)</f>
        <v>6.126692642408659</v>
      </c>
      <c r="J250" s="62">
        <f>SUMIFS(Calc_OtherCosts_2[Powercor],Calc_OtherCosts_2[[Fixed/Variable]:[Fixed/Variable]],$D250,Calc_OtherCosts_2[[Customer type]:[Customer type]],$F250)</f>
        <v>6.126692642408659</v>
      </c>
      <c r="K250" s="62">
        <f>SUMIFS(Calc_OtherCosts_2[United Energy],Calc_OtherCosts_2[[Fixed/Variable]:[Fixed/Variable]],$D250,Calc_OtherCosts_2[[Customer type]:[Customer type]],$F250)</f>
        <v>6.126692642408659</v>
      </c>
    </row>
    <row r="251" spans="1:11" outlineLevel="2" x14ac:dyDescent="0.35">
      <c r="B251"/>
      <c r="C251" s="21" t="s">
        <v>276</v>
      </c>
      <c r="D251" s="21" t="s">
        <v>101</v>
      </c>
      <c r="E251" s="21" t="s">
        <v>102</v>
      </c>
      <c r="F251" s="21" t="s">
        <v>103</v>
      </c>
      <c r="G251" s="62">
        <f>SUMIFS(Calc_FiT_2[Ausnet],Calc_FiT_2[[Fixed/Variable]:[Fixed/Variable]],$D251,Calc_FiT_2[[Customer type]:[Customer type]],$F251)</f>
        <v>10.849248189087444</v>
      </c>
      <c r="H251" s="62">
        <f>SUMIFS(Calc_FiT_2[Citipower],Calc_FiT_2[[Fixed/Variable]:[Fixed/Variable]],$D251,Calc_FiT_2[[Customer type]:[Customer type]],$F251)</f>
        <v>10.849248189087444</v>
      </c>
      <c r="I251" s="62">
        <f>SUMIFS(Calc_FiT_2[Jemena],Calc_FiT_2[[Fixed/Variable]:[Fixed/Variable]],$D251,Calc_FiT_2[[Customer type]:[Customer type]],$F251)</f>
        <v>10.849248189087444</v>
      </c>
      <c r="J251" s="62">
        <f>SUMIFS(Calc_FiT_2[Powercor],Calc_FiT_2[[Fixed/Variable]:[Fixed/Variable]],$D251,Calc_FiT_2[[Customer type]:[Customer type]],$F251)</f>
        <v>10.849248189087444</v>
      </c>
      <c r="K251" s="62">
        <f>SUMIFS(Calc_FiT_2[United Energy],Calc_FiT_2[[Fixed/Variable]:[Fixed/Variable]],$D251,Calc_FiT_2[[Customer type]:[Customer type]],$F251)</f>
        <v>10.849248189087444</v>
      </c>
    </row>
    <row r="252" spans="1:11" outlineLevel="2" x14ac:dyDescent="0.35">
      <c r="B252"/>
      <c r="C252" s="21" t="s">
        <v>277</v>
      </c>
      <c r="D252" s="21" t="s">
        <v>101</v>
      </c>
      <c r="E252" s="21" t="s">
        <v>102</v>
      </c>
      <c r="F252" s="21" t="s">
        <v>103</v>
      </c>
      <c r="G252" s="62">
        <f>SUMIFS(Calc_NetworkF_2[Ausnet],Calc_NetworkF_2[[Fixed/Variable]:[Fixed/Variable]],$D252,Calc_NetworkF_2[[Customer type]:[Customer type]],$F252)</f>
        <v>63.7</v>
      </c>
      <c r="H252" s="62">
        <f>SUMIFS(Calc_NetworkF_2[Citipower],Calc_NetworkF_2[[Fixed/Variable]:[Fixed/Variable]],$D252,Calc_NetworkF_2[[Customer type]:[Customer type]],$F252)</f>
        <v>59.4</v>
      </c>
      <c r="I252" s="62">
        <f>SUMIFS(Calc_NetworkF_2[Jemena],Calc_NetworkF_2[[Fixed/Variable]:[Fixed/Variable]],$D252,Calc_NetworkF_2[[Customer type]:[Customer type]],$F252)</f>
        <v>54.19</v>
      </c>
      <c r="J252" s="62">
        <f>SUMIFS(Calc_NetworkF_2[Powercor],Calc_NetworkF_2[[Fixed/Variable]:[Fixed/Variable]],$D252,Calc_NetworkF_2[[Customer type]:[Customer type]],$F252)</f>
        <v>58</v>
      </c>
      <c r="K252" s="62">
        <f>SUMIFS(Calc_NetworkF_2[United Energy],Calc_NetworkF_2[[Fixed/Variable]:[Fixed/Variable]],$D252,Calc_NetworkF_2[[Customer type]:[Customer type]],$F252)</f>
        <v>42.92</v>
      </c>
    </row>
    <row r="253" spans="1:11" outlineLevel="2" x14ac:dyDescent="0.35">
      <c r="B253"/>
    </row>
    <row r="254" spans="1:11" ht="15.5" outlineLevel="2" x14ac:dyDescent="0.35">
      <c r="B254"/>
      <c r="C254" s="26" t="s">
        <v>278</v>
      </c>
    </row>
    <row r="255" spans="1:11" ht="15.5" outlineLevel="2" x14ac:dyDescent="0.35">
      <c r="B255"/>
      <c r="C255" s="69" t="s">
        <v>380</v>
      </c>
    </row>
    <row r="256" spans="1:11" outlineLevel="2" x14ac:dyDescent="0.35">
      <c r="B256"/>
      <c r="C256" s="21" t="s">
        <v>289</v>
      </c>
      <c r="D256" s="21" t="s">
        <v>9</v>
      </c>
      <c r="E256" s="21" t="s">
        <v>102</v>
      </c>
      <c r="F256" s="21" t="s">
        <v>88</v>
      </c>
      <c r="G256" s="56">
        <f>SUMIFS(Calc_NetworkF_2[Ausnet],Calc_NetworkF_2[[Cost item]:[Cost item]],$C255,Calc_NetworkF_2[[Customer type]:[Customer type]],$F256)</f>
        <v>111.11</v>
      </c>
      <c r="H256" s="56">
        <f>SUMIFS(Calc_NetworkF_2[Citipower],Calc_NetworkF_2[[Cost item]:[Cost item]],$C255,Calc_NetworkF_2[[Customer type]:[Customer type]],$F256)</f>
        <v>90.009</v>
      </c>
      <c r="I256" s="56">
        <f>SUMIFS(Calc_NetworkF_2[Jemena],Calc_NetworkF_2[[Cost item]:[Cost item]],$C255,Calc_NetworkF_2[[Customer type]:[Customer type]],$F256)</f>
        <v>82.195999999999998</v>
      </c>
      <c r="J256" s="56">
        <f>SUMIFS(Calc_NetworkF_2[Powercor],Calc_NetworkF_2[[Cost item]:[Cost item]],$C255,Calc_NetworkF_2[[Customer type]:[Customer type]],$F256)</f>
        <v>139.97749999999999</v>
      </c>
      <c r="K256" s="56">
        <f>SUMIFS(Calc_NetworkF_2[United Energy],Calc_NetworkF_2[[Cost item]:[Cost item]],$C255,Calc_NetworkF_2[[Customer type]:[Customer type]],$F256)</f>
        <v>80.007999999999996</v>
      </c>
    </row>
    <row r="257" spans="2:11" outlineLevel="2" x14ac:dyDescent="0.35">
      <c r="B257"/>
      <c r="C257" s="21" t="s">
        <v>269</v>
      </c>
      <c r="D257" s="21" t="s">
        <v>9</v>
      </c>
      <c r="E257" s="21" t="s">
        <v>102</v>
      </c>
      <c r="F257" s="21" t="s">
        <v>88</v>
      </c>
      <c r="G257" s="62">
        <f>IF(G256=0,"-",SUMIFS(Calc_Fixed_2[Ausnet],Calc_Fixed_2[Customer type],"All")+SUMIFS(Calc_Fixed_2[Ausnet],Calc_Fixed_2[Customer type],$F257))</f>
        <v>262.43472178452231</v>
      </c>
      <c r="H257" s="62">
        <f>IF(H256=0,"-",SUMIFS(Calc_Fixed_2[Citipower],Calc_Fixed_2[[Customer type]:[Customer type]],"All")+SUMIFS(Calc_Fixed_2[Citipower],Calc_Fixed_2[[Customer type]:[Customer type]],$F258))</f>
        <v>258.1347217845223</v>
      </c>
      <c r="I257" s="62">
        <f>IF(I256=0,"-",SUMIFS(Calc_Fixed_2[Jemena],Calc_Fixed_2[[Customer type]:[Customer type]],"All")+SUMIFS(Calc_Fixed_2[Jemena],Calc_Fixed_2[[Customer type]:[Customer type]],$F258))</f>
        <v>252.92472178452229</v>
      </c>
      <c r="J257" s="62">
        <f>IF(J256=0,"-",SUMIFS(Calc_Fixed_2[Powercor],Calc_Fixed_2[[Customer type]:[Customer type]],"All")+SUMIFS(Calc_Fixed_2[Powercor],Calc_Fixed_2[[Customer type]:[Customer type]],$F258))</f>
        <v>256.73472178452232</v>
      </c>
      <c r="K257" s="62">
        <f>IF(K256=0,"-",SUMIFS(Calc_Fixed_2[United Energy],Calc_Fixed_2[[Customer type]:[Customer type]],"All")+SUMIFS(Calc_Fixed_2[United Energy],Calc_Fixed_2[[Customer type]:[Customer type]],$F258))</f>
        <v>241.65472178452228</v>
      </c>
    </row>
    <row r="258" spans="2:11" outlineLevel="2" x14ac:dyDescent="0.35">
      <c r="B258"/>
      <c r="C258" s="21" t="s">
        <v>197</v>
      </c>
      <c r="D258" s="21" t="s">
        <v>9</v>
      </c>
      <c r="E258" s="21" t="s">
        <v>102</v>
      </c>
      <c r="F258" s="21" t="s">
        <v>88</v>
      </c>
      <c r="G258" s="62" cm="1">
        <f t="array" ref="G258">IF(G256=0,"-",(G256+G257)*Calc_ROM_2[Ausnet])</f>
        <v>22.56210119578515</v>
      </c>
      <c r="H258" s="62" cm="1">
        <f t="array" ref="H258">IF(H256=0,"-",(H256+H257)*Calc_ROM_2[Citipower])</f>
        <v>21.027880795785148</v>
      </c>
      <c r="I258" s="62" cm="1">
        <f t="array" ref="I258">IF(I256=0,"-",(I256+I257)*Calc_ROM_2[Jemena])</f>
        <v>20.241291595785146</v>
      </c>
      <c r="J258" s="62" cm="1">
        <f t="array" ref="J258">IF(J256=0,"-",(J256+J257)*Calc_ROM_2[Powercor])</f>
        <v>23.961418195785146</v>
      </c>
      <c r="K258" s="62" cm="1">
        <f t="array" ref="K258">IF(K256=0,"-",(K256+K257)*Calc_ROM_2[United Energy])</f>
        <v>19.428428395785144</v>
      </c>
    </row>
    <row r="259" spans="2:11" outlineLevel="2" x14ac:dyDescent="0.35">
      <c r="B259"/>
      <c r="C259" s="21" t="s">
        <v>279</v>
      </c>
      <c r="D259" s="21" t="s">
        <v>9</v>
      </c>
      <c r="E259" s="21" t="s">
        <v>102</v>
      </c>
      <c r="F259" s="21" t="s">
        <v>88</v>
      </c>
      <c r="G259" s="62">
        <f>IF(G256=0,"-",(G256+G257+G258)*GST)</f>
        <v>39.610682298030753</v>
      </c>
      <c r="H259" s="62">
        <f>IF(H256=0,"-",(H256+H257+H258)*GST)</f>
        <v>36.917160258030748</v>
      </c>
      <c r="I259" s="62">
        <f>IF(I256=0,"-",(I256+I257+I258)*GST)</f>
        <v>35.536201338030743</v>
      </c>
      <c r="J259" s="62">
        <f>IF(J256=0,"-",(J256+J257+J258)*GST)</f>
        <v>42.067363998030743</v>
      </c>
      <c r="K259" s="62">
        <f>IF(K256=0,"-",(K256+K257+K258)*GST)</f>
        <v>34.109115018030742</v>
      </c>
    </row>
    <row r="260" spans="2:11" outlineLevel="2" x14ac:dyDescent="0.35">
      <c r="B260"/>
      <c r="C260" s="21" t="s">
        <v>280</v>
      </c>
      <c r="D260" s="21" t="s">
        <v>9</v>
      </c>
      <c r="E260" s="21" t="s">
        <v>102</v>
      </c>
      <c r="F260" s="21" t="s">
        <v>88</v>
      </c>
      <c r="G260" s="62">
        <f>IF(G256=0,"-",G256+G257+G258+G259)</f>
        <v>435.71750527833819</v>
      </c>
      <c r="H260" s="62">
        <f t="shared" ref="H260" si="46">IF(H256=0,"-",H256+H257+H258+H259)</f>
        <v>406.0887628383382</v>
      </c>
      <c r="I260" s="62">
        <f t="shared" ref="I260" si="47">IF(I256=0,"-",I256+I257+I258+I259)</f>
        <v>390.89821471833818</v>
      </c>
      <c r="J260" s="62">
        <f t="shared" ref="J260" si="48">IF(J256=0,"-",J256+J257+J258+J259)</f>
        <v>462.7410039783382</v>
      </c>
      <c r="K260" s="62">
        <f t="shared" ref="K260" si="49">IF(K256=0,"-",K256+K257+K258+K259)</f>
        <v>375.20026519833817</v>
      </c>
    </row>
    <row r="261" spans="2:11" outlineLevel="2" x14ac:dyDescent="0.35">
      <c r="B261"/>
      <c r="C261" s="21" t="str">
        <f>C255</f>
        <v>Anytime - supply charge</v>
      </c>
      <c r="D261" s="21" t="s">
        <v>9</v>
      </c>
      <c r="E261" s="21" t="s">
        <v>102</v>
      </c>
      <c r="F261" s="21" t="s">
        <v>88</v>
      </c>
      <c r="G261" s="63">
        <f>IF(G256=0,"-",G260/DiY)</f>
        <v>1.1937465898036663</v>
      </c>
      <c r="H261" s="63">
        <f>IF(H256=0,"-",H260/DiY)</f>
        <v>1.1125719529817484</v>
      </c>
      <c r="I261" s="63">
        <f>IF(I256=0,"-",I260/DiY)</f>
        <v>1.0709540129269539</v>
      </c>
      <c r="J261" s="63">
        <f>IF(J256=0,"-",J260/DiY)</f>
        <v>1.2677835725433924</v>
      </c>
      <c r="K261" s="63">
        <f>IF(K256=0,"-",K260/DiY)</f>
        <v>1.0279459320502415</v>
      </c>
    </row>
    <row r="262" spans="2:11" outlineLevel="2" x14ac:dyDescent="0.35">
      <c r="B262"/>
      <c r="G262" s="88" cm="1">
        <f t="array" ref="G262">IF(G256=0,"-",
IF($D$244='Lookup refs'!$D$23,
IF(G261=INDEX(RateCheck_VDO2021F[[Ausnet]:[United Energy]],MATCH(Calc_Rates!$C261&amp;"_"&amp;Calc_Rates!$F261,RateCheck_VDO2021F[[Rate]:[Rate]],0),MATCH(Calc_Rates!G$9,RateCheck_VDO2021F[[#Headers],[Ausnet]:[United Energy]],0)),0,1),
IF(G261=(((SUMIFS(Calc_NetworkF_2[Ausnet],Calc_NetworkF_2[[Cost item]:[Cost item]],$C255,Calc_NetworkF_2[[Customer type]:[Customer type]],$F256)+SUMIFS(Calc_Fixed_2[Ausnet],Calc_Fixed_2[[Customer type]:[Customer type]],Calc_Rates!$F261)+SUMIFS(Calc_Fixed_2[Ausnet],Calc_Fixed_2[[Customer type]:[Customer type]],"All"))*
(1+Calc_ROM_2[Ausnet]))*(1+GST))/DiY,0,1)))</f>
        <v>0</v>
      </c>
      <c r="H262" s="88" cm="1">
        <f t="array" ref="H262">IF(H256=0,"-",
IF($D$244='Lookup refs'!$D$23,
IF(H261=INDEX(RateCheck_VDO2021F[[Ausnet]:[United Energy]],MATCH(Calc_Rates!$C261&amp;"_"&amp;Calc_Rates!$F261,RateCheck_VDO2021F[[Rate]:[Rate]],0),MATCH(Calc_Rates!H$9,RateCheck_VDO2021F[[#Headers],[Ausnet]:[United Energy]],0)),0,1),
IF(H261=(((SUMIFS(Calc_NetworkF_2[Citipower],Calc_NetworkF_2[[Cost item]:[Cost item]],$C255,Calc_NetworkF_2[[Customer type]:[Customer type]],$F256)+SUMIFS(Calc_Fixed_2[Citipower],Calc_Fixed_2[[Customer type]:[Customer type]],Calc_Rates!$F261)+SUMIFS(Calc_Fixed_2[Citipower],Calc_Fixed_2[[Customer type]:[Customer type]],"All"))*
(1+Calc_ROM_2[Citipower]))*(1+GST))/DiY,0,1)))</f>
        <v>0</v>
      </c>
      <c r="I262" s="88" cm="1">
        <f t="array" ref="I262">IF(I256=0,"-",
IF($D$244='Lookup refs'!$D$23,
IF(I261=INDEX(RateCheck_VDO2021F[[Ausnet]:[United Energy]],MATCH(Calc_Rates!$C261&amp;"_"&amp;Calc_Rates!$F261,RateCheck_VDO2021F[[Rate]:[Rate]],0),MATCH(Calc_Rates!I$9,RateCheck_VDO2021F[[#Headers],[Ausnet]:[United Energy]],0)),0,1),
IF(I261=(((SUMIFS(Calc_NetworkF_2[Jemena],Calc_NetworkF_2[[Cost item]:[Cost item]],$C255,Calc_NetworkF_2[[Customer type]:[Customer type]],$F256)+SUMIFS(Calc_Fixed_2[Jemena],Calc_Fixed_2[[Customer type]:[Customer type]],Calc_Rates!$F261)+SUMIFS(Calc_Fixed_2[Jemena],Calc_Fixed_2[[Customer type]:[Customer type]],"All"))*
(1+Calc_ROM_2[Jemena]))*(1+GST))/DiY,0,1)))</f>
        <v>0</v>
      </c>
      <c r="J262" s="88" cm="1">
        <f t="array" ref="J262">IF(J256=0,"-",
IF($D$244='Lookup refs'!$D$23,
IF(J261=INDEX(RateCheck_VDO2021F[[Ausnet]:[United Energy]],MATCH(Calc_Rates!$C261&amp;"_"&amp;Calc_Rates!$F261,RateCheck_VDO2021F[[Rate]:[Rate]],0),MATCH(Calc_Rates!J$9,RateCheck_VDO2021F[[#Headers],[Ausnet]:[United Energy]],0)),0,1),
IF(J261=(((SUMIFS(Calc_NetworkF_2[Powercor],Calc_NetworkF_2[[Cost item]:[Cost item]],$C255,Calc_NetworkF_2[[Customer type]:[Customer type]],$F256)+SUMIFS(Calc_Fixed_2[Powercor],Calc_Fixed_2[[Customer type]:[Customer type]],Calc_Rates!$F261)+SUMIFS(Calc_Fixed_2[Powercor],Calc_Fixed_2[[Customer type]:[Customer type]],"All"))*
(1+Calc_ROM_2[Powercor]))*(1+GST))/DiY,0,1)))</f>
        <v>0</v>
      </c>
      <c r="K262" s="88" cm="1">
        <f t="array" ref="K262">IF(K256=0,"-",
IF($D$244='Lookup refs'!$D$23,
IF(K261=INDEX(RateCheck_VDO2021F[[Ausnet]:[United Energy]],MATCH(Calc_Rates!$C261&amp;"_"&amp;Calc_Rates!$F261,RateCheck_VDO2021F[[Rate]:[Rate]],0),MATCH(Calc_Rates!K$9,RateCheck_VDO2021F[[#Headers],[Ausnet]:[United Energy]],0)),0,1),
IF(K261=(((SUMIFS(Calc_NetworkF_2[United Energy],Calc_NetworkF_2[[Cost item]:[Cost item]],$C255,Calc_NetworkF_2[[Customer type]:[Customer type]],$F256)+SUMIFS(Calc_Fixed_2[United Energy],Calc_Fixed_2[[Customer type]:[Customer type]],Calc_Rates!$F261)+SUMIFS(Calc_Fixed_2[United Energy],Calc_Fixed_2[[Customer type]:[Customer type]],"All"))*
(1+Calc_ROM_2[United Energy]))*(1+GST))/DiY,0,1)))</f>
        <v>0</v>
      </c>
    </row>
    <row r="263" spans="2:11" ht="15.5" outlineLevel="2" x14ac:dyDescent="0.35">
      <c r="B263"/>
      <c r="C263" s="69" t="s">
        <v>381</v>
      </c>
    </row>
    <row r="264" spans="2:11" outlineLevel="2" x14ac:dyDescent="0.35">
      <c r="B264"/>
      <c r="C264" s="21" t="s">
        <v>289</v>
      </c>
      <c r="D264" s="21" t="s">
        <v>9</v>
      </c>
      <c r="E264" s="21" t="s">
        <v>102</v>
      </c>
      <c r="F264" s="21" t="s">
        <v>88</v>
      </c>
      <c r="G264" s="56">
        <f>SUMIFS(Calc_NetworkF_2[Ausnet],Calc_NetworkF_2[[Cost item]:[Cost item]],$C263,Calc_NetworkF_2[[Customer type]:[Customer type]],$F264)</f>
        <v>111.11</v>
      </c>
      <c r="H264" s="56">
        <f>SUMIFS(Calc_NetworkF_2[Citipower],Calc_NetworkF_2[[Cost item]:[Cost item]],$C263,Calc_NetworkF_2[[Customer type]:[Customer type]],$F264)</f>
        <v>90.009</v>
      </c>
      <c r="I264" s="56">
        <f>SUMIFS(Calc_NetworkF_2[Jemena],Calc_NetworkF_2[[Cost item]:[Cost item]],$C263,Calc_NetworkF_2[[Customer type]:[Customer type]],$F264)</f>
        <v>82.195999999999998</v>
      </c>
      <c r="J264" s="56">
        <f>SUMIFS(Calc_NetworkF_2[Powercor],Calc_NetworkF_2[[Cost item]:[Cost item]],$C263,Calc_NetworkF_2[[Customer type]:[Customer type]],$F264)</f>
        <v>139.97749999999999</v>
      </c>
      <c r="K264" s="56">
        <f>SUMIFS(Calc_NetworkF_2[United Energy],Calc_NetworkF_2[[Cost item]:[Cost item]],$C263,Calc_NetworkF_2[[Customer type]:[Customer type]],$F264)</f>
        <v>80.007999999999996</v>
      </c>
    </row>
    <row r="265" spans="2:11" outlineLevel="2" x14ac:dyDescent="0.35">
      <c r="B265"/>
      <c r="C265" s="21" t="s">
        <v>269</v>
      </c>
      <c r="D265" s="21" t="s">
        <v>9</v>
      </c>
      <c r="E265" s="21" t="s">
        <v>102</v>
      </c>
      <c r="F265" s="21" t="s">
        <v>88</v>
      </c>
      <c r="G265" s="62">
        <f>IF(G264=0,"-",SUMIFS(Calc_Fixed_2[Ausnet],Calc_Fixed_2[[Customer type]:[Customer type]],"All")+SUMIFS(Calc_Fixed_2[Ausnet],Calc_Fixed_2[[Customer type]:[Customer type]],$F265))</f>
        <v>262.43472178452231</v>
      </c>
      <c r="H265" s="62">
        <f>IF(H264=0,"-",SUMIFS(Calc_Fixed_2[Citipower],Calc_Fixed_2[[Customer type]:[Customer type]],"All")+SUMIFS(Calc_Fixed_2[Citipower],Calc_Fixed_2[[Customer type]:[Customer type]],$F266))</f>
        <v>258.1347217845223</v>
      </c>
      <c r="I265" s="62">
        <f>IF(I264=0,"-",SUMIFS(Calc_Fixed_2[Jemena],Calc_Fixed_2[[Customer type]:[Customer type]],"All")+SUMIFS(Calc_Fixed_2[Jemena],Calc_Fixed_2[[Customer type]:[Customer type]],$F266))</f>
        <v>252.92472178452229</v>
      </c>
      <c r="J265" s="62">
        <f>IF(J264=0,"-",SUMIFS(Calc_Fixed_2[Powercor],Calc_Fixed_2[[Customer type]:[Customer type]],"All")+SUMIFS(Calc_Fixed_2[Powercor],Calc_Fixed_2[[Customer type]:[Customer type]],$F266))</f>
        <v>256.73472178452232</v>
      </c>
      <c r="K265" s="62">
        <f>IF(K264=0,"-",SUMIFS(Calc_Fixed_2[United Energy],Calc_Fixed_2[[Customer type]:[Customer type]],"All")+SUMIFS(Calc_Fixed_2[United Energy],Calc_Fixed_2[[Customer type]:[Customer type]],$F266))</f>
        <v>241.65472178452228</v>
      </c>
    </row>
    <row r="266" spans="2:11" outlineLevel="2" x14ac:dyDescent="0.35">
      <c r="B266"/>
      <c r="C266" s="21" t="s">
        <v>197</v>
      </c>
      <c r="D266" s="21" t="s">
        <v>9</v>
      </c>
      <c r="E266" s="21" t="s">
        <v>102</v>
      </c>
      <c r="F266" s="21" t="s">
        <v>88</v>
      </c>
      <c r="G266" s="62" cm="1">
        <f t="array" ref="G266">IF(G264=0,"-",(G264+G265)*Calc_ROM_2[Ausnet])</f>
        <v>22.56210119578515</v>
      </c>
      <c r="H266" s="62" cm="1">
        <f t="array" ref="H266">IF(H264=0,"-",(H264+H265)*Calc_ROM_2[Citipower])</f>
        <v>21.027880795785148</v>
      </c>
      <c r="I266" s="62" cm="1">
        <f t="array" ref="I266">IF(I264=0,"-",(I264+I265)*Calc_ROM_2[Jemena])</f>
        <v>20.241291595785146</v>
      </c>
      <c r="J266" s="62" cm="1">
        <f t="array" ref="J266">IF(J264=0,"-",(J264+J265)*Calc_ROM_2[Powercor])</f>
        <v>23.961418195785146</v>
      </c>
      <c r="K266" s="62" cm="1">
        <f t="array" ref="K266">IF(K264=0,"-",(K264+K265)*Calc_ROM_2[United Energy])</f>
        <v>19.428428395785144</v>
      </c>
    </row>
    <row r="267" spans="2:11" outlineLevel="2" x14ac:dyDescent="0.35">
      <c r="B267"/>
      <c r="C267" s="21" t="s">
        <v>279</v>
      </c>
      <c r="D267" s="21" t="s">
        <v>9</v>
      </c>
      <c r="E267" s="21" t="s">
        <v>102</v>
      </c>
      <c r="F267" s="21" t="s">
        <v>88</v>
      </c>
      <c r="G267" s="62">
        <f>IF(G264=0,"-",(G264+G265+G266)*GST)</f>
        <v>39.610682298030753</v>
      </c>
      <c r="H267" s="62">
        <f>IF(H264=0,"-",(H264+H265+H266)*GST)</f>
        <v>36.917160258030748</v>
      </c>
      <c r="I267" s="62">
        <f>IF(I264=0,"-",(I264+I265+I266)*GST)</f>
        <v>35.536201338030743</v>
      </c>
      <c r="J267" s="62">
        <f>IF(J264=0,"-",(J264+J265+J266)*GST)</f>
        <v>42.067363998030743</v>
      </c>
      <c r="K267" s="62">
        <f>IF(K264=0,"-",(K264+K265+K266)*GST)</f>
        <v>34.109115018030742</v>
      </c>
    </row>
    <row r="268" spans="2:11" outlineLevel="2" x14ac:dyDescent="0.35">
      <c r="B268"/>
      <c r="C268" s="21" t="s">
        <v>280</v>
      </c>
      <c r="D268" s="21" t="s">
        <v>9</v>
      </c>
      <c r="E268" s="21" t="s">
        <v>102</v>
      </c>
      <c r="F268" s="21" t="s">
        <v>88</v>
      </c>
      <c r="G268" s="62">
        <f>IF(G264=0,"-",G264+G265+G266+G267)</f>
        <v>435.71750527833819</v>
      </c>
      <c r="H268" s="62">
        <f t="shared" ref="H268" si="50">IF(H264=0,"-",H264+H265+H266+H267)</f>
        <v>406.0887628383382</v>
      </c>
      <c r="I268" s="62">
        <f t="shared" ref="I268" si="51">IF(I264=0,"-",I264+I265+I266+I267)</f>
        <v>390.89821471833818</v>
      </c>
      <c r="J268" s="62">
        <f t="shared" ref="J268" si="52">IF(J264=0,"-",J264+J265+J266+J267)</f>
        <v>462.7410039783382</v>
      </c>
      <c r="K268" s="62">
        <f t="shared" ref="K268" si="53">IF(K264=0,"-",K264+K265+K266+K267)</f>
        <v>375.20026519833817</v>
      </c>
    </row>
    <row r="269" spans="2:11" outlineLevel="2" x14ac:dyDescent="0.35">
      <c r="B269"/>
      <c r="C269" s="21" t="str">
        <f>C263</f>
        <v>TOU - supply charge</v>
      </c>
      <c r="D269" s="21" t="s">
        <v>9</v>
      </c>
      <c r="E269" s="21" t="s">
        <v>102</v>
      </c>
      <c r="F269" s="21" t="s">
        <v>88</v>
      </c>
      <c r="G269" s="63">
        <f>IF(G264=0,"-",G268/DiY)</f>
        <v>1.1937465898036663</v>
      </c>
      <c r="H269" s="63">
        <f>IF(H264=0,"-",H268/DiY)</f>
        <v>1.1125719529817484</v>
      </c>
      <c r="I269" s="63">
        <f>IF(I264=0,"-",I268/DiY)</f>
        <v>1.0709540129269539</v>
      </c>
      <c r="J269" s="63">
        <f>IF(J264=0,"-",J268/DiY)</f>
        <v>1.2677835725433924</v>
      </c>
      <c r="K269" s="63">
        <f>IF(K264=0,"-",K268/DiY)</f>
        <v>1.0279459320502415</v>
      </c>
    </row>
    <row r="270" spans="2:11" outlineLevel="2" x14ac:dyDescent="0.35">
      <c r="B270"/>
      <c r="G270" s="88" cm="1">
        <f t="array" ref="G270">IF(G264=0,"-",
IF($D$244='Lookup refs'!$D$23,
IF(G269=INDEX(RateCheck_VDO2021F[[Ausnet]:[United Energy]],MATCH(Calc_Rates!$C269&amp;"_"&amp;Calc_Rates!$F269,RateCheck_VDO2021F[[Rate]:[Rate]],0),MATCH(Calc_Rates!G$9,RateCheck_VDO2021F[[#Headers],[Ausnet]:[United Energy]],0)),0,1),
IF(G269=(((SUMIFS(Calc_NetworkF_2[Ausnet],Calc_NetworkF_2[[Cost item]:[Cost item]],$C263,Calc_NetworkF_2[[Customer type]:[Customer type]],$F264)+SUMIFS(Calc_Fixed_2[Ausnet],Calc_Fixed_2[[Customer type]:[Customer type]],Calc_Rates!$F269)+SUMIFS(Calc_Fixed_2[Ausnet],Calc_Fixed_2[[Customer type]:[Customer type]],"All"))*
(1+Calc_ROM_2[Ausnet]))*(1+GST))/DiY,0,1)))</f>
        <v>0</v>
      </c>
      <c r="H270" s="88" cm="1">
        <f t="array" ref="H270">IF(H264=0,"-",
IF($D$244='Lookup refs'!$D$23,
IF(H269=INDEX(RateCheck_VDO2021F[[Ausnet]:[United Energy]],MATCH(Calc_Rates!$C269&amp;"_"&amp;Calc_Rates!$F269,RateCheck_VDO2021F[[Rate]:[Rate]],0),MATCH(Calc_Rates!H$9,RateCheck_VDO2021F[[#Headers],[Ausnet]:[United Energy]],0)),0,1),
IF(H269=(((SUMIFS(Calc_NetworkF_2[Citipower],Calc_NetworkF_2[[Cost item]:[Cost item]],$C263,Calc_NetworkF_2[[Customer type]:[Customer type]],$F264)+SUMIFS(Calc_Fixed_2[Citipower],Calc_Fixed_2[[Customer type]:[Customer type]],Calc_Rates!$F269)+SUMIFS(Calc_Fixed_2[Citipower],Calc_Fixed_2[[Customer type]:[Customer type]],"All"))*
(1+Calc_ROM_2[Citipower]))*(1+GST))/DiY,0,1)))</f>
        <v>0</v>
      </c>
      <c r="I270" s="88" cm="1">
        <f t="array" ref="I270">IF(I264=0,"-",
IF($D$244='Lookup refs'!$D$23,
IF(I269=INDEX(RateCheck_VDO2021F[[Ausnet]:[United Energy]],MATCH(Calc_Rates!$C269&amp;"_"&amp;Calc_Rates!$F269,RateCheck_VDO2021F[[Rate]:[Rate]],0),MATCH(Calc_Rates!I$9,RateCheck_VDO2021F[[#Headers],[Ausnet]:[United Energy]],0)),0,1),
IF(I269=(((SUMIFS(Calc_NetworkF_2[Jemena],Calc_NetworkF_2[[Cost item]:[Cost item]],$C263,Calc_NetworkF_2[[Customer type]:[Customer type]],$F264)+SUMIFS(Calc_Fixed_2[Jemena],Calc_Fixed_2[[Customer type]:[Customer type]],Calc_Rates!$F269)+SUMIFS(Calc_Fixed_2[Jemena],Calc_Fixed_2[[Customer type]:[Customer type]],"All"))*
(1+Calc_ROM_2[Jemena]))*(1+GST))/DiY,0,1)))</f>
        <v>0</v>
      </c>
      <c r="J270" s="88" cm="1">
        <f t="array" ref="J270">IF(J264=0,"-",
IF($D$244='Lookup refs'!$D$23,
IF(J269=INDEX(RateCheck_VDO2021F[[Ausnet]:[United Energy]],MATCH(Calc_Rates!$C269&amp;"_"&amp;Calc_Rates!$F269,RateCheck_VDO2021F[[Rate]:[Rate]],0),MATCH(Calc_Rates!J$9,RateCheck_VDO2021F[[#Headers],[Ausnet]:[United Energy]],0)),0,1),
IF(J269=(((SUMIFS(Calc_NetworkF_2[Powercor],Calc_NetworkF_2[[Cost item]:[Cost item]],$C263,Calc_NetworkF_2[[Customer type]:[Customer type]],$F264)+SUMIFS(Calc_Fixed_2[Powercor],Calc_Fixed_2[[Customer type]:[Customer type]],Calc_Rates!$F269)+SUMIFS(Calc_Fixed_2[Powercor],Calc_Fixed_2[[Customer type]:[Customer type]],"All"))*
(1+Calc_ROM_2[Powercor]))*(1+GST))/DiY,0,1)))</f>
        <v>0</v>
      </c>
      <c r="K270" s="88" cm="1">
        <f t="array" ref="K270">IF(K264=0,"-",
IF($D$244='Lookup refs'!$D$23,
IF(K269=INDEX(RateCheck_VDO2021F[[Ausnet]:[United Energy]],MATCH(Calc_Rates!$C269&amp;"_"&amp;Calc_Rates!$F269,RateCheck_VDO2021F[[Rate]:[Rate]],0),MATCH(Calc_Rates!K$9,RateCheck_VDO2021F[[#Headers],[Ausnet]:[United Energy]],0)),0,1),
IF(K269=(((SUMIFS(Calc_NetworkF_2[United Energy],Calc_NetworkF_2[[Cost item]:[Cost item]],$C263,Calc_NetworkF_2[[Customer type]:[Customer type]],$F264)+SUMIFS(Calc_Fixed_2[United Energy],Calc_Fixed_2[[Customer type]:[Customer type]],Calc_Rates!$F269)+SUMIFS(Calc_Fixed_2[United Energy],Calc_Fixed_2[[Customer type]:[Customer type]],"All"))*
(1+Calc_ROM_2[United Energy]))*(1+GST))/DiY,0,1)))</f>
        <v>0</v>
      </c>
    </row>
    <row r="271" spans="2:11" ht="15.5" outlineLevel="2" x14ac:dyDescent="0.35">
      <c r="B271"/>
      <c r="C271" s="26" t="s">
        <v>281</v>
      </c>
    </row>
    <row r="272" spans="2:11" ht="15.5" outlineLevel="2" x14ac:dyDescent="0.35">
      <c r="B272"/>
      <c r="C272" s="69" t="s">
        <v>380</v>
      </c>
    </row>
    <row r="273" spans="2:11" outlineLevel="2" x14ac:dyDescent="0.35">
      <c r="B273"/>
      <c r="C273" s="21" t="s">
        <v>289</v>
      </c>
      <c r="D273" s="21" t="s">
        <v>9</v>
      </c>
      <c r="E273" s="21" t="s">
        <v>102</v>
      </c>
      <c r="F273" s="21" t="s">
        <v>89</v>
      </c>
      <c r="G273" s="56">
        <f>SUMIFS(Calc_NetworkF_2[Ausnet],Calc_NetworkF_2[[Cost item]:[Cost item]],$C272,Calc_NetworkF_2[[Customer type]:[Customer type]],$F273)</f>
        <v>111.11</v>
      </c>
      <c r="H273" s="56">
        <f>SUMIFS(Calc_NetworkF_2[Citipower],Calc_NetworkF_2[[Cost item]:[Cost item]],$C272,Calc_NetworkF_2[[Customer type]:[Customer type]],$F273)</f>
        <v>160.01599999999999</v>
      </c>
      <c r="I273" s="56">
        <f>SUMIFS(Calc_NetworkF_2[Jemena],Calc_NetworkF_2[[Cost item]:[Cost item]],$C272,Calc_NetworkF_2[[Customer type]:[Customer type]],$F273)</f>
        <v>134.46600000000001</v>
      </c>
      <c r="J273" s="56">
        <f>SUMIFS(Calc_NetworkF_2[Powercor],Calc_NetworkF_2[[Cost item]:[Cost item]],$C272,Calc_NetworkF_2[[Customer type]:[Customer type]],$F273)</f>
        <v>179.98150000000001</v>
      </c>
      <c r="K273" s="56">
        <f>SUMIFS(Calc_NetworkF_2[United Energy],Calc_NetworkF_2[[Cost item]:[Cost item]],$C272,Calc_NetworkF_2[[Customer type]:[Customer type]],$F273)</f>
        <v>120.01199999999999</v>
      </c>
    </row>
    <row r="274" spans="2:11" outlineLevel="2" x14ac:dyDescent="0.35">
      <c r="B274"/>
      <c r="C274" s="21" t="s">
        <v>269</v>
      </c>
      <c r="D274" s="21" t="s">
        <v>9</v>
      </c>
      <c r="E274" s="21" t="s">
        <v>102</v>
      </c>
      <c r="F274" s="21" t="s">
        <v>89</v>
      </c>
      <c r="G274" s="62">
        <f>IF(G273=0,"-",SUMIFS(Calc_Fixed_2[Ausnet],Calc_Fixed_2[[Customer type]:[Customer type]],"All")+SUMIFS(Calc_Fixed_2[Ausnet],Calc_Fixed_2[[Customer type]:[Customer type]],$F274))</f>
        <v>262.43472178452231</v>
      </c>
      <c r="H274" s="62">
        <f>IF(H273=0,"-",SUMIFS(Calc_Fixed_2[Citipower],Calc_Fixed_2[[Customer type]:[Customer type]],"All")+SUMIFS(Calc_Fixed_2[Citipower],Calc_Fixed_2[[Customer type]:[Customer type]],$F275))</f>
        <v>258.1347217845223</v>
      </c>
      <c r="I274" s="62">
        <f>IF(I273=0,"-",SUMIFS(Calc_Fixed_2[Jemena],Calc_Fixed_2[[Customer type]:[Customer type]],"All")+SUMIFS(Calc_Fixed_2[Jemena],Calc_Fixed_2[[Customer type]:[Customer type]],$F275))</f>
        <v>252.92472178452229</v>
      </c>
      <c r="J274" s="62">
        <f>IF(J273=0,"-",SUMIFS(Calc_Fixed_2[Powercor],Calc_Fixed_2[[Customer type]:[Customer type]],"All")+SUMIFS(Calc_Fixed_2[Powercor],Calc_Fixed_2[[Customer type]:[Customer type]],$F275))</f>
        <v>256.73472178452232</v>
      </c>
      <c r="K274" s="62">
        <f>IF(K273=0,"-",SUMIFS(Calc_Fixed_2[United Energy],Calc_Fixed_2[[Customer type]:[Customer type]],"All")+SUMIFS(Calc_Fixed_2[United Energy],Calc_Fixed_2[[Customer type]:[Customer type]],$F275))</f>
        <v>241.65472178452228</v>
      </c>
    </row>
    <row r="275" spans="2:11" outlineLevel="2" x14ac:dyDescent="0.35">
      <c r="B275"/>
      <c r="C275" s="21" t="s">
        <v>197</v>
      </c>
      <c r="D275" s="21" t="s">
        <v>9</v>
      </c>
      <c r="E275" s="21" t="s">
        <v>102</v>
      </c>
      <c r="F275" s="21" t="s">
        <v>89</v>
      </c>
      <c r="G275" s="62" cm="1">
        <f t="array" ref="G275">IF(G273=0,"-",(G273+G274)*Calc_ROM_2[Ausnet])</f>
        <v>22.56210119578515</v>
      </c>
      <c r="H275" s="62" cm="1">
        <f t="array" ref="H275">IF(H273=0,"-",(H273+H274)*Calc_ROM_2[Citipower])</f>
        <v>25.256303595785145</v>
      </c>
      <c r="I275" s="62" cm="1">
        <f t="array" ref="I275">IF(I273=0,"-",(I273+I274)*Calc_ROM_2[Jemena])</f>
        <v>23.398399595785147</v>
      </c>
      <c r="J275" s="62" cm="1">
        <f t="array" ref="J275">IF(J273=0,"-",(J273+J274)*Calc_ROM_2[Powercor])</f>
        <v>26.377659795785149</v>
      </c>
      <c r="K275" s="62" cm="1">
        <f t="array" ref="K275">IF(K273=0,"-",(K273+K274)*Calc_ROM_2[United Energy])</f>
        <v>21.844669995785146</v>
      </c>
    </row>
    <row r="276" spans="2:11" outlineLevel="2" x14ac:dyDescent="0.35">
      <c r="B276"/>
      <c r="C276" s="21" t="s">
        <v>279</v>
      </c>
      <c r="D276" s="21" t="s">
        <v>9</v>
      </c>
      <c r="E276" s="21" t="s">
        <v>102</v>
      </c>
      <c r="F276" s="21" t="s">
        <v>89</v>
      </c>
      <c r="G276" s="62">
        <f>IF(G273=0,"-",(G273+G274+G275)*GST)</f>
        <v>39.610682298030753</v>
      </c>
      <c r="H276" s="62">
        <f>IF(H273=0,"-",(H273+H274+H275)*GST)</f>
        <v>44.34070253803074</v>
      </c>
      <c r="I276" s="62">
        <f>IF(I273=0,"-",(I273+I274+I275)*GST)</f>
        <v>41.078912138030745</v>
      </c>
      <c r="J276" s="62">
        <f>IF(J273=0,"-",(J273+J274+J275)*GST)</f>
        <v>46.309388158030742</v>
      </c>
      <c r="K276" s="62">
        <f>IF(K273=0,"-",(K273+K274+K275)*GST)</f>
        <v>38.351139178030742</v>
      </c>
    </row>
    <row r="277" spans="2:11" outlineLevel="2" x14ac:dyDescent="0.35">
      <c r="B277"/>
      <c r="C277" s="21" t="s">
        <v>280</v>
      </c>
      <c r="D277" s="21" t="s">
        <v>9</v>
      </c>
      <c r="E277" s="21" t="s">
        <v>102</v>
      </c>
      <c r="F277" s="21" t="s">
        <v>89</v>
      </c>
      <c r="G277" s="62">
        <f>IF(G273=0,"-",G273+G274+G275+G276)</f>
        <v>435.71750527833819</v>
      </c>
      <c r="H277" s="62">
        <f t="shared" ref="H277" si="54">IF(H273=0,"-",H273+H274+H275+H276)</f>
        <v>487.74772791833811</v>
      </c>
      <c r="I277" s="62">
        <f t="shared" ref="I277" si="55">IF(I273=0,"-",I273+I274+I275+I276)</f>
        <v>451.86803351833817</v>
      </c>
      <c r="J277" s="62">
        <f t="shared" ref="J277" si="56">IF(J273=0,"-",J273+J274+J275+J276)</f>
        <v>509.40326973833817</v>
      </c>
      <c r="K277" s="62">
        <f t="shared" ref="K277" si="57">IF(K273=0,"-",K273+K274+K275+K276)</f>
        <v>421.86253095833814</v>
      </c>
    </row>
    <row r="278" spans="2:11" outlineLevel="2" x14ac:dyDescent="0.35">
      <c r="B278"/>
      <c r="C278" s="21" t="str">
        <f>C272</f>
        <v>Anytime - supply charge</v>
      </c>
      <c r="D278" s="21" t="s">
        <v>9</v>
      </c>
      <c r="E278" s="21" t="s">
        <v>102</v>
      </c>
      <c r="F278" s="21" t="s">
        <v>89</v>
      </c>
      <c r="G278" s="63">
        <f>IF(G273=0,"-",G277/DiY)</f>
        <v>1.1937465898036663</v>
      </c>
      <c r="H278" s="63">
        <f>IF(H273=0,"-",H277/DiY)</f>
        <v>1.3362951449817482</v>
      </c>
      <c r="I278" s="63">
        <f>IF(I273=0,"-",I277/DiY)</f>
        <v>1.2379946123790087</v>
      </c>
      <c r="J278" s="63">
        <f>IF(J273=0,"-",J277/DiY)</f>
        <v>1.3956253965433922</v>
      </c>
      <c r="K278" s="63">
        <f>IF(K273=0,"-",K277/DiY)</f>
        <v>1.1557877560502414</v>
      </c>
    </row>
    <row r="279" spans="2:11" outlineLevel="2" x14ac:dyDescent="0.35">
      <c r="B279"/>
      <c r="G279" s="88" cm="1">
        <f t="array" ref="G279">IF(G273=0,"-",
IF($D$244='Lookup refs'!$D$23,
IF(G278=INDEX(RateCheck_VDO2021F[[Ausnet]:[United Energy]],MATCH(Calc_Rates!$C278&amp;"_"&amp;Calc_Rates!$F278,RateCheck_VDO2021F[[Rate]:[Rate]],0),MATCH(Calc_Rates!G$9,RateCheck_VDO2021F[[#Headers],[Ausnet]:[United Energy]],0)),0,1),
IF(G278=(((SUMIFS(Calc_NetworkF_2[Ausnet],Calc_NetworkF_2[[Cost item]:[Cost item]],$C272,Calc_NetworkF_2[[Customer type]:[Customer type]],$F273)+SUMIFS(Calc_Fixed_2[Ausnet],Calc_Fixed_2[[Customer type]:[Customer type]],Calc_Rates!$F278)+SUMIFS(Calc_Fixed_2[Ausnet],Calc_Fixed_2[[Customer type]:[Customer type]],"All"))*
(1+Calc_ROM_2[Ausnet]))*(1+GST))/DiY,0,1)))</f>
        <v>0</v>
      </c>
      <c r="H279" s="88" cm="1">
        <f t="array" ref="H279">IF(H273=0,"-",
IF($D$244='Lookup refs'!$D$23,
IF(H278=INDEX(RateCheck_VDO2021F[[Ausnet]:[United Energy]],MATCH(Calc_Rates!$C278&amp;"_"&amp;Calc_Rates!$F278,RateCheck_VDO2021F[[Rate]:[Rate]],0),MATCH(Calc_Rates!H$9,RateCheck_VDO2021F[[#Headers],[Ausnet]:[United Energy]],0)),0,1),
IF(H278=(((SUMIFS(Calc_NetworkF_2[Citipower],Calc_NetworkF_2[[Cost item]:[Cost item]],$C272,Calc_NetworkF_2[[Customer type]:[Customer type]],$F273)+SUMIFS(Calc_Fixed_2[Citipower],Calc_Fixed_2[[Customer type]:[Customer type]],Calc_Rates!$F278)+SUMIFS(Calc_Fixed_2[Citipower],Calc_Fixed_2[[Customer type]:[Customer type]],"All"))*
(1+Calc_ROM_2[Citipower]))*(1+GST))/DiY,0,1)))</f>
        <v>0</v>
      </c>
      <c r="I279" s="88" cm="1">
        <f t="array" ref="I279">IF(I273=0,"-",
IF($D$244='Lookup refs'!$D$23,
IF(I278=INDEX(RateCheck_VDO2021F[[Ausnet]:[United Energy]],MATCH(Calc_Rates!$C278&amp;"_"&amp;Calc_Rates!$F278,RateCheck_VDO2021F[[Rate]:[Rate]],0),MATCH(Calc_Rates!I$9,RateCheck_VDO2021F[[#Headers],[Ausnet]:[United Energy]],0)),0,1),
IF(I278=(((SUMIFS(Calc_NetworkF_2[Jemena],Calc_NetworkF_2[[Cost item]:[Cost item]],$C272,Calc_NetworkF_2[[Customer type]:[Customer type]],$F273)+SUMIFS(Calc_Fixed_2[Jemena],Calc_Fixed_2[[Customer type]:[Customer type]],Calc_Rates!$F278)+SUMIFS(Calc_Fixed_2[Jemena],Calc_Fixed_2[[Customer type]:[Customer type]],"All"))*
(1+Calc_ROM_2[Jemena]))*(1+GST))/DiY,0,1)))</f>
        <v>0</v>
      </c>
      <c r="J279" s="88" cm="1">
        <f t="array" ref="J279">IF(J273=0,"-",
IF($D$244='Lookup refs'!$D$23,
IF(J278=INDEX(RateCheck_VDO2021F[[Ausnet]:[United Energy]],MATCH(Calc_Rates!$C278&amp;"_"&amp;Calc_Rates!$F278,RateCheck_VDO2021F[[Rate]:[Rate]],0),MATCH(Calc_Rates!J$9,RateCheck_VDO2021F[[#Headers],[Ausnet]:[United Energy]],0)),0,1),
IF(J278=(((SUMIFS(Calc_NetworkF_2[Powercor],Calc_NetworkF_2[[Cost item]:[Cost item]],$C272,Calc_NetworkF_2[[Customer type]:[Customer type]],$F273)+SUMIFS(Calc_Fixed_2[Powercor],Calc_Fixed_2[[Customer type]:[Customer type]],Calc_Rates!$F278)+SUMIFS(Calc_Fixed_2[Powercor],Calc_Fixed_2[[Customer type]:[Customer type]],"All"))*
(1+Calc_ROM_2[Powercor]))*(1+GST))/DiY,0,1)))</f>
        <v>0</v>
      </c>
      <c r="K279" s="88" cm="1">
        <f t="array" ref="K279">IF(K273=0,"-",
IF($D$244='Lookup refs'!$D$23,
IF(K278=INDEX(RateCheck_VDO2021F[[Ausnet]:[United Energy]],MATCH(Calc_Rates!$C278&amp;"_"&amp;Calc_Rates!$F278,RateCheck_VDO2021F[[Rate]:[Rate]],0),MATCH(Calc_Rates!K$9,RateCheck_VDO2021F[[#Headers],[Ausnet]:[United Energy]],0)),0,1),
IF(K278=(((SUMIFS(Calc_NetworkF_2[United Energy],Calc_NetworkF_2[[Cost item]:[Cost item]],$C272,Calc_NetworkF_2[[Customer type]:[Customer type]],$F273)+SUMIFS(Calc_Fixed_2[United Energy],Calc_Fixed_2[[Customer type]:[Customer type]],Calc_Rates!$F278)+SUMIFS(Calc_Fixed_2[United Energy],Calc_Fixed_2[[Customer type]:[Customer type]],"All"))*
(1+Calc_ROM_2[United Energy]))*(1+GST))/DiY,0,1)))</f>
        <v>0</v>
      </c>
    </row>
    <row r="280" spans="2:11" ht="15.5" outlineLevel="2" x14ac:dyDescent="0.35">
      <c r="B280"/>
      <c r="C280" s="69" t="s">
        <v>381</v>
      </c>
    </row>
    <row r="281" spans="2:11" outlineLevel="2" x14ac:dyDescent="0.35">
      <c r="B281"/>
      <c r="C281" s="21" t="s">
        <v>289</v>
      </c>
      <c r="D281" s="21" t="s">
        <v>9</v>
      </c>
      <c r="E281" s="21" t="s">
        <v>102</v>
      </c>
      <c r="F281" s="21" t="s">
        <v>89</v>
      </c>
      <c r="G281" s="56">
        <f>SUMIFS(Calc_NetworkF_2[Ausnet],Calc_NetworkF_2[[Cost item]:[Cost item]],$C280,Calc_NetworkF_2[[Customer type]:[Customer type]],$F281)</f>
        <v>111.11</v>
      </c>
      <c r="H281" s="56">
        <f>SUMIFS(Calc_NetworkF_2[Citipower],Calc_NetworkF_2[[Cost item]:[Cost item]],$C280,Calc_NetworkF_2[[Customer type]:[Customer type]],$F281)</f>
        <v>160.01599999999999</v>
      </c>
      <c r="I281" s="56">
        <f>SUMIFS(Calc_NetworkF_2[Jemena],Calc_NetworkF_2[[Cost item]:[Cost item]],$C280,Calc_NetworkF_2[[Customer type]:[Customer type]],$F281)</f>
        <v>242.124</v>
      </c>
      <c r="J281" s="56">
        <f>SUMIFS(Calc_NetworkF_2[Powercor],Calc_NetworkF_2[[Cost item]:[Cost item]],$C280,Calc_NetworkF_2[[Customer type]:[Customer type]],$F281)</f>
        <v>179.98150000000001</v>
      </c>
      <c r="K281" s="56">
        <f>SUMIFS(Calc_NetworkF_2[United Energy],Calc_NetworkF_2[[Cost item]:[Cost item]],$C280,Calc_NetworkF_2[[Customer type]:[Customer type]],$F281)</f>
        <v>120.01199999999999</v>
      </c>
    </row>
    <row r="282" spans="2:11" outlineLevel="2" x14ac:dyDescent="0.35">
      <c r="B282"/>
      <c r="C282" s="21" t="s">
        <v>269</v>
      </c>
      <c r="D282" s="21" t="s">
        <v>9</v>
      </c>
      <c r="E282" s="21" t="s">
        <v>102</v>
      </c>
      <c r="F282" s="21" t="s">
        <v>89</v>
      </c>
      <c r="G282" s="62">
        <f>IF(G281=0,"-",SUMIFS(Calc_Fixed_2[Ausnet],Calc_Fixed_2[[Customer type]:[Customer type]],"All")+SUMIFS(Calc_Fixed_2[Ausnet],Calc_Fixed_2[[Customer type]:[Customer type]],$F282))</f>
        <v>262.43472178452231</v>
      </c>
      <c r="H282" s="62">
        <f>IF(H281=0,"-",SUMIFS(Calc_Fixed_2[Citipower],Calc_Fixed_2[[Customer type]:[Customer type]],"All")+SUMIFS(Calc_Fixed_2[Citipower],Calc_Fixed_2[[Customer type]:[Customer type]],$F283))</f>
        <v>258.1347217845223</v>
      </c>
      <c r="I282" s="62">
        <f>IF(I281=0,"-",SUMIFS(Calc_Fixed_2[Jemena],Calc_Fixed_2[[Customer type]:[Customer type]],"All")+SUMIFS(Calc_Fixed_2[Jemena],Calc_Fixed_2[[Customer type]:[Customer type]],$F283))</f>
        <v>252.92472178452229</v>
      </c>
      <c r="J282" s="62">
        <f>IF(J281=0,"-",SUMIFS(Calc_Fixed_2[Powercor],Calc_Fixed_2[[Customer type]:[Customer type]],"All")+SUMIFS(Calc_Fixed_2[Powercor],Calc_Fixed_2[[Customer type]:[Customer type]],$F283))</f>
        <v>256.73472178452232</v>
      </c>
      <c r="K282" s="62">
        <f>IF(K281=0,"-",SUMIFS(Calc_Fixed_2[United Energy],Calc_Fixed_2[[Customer type]:[Customer type]],"All")+SUMIFS(Calc_Fixed_2[United Energy],Calc_Fixed_2[[Customer type]:[Customer type]],$F283))</f>
        <v>241.65472178452228</v>
      </c>
    </row>
    <row r="283" spans="2:11" outlineLevel="2" x14ac:dyDescent="0.35">
      <c r="B283"/>
      <c r="C283" s="21" t="s">
        <v>197</v>
      </c>
      <c r="D283" s="21" t="s">
        <v>9</v>
      </c>
      <c r="E283" s="21" t="s">
        <v>102</v>
      </c>
      <c r="F283" s="21" t="s">
        <v>89</v>
      </c>
      <c r="G283" s="62" cm="1">
        <f t="array" ref="G283">IF(G281=0,"-",(G281+G282)*Calc_ROM_2[Ausnet])</f>
        <v>22.56210119578515</v>
      </c>
      <c r="H283" s="62" cm="1">
        <f t="array" ref="H283">IF(H281=0,"-",(H281+H282)*Calc_ROM_2[Citipower])</f>
        <v>25.256303595785145</v>
      </c>
      <c r="I283" s="62" cm="1">
        <f t="array" ref="I283">IF(I281=0,"-",(I281+I282)*Calc_ROM_2[Jemena])</f>
        <v>29.900942795785149</v>
      </c>
      <c r="J283" s="62" cm="1">
        <f t="array" ref="J283">IF(J281=0,"-",(J281+J282)*Calc_ROM_2[Powercor])</f>
        <v>26.377659795785149</v>
      </c>
      <c r="K283" s="62" cm="1">
        <f t="array" ref="K283">IF(K281=0,"-",(K281+K282)*Calc_ROM_2[United Energy])</f>
        <v>21.844669995785146</v>
      </c>
    </row>
    <row r="284" spans="2:11" outlineLevel="2" x14ac:dyDescent="0.35">
      <c r="B284"/>
      <c r="C284" s="21" t="s">
        <v>279</v>
      </c>
      <c r="D284" s="21" t="s">
        <v>9</v>
      </c>
      <c r="E284" s="21" t="s">
        <v>102</v>
      </c>
      <c r="F284" s="21" t="s">
        <v>89</v>
      </c>
      <c r="G284" s="62">
        <f>IF(G281=0,"-",(G281+G282+G283)*GST)</f>
        <v>39.610682298030753</v>
      </c>
      <c r="H284" s="62">
        <f>IF(H281=0,"-",(H281+H282+H283)*GST)</f>
        <v>44.34070253803074</v>
      </c>
      <c r="I284" s="62">
        <f>IF(I281=0,"-",(I281+I282+I283)*GST)</f>
        <v>52.494966458030746</v>
      </c>
      <c r="J284" s="62">
        <f>IF(J281=0,"-",(J281+J282+J283)*GST)</f>
        <v>46.309388158030742</v>
      </c>
      <c r="K284" s="62">
        <f>IF(K281=0,"-",(K281+K282+K283)*GST)</f>
        <v>38.351139178030742</v>
      </c>
    </row>
    <row r="285" spans="2:11" outlineLevel="2" x14ac:dyDescent="0.35">
      <c r="B285"/>
      <c r="C285" s="21" t="s">
        <v>280</v>
      </c>
      <c r="D285" s="21" t="s">
        <v>9</v>
      </c>
      <c r="E285" s="21" t="s">
        <v>102</v>
      </c>
      <c r="F285" s="21" t="s">
        <v>89</v>
      </c>
      <c r="G285" s="62">
        <f>IF(G281=0,"-",G281+G282+G283+G284)</f>
        <v>435.71750527833819</v>
      </c>
      <c r="H285" s="62">
        <f t="shared" ref="H285" si="58">IF(H281=0,"-",H281+H282+H283+H284)</f>
        <v>487.74772791833811</v>
      </c>
      <c r="I285" s="62">
        <f t="shared" ref="I285" si="59">IF(I281=0,"-",I281+I282+I283+I284)</f>
        <v>577.44463103833812</v>
      </c>
      <c r="J285" s="62">
        <f t="shared" ref="J285" si="60">IF(J281=0,"-",J281+J282+J283+J284)</f>
        <v>509.40326973833817</v>
      </c>
      <c r="K285" s="62">
        <f t="shared" ref="K285" si="61">IF(K281=0,"-",K281+K282+K283+K284)</f>
        <v>421.86253095833814</v>
      </c>
    </row>
    <row r="286" spans="2:11" outlineLevel="2" x14ac:dyDescent="0.35">
      <c r="B286"/>
      <c r="C286" s="21" t="str">
        <f>C280</f>
        <v>TOU - supply charge</v>
      </c>
      <c r="D286" s="21" t="s">
        <v>9</v>
      </c>
      <c r="E286" s="21" t="s">
        <v>102</v>
      </c>
      <c r="F286" s="21" t="s">
        <v>89</v>
      </c>
      <c r="G286" s="63">
        <f>IF(G281=0,"-",G285/DiY)</f>
        <v>1.1937465898036663</v>
      </c>
      <c r="H286" s="63">
        <f>IF(H281=0,"-",H285/DiY)</f>
        <v>1.3362951449817482</v>
      </c>
      <c r="I286" s="63">
        <f>IF(I281=0,"-",I285/DiY)</f>
        <v>1.5820400850365428</v>
      </c>
      <c r="J286" s="63">
        <f>IF(J281=0,"-",J285/DiY)</f>
        <v>1.3956253965433922</v>
      </c>
      <c r="K286" s="63">
        <f>IF(K281=0,"-",K285/DiY)</f>
        <v>1.1557877560502414</v>
      </c>
    </row>
    <row r="287" spans="2:11" outlineLevel="2" x14ac:dyDescent="0.35">
      <c r="B287"/>
      <c r="G287" s="88" cm="1">
        <f t="array" ref="G287">IF(G281=0,"-",
IF($D$244='Lookup refs'!$D$23,
IF(G286=INDEX(RateCheck_VDO2021F[[Ausnet]:[United Energy]],MATCH(Calc_Rates!$C286&amp;"_"&amp;Calc_Rates!$F286,RateCheck_VDO2021F[[Rate]:[Rate]],0),MATCH(Calc_Rates!G$9,RateCheck_VDO2021F[[#Headers],[Ausnet]:[United Energy]],0)),0,1),
IF(G286=(((SUMIFS(Calc_NetworkF_2[Ausnet],Calc_NetworkF_2[[Cost item]:[Cost item]],$C280,Calc_NetworkF_2[[Customer type]:[Customer type]],$F281)+SUMIFS(Calc_Fixed_2[Ausnet],Calc_Fixed_2[[Customer type]:[Customer type]],Calc_Rates!$F286)+SUMIFS(Calc_Fixed_2[Ausnet],Calc_Fixed_2[[Customer type]:[Customer type]],"All"))*
(1+Calc_ROM_2[Ausnet]))*(1+GST))/DiY,0,1)))</f>
        <v>0</v>
      </c>
      <c r="H287" s="88" cm="1">
        <f t="array" ref="H287">IF(H281=0,"-",
IF($D$244='Lookup refs'!$D$23,
IF(H286=INDEX(RateCheck_VDO2021F[[Ausnet]:[United Energy]],MATCH(Calc_Rates!$C286&amp;"_"&amp;Calc_Rates!$F286,RateCheck_VDO2021F[[Rate]:[Rate]],0),MATCH(Calc_Rates!H$9,RateCheck_VDO2021F[[#Headers],[Ausnet]:[United Energy]],0)),0,1),
IF(H286=(((SUMIFS(Calc_NetworkF_2[Citipower],Calc_NetworkF_2[[Cost item]:[Cost item]],$C280,Calc_NetworkF_2[[Customer type]:[Customer type]],$F281)+SUMIFS(Calc_Fixed_2[Citipower],Calc_Fixed_2[[Customer type]:[Customer type]],Calc_Rates!$F286)+SUMIFS(Calc_Fixed_2[Citipower],Calc_Fixed_2[[Customer type]:[Customer type]],"All"))*
(1+Calc_ROM_2[Citipower]))*(1+GST))/DiY,0,1)))</f>
        <v>0</v>
      </c>
      <c r="I287" s="88" cm="1">
        <f t="array" ref="I287">IF(I281=0,"-",
IF($D$244='Lookup refs'!$D$23,
IF(I286=INDEX(RateCheck_VDO2021F[[Ausnet]:[United Energy]],MATCH(Calc_Rates!$C286&amp;"_"&amp;Calc_Rates!$F286,RateCheck_VDO2021F[[Rate]:[Rate]],0),MATCH(Calc_Rates!I$9,RateCheck_VDO2021F[[#Headers],[Ausnet]:[United Energy]],0)),0,1),
IF(I286=(((SUMIFS(Calc_NetworkF_2[Jemena],Calc_NetworkF_2[[Cost item]:[Cost item]],$C280,Calc_NetworkF_2[[Customer type]:[Customer type]],$F281)+SUMIFS(Calc_Fixed_2[Jemena],Calc_Fixed_2[[Customer type]:[Customer type]],Calc_Rates!$F286)+SUMIFS(Calc_Fixed_2[Jemena],Calc_Fixed_2[[Customer type]:[Customer type]],"All"))*
(1+Calc_ROM_2[Jemena]))*(1+GST))/DiY,0,1)))</f>
        <v>0</v>
      </c>
      <c r="J287" s="88" cm="1">
        <f t="array" ref="J287">IF(J281=0,"-",
IF($D$244='Lookup refs'!$D$23,
IF(J286=INDEX(RateCheck_VDO2021F[[Ausnet]:[United Energy]],MATCH(Calc_Rates!$C286&amp;"_"&amp;Calc_Rates!$F286,RateCheck_VDO2021F[[Rate]:[Rate]],0),MATCH(Calc_Rates!J$9,RateCheck_VDO2021F[[#Headers],[Ausnet]:[United Energy]],0)),0,1),
IF(J286=(((SUMIFS(Calc_NetworkF_2[Powercor],Calc_NetworkF_2[[Cost item]:[Cost item]],$C280,Calc_NetworkF_2[[Customer type]:[Customer type]],$F281)+SUMIFS(Calc_Fixed_2[Powercor],Calc_Fixed_2[[Customer type]:[Customer type]],Calc_Rates!$F286)+SUMIFS(Calc_Fixed_2[Powercor],Calc_Fixed_2[[Customer type]:[Customer type]],"All"))*
(1+Calc_ROM_2[Powercor]))*(1+GST))/DiY,0,1)))</f>
        <v>0</v>
      </c>
      <c r="K287" s="88" cm="1">
        <f t="array" ref="K287">IF(K281=0,"-",
IF($D$244='Lookup refs'!$D$23,
IF(K286=INDEX(RateCheck_VDO2021F[[Ausnet]:[United Energy]],MATCH(Calc_Rates!$C286&amp;"_"&amp;Calc_Rates!$F286,RateCheck_VDO2021F[[Rate]:[Rate]],0),MATCH(Calc_Rates!K$9,RateCheck_VDO2021F[[#Headers],[Ausnet]:[United Energy]],0)),0,1),
IF(K286=(((SUMIFS(Calc_NetworkF_2[United Energy],Calc_NetworkF_2[[Cost item]:[Cost item]],$C280,Calc_NetworkF_2[[Customer type]:[Customer type]],$F281)+SUMIFS(Calc_Fixed_2[United Energy],Calc_Fixed_2[[Customer type]:[Customer type]],Calc_Rates!$F286)+SUMIFS(Calc_Fixed_2[United Energy],Calc_Fixed_2[[Customer type]:[Customer type]],"All"))*
(1+Calc_ROM_2[United Energy]))*(1+GST))/DiY,0,1)))</f>
        <v>0</v>
      </c>
    </row>
    <row r="288" spans="2:11" outlineLevel="2" x14ac:dyDescent="0.35">
      <c r="B288"/>
    </row>
    <row r="289" spans="2:14" ht="15.5" outlineLevel="2" x14ac:dyDescent="0.35">
      <c r="B289"/>
      <c r="C289" s="39" t="s">
        <v>282</v>
      </c>
      <c r="D289" s="39" t="s">
        <v>94</v>
      </c>
      <c r="E289" s="39" t="s">
        <v>95</v>
      </c>
      <c r="F289" s="39" t="s">
        <v>87</v>
      </c>
      <c r="G289" s="55" t="s">
        <v>270</v>
      </c>
      <c r="H289" s="55" t="s">
        <v>271</v>
      </c>
      <c r="I289" s="55" t="s">
        <v>272</v>
      </c>
      <c r="J289" s="55" t="s">
        <v>273</v>
      </c>
      <c r="K289" s="55" t="s">
        <v>274</v>
      </c>
    </row>
    <row r="290" spans="2:14" outlineLevel="2" x14ac:dyDescent="0.35">
      <c r="B290"/>
      <c r="C290" s="21" t="s">
        <v>283</v>
      </c>
      <c r="D290" s="21" t="s">
        <v>124</v>
      </c>
      <c r="E290" s="21" t="s">
        <v>284</v>
      </c>
      <c r="F290" s="21" t="s">
        <v>103</v>
      </c>
      <c r="G290" s="68">
        <f>SUMIFS(Calc_EnviroVEU_2[Ausnet],Calc_EnviroVEU_2[[Fixed/Variable]:[Fixed/Variable]],$D290,Calc_EnviroVEU_2[[Customer type]:[Customer type]],$F290,Calc_EnviroVEU_2[[Cost item]:[Cost item]],"VEU cost")+
SUMIFS(Calc_EnviroLRET_2[Ausnet],Calc_EnviroLRET_2[[Fixed/Variable]:[Fixed/Variable]],$D290,Calc_EnviroLRET_2[[Customer type]:[Customer type]],$F290,Calc_EnviroLRET_2[[Cost item]:[Cost item]],"LRET cost")+
SUMIFS(Calc_EnviroSRES_2[Ausnet],Calc_EnviroSRES_2[[Fixed/Variable]:[Fixed/Variable]],$D290,Calc_EnviroSRES_2[[Customer type]:[Customer type]],$F290,Calc_EnviroSRES_2[[Cost item]:[Cost item]],"SRES cost")</f>
        <v>2.3197834914089437E-2</v>
      </c>
      <c r="H290" s="68">
        <f>SUMIFS(Calc_EnviroVEU_2[Citipower],Calc_EnviroVEU_2[[Fixed/Variable]:[Fixed/Variable]],$D290,Calc_EnviroVEU_2[[Customer type]:[Customer type]],$F290,Calc_EnviroVEU_2[[Cost item]:[Cost item]],"VEU cost")+
SUMIFS(Calc_EnviroLRET_2[Citipower],Calc_EnviroLRET_2[[Fixed/Variable]:[Fixed/Variable]],$D290,Calc_EnviroLRET_2[[Customer type]:[Customer type]],$F290,Calc_EnviroLRET_2[[Cost item]:[Cost item]],"LRET cost")+
SUMIFS(Calc_EnviroSRES_2[Citipower],Calc_EnviroSRES_2[[Fixed/Variable]:[Fixed/Variable]],$D290,Calc_EnviroSRES_2[[Customer type]:[Customer type]],$F290,Calc_EnviroSRES_2[[Cost item]:[Cost item]],"SRES cost")</f>
        <v>2.3197834914089437E-2</v>
      </c>
      <c r="I290" s="68">
        <f>SUMIFS(Calc_EnviroVEU_2[Jemena],Calc_EnviroVEU_2[[Fixed/Variable]:[Fixed/Variable]],$D290,Calc_EnviroVEU_2[[Customer type]:[Customer type]],$F290,Calc_EnviroVEU_2[[Cost item]:[Cost item]],"VEU cost")+
SUMIFS(Calc_EnviroLRET_2[Jemena],Calc_EnviroLRET_2[[Fixed/Variable]:[Fixed/Variable]],$D290,Calc_EnviroLRET_2[[Customer type]:[Customer type]],$F290,Calc_EnviroLRET_2[[Cost item]:[Cost item]],"LRET cost")+
SUMIFS(Calc_EnviroSRES_2[Jemena],Calc_EnviroSRES_2[[Fixed/Variable]:[Fixed/Variable]],$D290,Calc_EnviroSRES_2[[Customer type]:[Customer type]],$F290,Calc_EnviroSRES_2[[Cost item]:[Cost item]],"SRES cost")</f>
        <v>2.3197834914089437E-2</v>
      </c>
      <c r="J290" s="68">
        <f>SUMIFS(Calc_EnviroVEU_2[Powercor],Calc_EnviroVEU_2[[Fixed/Variable]:[Fixed/Variable]],$D290,Calc_EnviroVEU_2[[Customer type]:[Customer type]],$F290,Calc_EnviroVEU_2[[Cost item]:[Cost item]],"VEU cost")+
SUMIFS(Calc_EnviroLRET_2[Powercor],Calc_EnviroLRET_2[[Fixed/Variable]:[Fixed/Variable]],$D290,Calc_EnviroLRET_2[[Customer type]:[Customer type]],$F290,Calc_EnviroLRET_2[[Cost item]:[Cost item]],"LRET cost")+
SUMIFS(Calc_EnviroSRES_2[Powercor],Calc_EnviroSRES_2[[Fixed/Variable]:[Fixed/Variable]],$D290,Calc_EnviroSRES_2[[Customer type]:[Customer type]],$F290,Calc_EnviroSRES_2[[Cost item]:[Cost item]],"SRES cost")</f>
        <v>2.3197834914089437E-2</v>
      </c>
      <c r="K290" s="68">
        <f>SUMIFS(Calc_EnviroVEU_2[United Energy],Calc_EnviroVEU_2[[Fixed/Variable]:[Fixed/Variable]],$D290,Calc_EnviroVEU_2[[Customer type]:[Customer type]],$F290,Calc_EnviroVEU_2[[Cost item]:[Cost item]],"VEU cost")+
SUMIFS(Calc_EnviroLRET_2[United Energy],Calc_EnviroLRET_2[[Fixed/Variable]:[Fixed/Variable]],$D290,Calc_EnviroLRET_2[[Customer type]:[Customer type]],$F290,Calc_EnviroLRET_2[[Cost item]:[Cost item]],"LRET cost")+
SUMIFS(Calc_EnviroSRES_2[United Energy],Calc_EnviroSRES_2[[Fixed/Variable]:[Fixed/Variable]],$D290,Calc_EnviroSRES_2[[Customer type]:[Customer type]],$F290,Calc_EnviroSRES_2[[Cost item]:[Cost item]],"SRES cost")</f>
        <v>2.3197834914089437E-2</v>
      </c>
    </row>
    <row r="291" spans="2:14" outlineLevel="2" x14ac:dyDescent="0.35">
      <c r="B291"/>
      <c r="C291" s="21" t="s">
        <v>275</v>
      </c>
      <c r="D291" s="21" t="s">
        <v>124</v>
      </c>
      <c r="E291" s="21" t="s">
        <v>284</v>
      </c>
      <c r="F291" s="21" t="s">
        <v>103</v>
      </c>
      <c r="G291" s="68">
        <f>SUMIFS(Calc_OtherCosts_2[Ausnet],Calc_OtherCosts_2[[Fixed/Variable]:[Fixed/Variable]],$D291,Calc_OtherCosts_2[[Customer type]:[Customer type]],$F291)</f>
        <v>7.3408637826745697E-4</v>
      </c>
      <c r="H291" s="68">
        <f>SUMIFS(Calc_OtherCosts_2[Citipower],Calc_OtherCosts_2[[Fixed/Variable]:[Fixed/Variable]],$D291,Calc_OtherCosts_2[[Customer type]:[Customer type]],$F291)</f>
        <v>7.3408637826745697E-4</v>
      </c>
      <c r="I291" s="68">
        <f>SUMIFS(Calc_OtherCosts_2[Jemena],Calc_OtherCosts_2[[Fixed/Variable]:[Fixed/Variable]],$D291,Calc_OtherCosts_2[[Customer type]:[Customer type]],$F291)</f>
        <v>7.3408637826745697E-4</v>
      </c>
      <c r="J291" s="68">
        <f>SUMIFS(Calc_OtherCosts_2[Powercor],Calc_OtherCosts_2[[Fixed/Variable]:[Fixed/Variable]],$D291,Calc_OtherCosts_2[[Customer type]:[Customer type]],$F291)</f>
        <v>7.3408637826745697E-4</v>
      </c>
      <c r="K291" s="68">
        <f>SUMIFS(Calc_OtherCosts_2[United Energy],Calc_OtherCosts_2[[Fixed/Variable]:[Fixed/Variable]],$D291,Calc_OtherCosts_2[[Customer type]:[Customer type]],$F291)</f>
        <v>7.3408637826745697E-4</v>
      </c>
    </row>
    <row r="292" spans="2:14" outlineLevel="2" x14ac:dyDescent="0.35">
      <c r="B292"/>
      <c r="C292" s="21" t="s">
        <v>285</v>
      </c>
      <c r="D292" s="21" t="s">
        <v>124</v>
      </c>
      <c r="E292" s="21" t="s">
        <v>284</v>
      </c>
      <c r="F292" s="21" t="s">
        <v>88</v>
      </c>
      <c r="G292" s="66">
        <f>SUMIFS(Calc_WholesaleRES_2[Ausnet],Calc_WholesaleRES_2[[Fixed/Variable]:[Fixed/Variable]],$D292,Calc_WholesaleRES_2[[Customer type]:[Customer type]],$F292,Calc_WholesaleRES_2[[Cost item]:[Cost item]],$C292)</f>
        <v>9.4499999999999987E-2</v>
      </c>
      <c r="H292" s="66">
        <f>SUMIFS(Calc_WholesaleRES_2[Citipower],Calc_WholesaleRES_2[[Fixed/Variable]:[Fixed/Variable]],$D292,Calc_WholesaleRES_2[[Customer type]:[Customer type]],$F292,Calc_WholesaleRES_2[[Cost item]:[Cost item]],$C292)</f>
        <v>8.931E-2</v>
      </c>
      <c r="I292" s="66">
        <f>SUMIFS(Calc_WholesaleRES_2[Jemena],Calc_WholesaleRES_2[[Fixed/Variable]:[Fixed/Variable]],$D292,Calc_WholesaleRES_2[[Customer type]:[Customer type]],$F292,Calc_WholesaleRES_2[[Cost item]:[Cost item]],$C292)</f>
        <v>9.8250000000000004E-2</v>
      </c>
      <c r="J292" s="66">
        <f>SUMIFS(Calc_WholesaleRES_2[Powercor],Calc_WholesaleRES_2[[Fixed/Variable]:[Fixed/Variable]],$D292,Calc_WholesaleRES_2[[Customer type]:[Customer type]],$F292,Calc_WholesaleRES_2[[Cost item]:[Cost item]],$C292)</f>
        <v>9.2450000000000004E-2</v>
      </c>
      <c r="K292" s="66">
        <f>SUMIFS(Calc_WholesaleRES_2[United Energy],Calc_WholesaleRES_2[[Fixed/Variable]:[Fixed/Variable]],$D292,Calc_WholesaleRES_2[[Customer type]:[Customer type]],$F292,Calc_WholesaleRES_2[[Cost item]:[Cost item]],$C292)</f>
        <v>9.8670000000000008E-2</v>
      </c>
    </row>
    <row r="293" spans="2:14" outlineLevel="2" x14ac:dyDescent="0.35">
      <c r="B293"/>
      <c r="C293" s="21" t="s">
        <v>285</v>
      </c>
      <c r="D293" s="21" t="s">
        <v>124</v>
      </c>
      <c r="E293" s="21" t="s">
        <v>284</v>
      </c>
      <c r="F293" s="21" t="s">
        <v>89</v>
      </c>
      <c r="G293" s="66">
        <f>SUMIFS(Calc_WholesaleSME_2[Ausnet],Calc_WholesaleSME_2[[Fixed/Variable]:[Fixed/Variable]],$D293,Calc_WholesaleSME_2[[Customer type]:[Customer type]],$F293,Calc_WholesaleSME_2[[Cost item]:[Cost item]],$C293)</f>
        <v>8.2619999999999999E-2</v>
      </c>
      <c r="H293" s="66">
        <f>SUMIFS(Calc_WholesaleSME_2[Citipower],Calc_WholesaleSME_2[[Fixed/Variable]:[Fixed/Variable]],$D293,Calc_WholesaleSME_2[[Customer type]:[Customer type]],$F293,Calc_WholesaleSME_2[[Cost item]:[Cost item]],$C293)</f>
        <v>8.548E-2</v>
      </c>
      <c r="I293" s="66">
        <f>SUMIFS(Calc_WholesaleSME_2[Jemena],Calc_WholesaleSME_2[[Fixed/Variable]:[Fixed/Variable]],$D293,Calc_WholesaleSME_2[[Customer type]:[Customer type]],$F293,Calc_WholesaleSME_2[[Cost item]:[Cost item]],$C293)</f>
        <v>8.4870000000000001E-2</v>
      </c>
      <c r="J293" s="66">
        <f>SUMIFS(Calc_WholesaleSME_2[Powercor],Calc_WholesaleSME_2[[Fixed/Variable]:[Fixed/Variable]],$D293,Calc_WholesaleSME_2[[Customer type]:[Customer type]],$F293,Calc_WholesaleSME_2[[Cost item]:[Cost item]],$C293)</f>
        <v>8.0420000000000005E-2</v>
      </c>
      <c r="K293" s="66">
        <f>SUMIFS(Calc_WholesaleSME_2[United Energy],Calc_WholesaleSME_2[[Fixed/Variable]:[Fixed/Variable]],$D293,Calc_WholesaleSME_2[[Customer type]:[Customer type]],$F293,Calc_WholesaleSME_2[[Cost item]:[Cost item]],$C293)</f>
        <v>8.7039999999999992E-2</v>
      </c>
      <c r="N293" s="67"/>
    </row>
    <row r="294" spans="2:14" outlineLevel="2" x14ac:dyDescent="0.35">
      <c r="B294"/>
      <c r="C294" s="21" t="s">
        <v>286</v>
      </c>
      <c r="D294" s="21" t="s">
        <v>124</v>
      </c>
      <c r="E294" s="21" t="s">
        <v>284</v>
      </c>
      <c r="F294" s="21" t="s">
        <v>88</v>
      </c>
      <c r="G294" s="68">
        <f>(SUMIFS(G$290:G$293,$F$290:$F$293,"All")+SUMIFS(G$290:G$293,$F$290:$F$293,$F294))*INDEX(Calc_Losses_2[[Ausnet]:[United Energy]],MATCH("Total loss factor",Calc_Losses_2[[Cost item]:[Cost item]],0),MATCH(G$289,Calc_Losses_2[[#Headers],[Ausnet]:[United Energy]],0))</f>
        <v>7.9399415870230923E-3</v>
      </c>
      <c r="H294" s="68">
        <f>(SUMIFS(H$290:H$293,$F$290:$F$293,"All")+SUMIFS(H$290:H$293,$F$290:$F$293,$F294))*INDEX(Calc_Losses_2[[Ausnet]:[United Energy]],MATCH("Total loss factor",Calc_Losses_2[[Cost item]:[Cost item]],0),MATCH(H$289,Calc_Losses_2[[#Headers],[Ausnet]:[United Energy]],0))</f>
        <v>5.5033907959423176E-3</v>
      </c>
      <c r="I294" s="68">
        <f>(SUMIFS(I$290:I$293,$F$290:$F$293,"All")+SUMIFS(I$290:I$293,$F$290:$F$293,$F294))*INDEX(Calc_Losses_2[[Ausnet]:[United Energy]],MATCH("Total loss factor",Calc_Losses_2[[Cost item]:[Cost item]],0),MATCH(I$289,Calc_Losses_2[[#Headers],[Ausnet]:[United Energy]],0))</f>
        <v>4.5994857530669573E-3</v>
      </c>
      <c r="J294" s="68">
        <f>(SUMIFS(J$290:J$293,$F$290:$F$293,"All")+SUMIFS(J$290:J$293,$F$290:$F$293,$F294))*INDEX(Calc_Losses_2[[Ausnet]:[United Energy]],MATCH("Total loss factor",Calc_Losses_2[[Cost item]:[Cost item]],0),MATCH(J$289,Calc_Losses_2[[#Headers],[Ausnet]:[United Energy]],0))</f>
        <v>8.2726425629698827E-3</v>
      </c>
      <c r="K294" s="68">
        <f>(SUMIFS(K$290:K$293,$F$290:$F$293,"All")+SUMIFS(K$290:K$293,$F$290:$F$293,$F294))*INDEX(Calc_Losses_2[[Ausnet]:[United Energy]],MATCH("Total loss factor",Calc_Losses_2[[Cost item]:[Cost item]],0),MATCH(K$289,Calc_Losses_2[[#Headers],[Ausnet]:[United Energy]],0))</f>
        <v>6.4272069860374153E-3</v>
      </c>
    </row>
    <row r="295" spans="2:14" outlineLevel="2" x14ac:dyDescent="0.35">
      <c r="B295"/>
      <c r="C295" s="21" t="s">
        <v>286</v>
      </c>
      <c r="D295" s="21" t="s">
        <v>124</v>
      </c>
      <c r="E295" s="21" t="s">
        <v>284</v>
      </c>
      <c r="F295" s="21" t="s">
        <v>89</v>
      </c>
      <c r="G295" s="68">
        <f>(SUMIFS(G$290:G$293,$F$290:$F$293,"All")+SUMIFS(G$290:G$293,$F$290:$F$293,$F295))*INDEX(Calc_Losses_2[[Ausnet]:[United Energy]],MATCH("Total loss factor",Calc_Losses_2[[Cost item]:[Cost item]],0),MATCH(G$289,Calc_Losses_2[[#Headers],[Ausnet]:[United Energy]],0))</f>
        <v>7.1434797461230942E-3</v>
      </c>
      <c r="H295" s="68">
        <f>(SUMIFS(H$290:H$293,$F$290:$F$293,"All")+SUMIFS(H$290:H$293,$F$290:$F$293,$F295))*INDEX(Calc_Losses_2[[Ausnet]:[United Energy]],MATCH("Total loss factor",Calc_Losses_2[[Cost item]:[Cost item]],0),MATCH(H$289,Calc_Losses_2[[#Headers],[Ausnet]:[United Energy]],0))</f>
        <v>5.3172584298723184E-3</v>
      </c>
      <c r="I295" s="68">
        <f>(SUMIFS(I$290:I$293,$F$290:$F$293,"All")+SUMIFS(I$290:I$293,$F$290:$F$293,$F295))*INDEX(Calc_Losses_2[[Ausnet]:[United Energy]],MATCH("Total loss factor",Calc_Losses_2[[Cost item]:[Cost item]],0),MATCH(I$289,Calc_Losses_2[[#Headers],[Ausnet]:[United Energy]],0))</f>
        <v>4.0958014213336212E-3</v>
      </c>
      <c r="J295" s="68">
        <f>(SUMIFS(J$290:J$293,$F$290:$F$293,"All")+SUMIFS(J$290:J$293,$F$290:$F$293,$F295))*INDEX(Calc_Losses_2[[Ausnet]:[United Energy]],MATCH("Total loss factor",Calc_Losses_2[[Cost item]:[Cost item]],0),MATCH(J$289,Calc_Losses_2[[#Headers],[Ausnet]:[United Energy]],0))</f>
        <v>7.4175278773948869E-3</v>
      </c>
      <c r="K295" s="68">
        <f>(SUMIFS(K$290:K$293,$F$290:$F$293,"All")+SUMIFS(K$290:K$293,$F$290:$F$293,$F295))*INDEX(Calc_Losses_2[[Ausnet]:[United Energy]],MATCH("Total loss factor",Calc_Losses_2[[Cost item]:[Cost item]],0),MATCH(K$289,Calc_Losses_2[[#Headers],[Ausnet]:[United Energy]],0))</f>
        <v>5.8175230882674123E-3</v>
      </c>
    </row>
    <row r="296" spans="2:14" outlineLevel="2" x14ac:dyDescent="0.35">
      <c r="B296"/>
    </row>
    <row r="297" spans="2:14" ht="15.5" outlineLevel="2" x14ac:dyDescent="0.35">
      <c r="B297"/>
      <c r="C297" s="26" t="s">
        <v>287</v>
      </c>
    </row>
    <row r="298" spans="2:14" ht="15.5" outlineLevel="2" x14ac:dyDescent="0.35">
      <c r="B298"/>
      <c r="C298" s="69" t="s">
        <v>288</v>
      </c>
    </row>
    <row r="299" spans="2:14" outlineLevel="2" x14ac:dyDescent="0.35">
      <c r="B299"/>
      <c r="C299" s="21" t="s">
        <v>289</v>
      </c>
      <c r="D299" s="21" t="s">
        <v>9</v>
      </c>
      <c r="E299" s="21" t="s">
        <v>284</v>
      </c>
      <c r="F299" s="21" t="s">
        <v>88</v>
      </c>
      <c r="G299" s="56">
        <f>SUMIFS(Calc_NetworkV_2[Ausnet],Calc_NetworkV_2[[Cost item]:[Cost item]],$C298,Calc_NetworkV_2[[Customer type]:[Customer type]],$F299)</f>
        <v>0.11450300000000001</v>
      </c>
      <c r="H299" s="56">
        <f>SUMIFS(Calc_NetworkV_2[Citipower],Calc_NetworkV_2[[Cost item]:[Cost item]],$C298,Calc_NetworkV_2[[Customer type]:[Customer type]],$F299)</f>
        <v>0</v>
      </c>
      <c r="I299" s="56">
        <f>SUMIFS(Calc_NetworkV_2[Jemena],Calc_NetworkV_2[[Cost item]:[Cost item]],$C298,Calc_NetworkV_2[[Customer type]:[Customer type]],$F299)</f>
        <v>0</v>
      </c>
      <c r="J299" s="56">
        <f>SUMIFS(Calc_NetworkV_2[Powercor],Calc_NetworkV_2[[Cost item]:[Cost item]],$C298,Calc_NetworkV_2[[Customer type]:[Customer type]],$F299)</f>
        <v>0</v>
      </c>
      <c r="K299" s="56">
        <f>SUMIFS(Calc_NetworkV_2[United Energy],Calc_NetworkV_2[[Cost item]:[Cost item]],$C298,Calc_NetworkV_2[[Customer type]:[Customer type]],$F299)</f>
        <v>0</v>
      </c>
    </row>
    <row r="300" spans="2:14" outlineLevel="2" x14ac:dyDescent="0.35">
      <c r="B300"/>
      <c r="C300" s="21" t="s">
        <v>282</v>
      </c>
      <c r="D300" s="21" t="s">
        <v>9</v>
      </c>
      <c r="E300" s="21" t="s">
        <v>284</v>
      </c>
      <c r="F300" s="21" t="s">
        <v>88</v>
      </c>
      <c r="G300" s="56">
        <f>SUMIFS(Calc_Variable_2[Ausnet],Calc_Variable_2[Customer type],"All")+SUMIFS(Calc_Variable_2[Ausnet],Calc_Variable_2[Customer type],$F300)</f>
        <v>0.12637186287937996</v>
      </c>
      <c r="H300" s="56">
        <f>SUMIFS(Calc_Variable_2[Citipower],Calc_Variable_2[[Customer type]:[Customer type]],"All")+SUMIFS(Calc_Variable_2[Citipower],Calc_Variable_2[[Customer type]:[Customer type]],$F300)</f>
        <v>0.11874531208829922</v>
      </c>
      <c r="I300" s="56">
        <f>SUMIFS(Calc_Variable_2[Jemena],Calc_Variable_2[[Customer type]:[Customer type]],"All")+SUMIFS(Calc_Variable_2[Jemena],Calc_Variable_2[[Customer type]:[Customer type]],$F300)</f>
        <v>0.12678140704542384</v>
      </c>
      <c r="J300" s="56">
        <f>SUMIFS(Calc_Variable_2[Powercor],Calc_Variable_2[[Customer type]:[Customer type]],"All")+SUMIFS(Calc_Variable_2[Powercor],Calc_Variable_2[[Customer type]:[Customer type]],$F300)</f>
        <v>0.12465456385532679</v>
      </c>
      <c r="K300" s="56">
        <f>SUMIFS(Calc_Variable_2[United Energy],Calc_Variable_2[[Customer type]:[Customer type]],"All")+SUMIFS(Calc_Variable_2[United Energy],Calc_Variable_2[[Customer type]:[Customer type]],$F300)</f>
        <v>0.1290291282783943</v>
      </c>
    </row>
    <row r="301" spans="2:14" outlineLevel="2" x14ac:dyDescent="0.35">
      <c r="B301"/>
      <c r="C301" s="21" t="s">
        <v>197</v>
      </c>
      <c r="D301" s="21" t="s">
        <v>9</v>
      </c>
      <c r="E301" s="21" t="s">
        <v>284</v>
      </c>
      <c r="F301" s="21" t="s">
        <v>88</v>
      </c>
      <c r="G301" s="62" cm="1">
        <f t="array" ref="G301">IF(G299=0,"-",
(G299+G300)*Calc_ROM_2[Ausnet])</f>
        <v>1.4548841717914551E-2</v>
      </c>
      <c r="H301" s="62" t="str" cm="1">
        <f t="array" ref="H301">IF(H299=0,"-",
(H299+H300)*Calc_ROM_2[Citipower])</f>
        <v>-</v>
      </c>
      <c r="I301" s="62" t="str" cm="1">
        <f t="array" ref="I301">IF(I299=0,"-",
(I299+I300)*Calc_ROM_2[Jemena])</f>
        <v>-</v>
      </c>
      <c r="J301" s="62" t="str" cm="1">
        <f t="array" ref="J301">IF(J299=0,"-",
(J299+J300)*Calc_ROM_2[Powercor])</f>
        <v>-</v>
      </c>
      <c r="K301" s="62" t="str" cm="1">
        <f t="array" ref="K301">IF(K299=0,"-",
(K299+K300)*Calc_ROM_2[United Energy])</f>
        <v>-</v>
      </c>
    </row>
    <row r="302" spans="2:14" outlineLevel="2" x14ac:dyDescent="0.35">
      <c r="B302"/>
      <c r="C302" s="21" t="s">
        <v>279</v>
      </c>
      <c r="D302" s="21" t="s">
        <v>9</v>
      </c>
      <c r="E302" s="21" t="s">
        <v>284</v>
      </c>
      <c r="F302" s="21" t="s">
        <v>88</v>
      </c>
      <c r="G302" s="62">
        <f>IF(G299=0,"-",
(G299+G300+G301)*GST)</f>
        <v>2.5542370459729454E-2</v>
      </c>
      <c r="H302" s="62" t="str">
        <f>IF(H299=0,"-",
(H299+H300+H301)*GST)</f>
        <v>-</v>
      </c>
      <c r="I302" s="62" t="str">
        <f>IF(I299=0,"-",
(I299+I300+I301)*GST)</f>
        <v>-</v>
      </c>
      <c r="J302" s="62" t="str">
        <f>IF(J299=0,"-",
(J299+J300+J301)*GST)</f>
        <v>-</v>
      </c>
      <c r="K302" s="62" t="str">
        <f>IF(K299=0,"-",
(K299+K300+K301)*GST)</f>
        <v>-</v>
      </c>
    </row>
    <row r="303" spans="2:14" outlineLevel="2" x14ac:dyDescent="0.35">
      <c r="B303"/>
      <c r="C303" s="21" t="str">
        <f>C298&amp;" charge"</f>
        <v>Anytime - Block 1 charge</v>
      </c>
      <c r="D303" s="21" t="s">
        <v>9</v>
      </c>
      <c r="E303" s="21" t="s">
        <v>284</v>
      </c>
      <c r="F303" s="21" t="s">
        <v>88</v>
      </c>
      <c r="G303" s="63">
        <f>IF(G299=0,"-",
G299+G300+G301+G302)</f>
        <v>0.28096607505702398</v>
      </c>
      <c r="H303" s="63" t="str">
        <f t="shared" ref="H303:K303" si="62">IF(H299=0,"-",
H299+H300+H301+H302)</f>
        <v>-</v>
      </c>
      <c r="I303" s="63" t="str">
        <f t="shared" si="62"/>
        <v>-</v>
      </c>
      <c r="J303" s="63" t="str">
        <f t="shared" si="62"/>
        <v>-</v>
      </c>
      <c r="K303" s="63" t="str">
        <f t="shared" si="62"/>
        <v>-</v>
      </c>
    </row>
    <row r="304" spans="2:14" outlineLevel="2" x14ac:dyDescent="0.35">
      <c r="B304"/>
      <c r="G304" s="88" cm="1">
        <f t="array" ref="G304">IF($D$244='Lookup refs'!$D$23,
IF(G303=INDEX(RateCheck_VDO2021F[[Ausnet]:[United Energy]],MATCH(Calc_Rates!$C303&amp;"_"&amp;Calc_Rates!$F303,RateCheck_VDO2021F[[Rate]:[Rate]],0),MATCH(Calc_Rates!G$9,RateCheck_VDO2021F[[#Headers],[Ausnet]:[United Energy]],0)),0,1),
IF(G303="-","-",
IF(G303=(((SUMIFS(Calc_Variable_2[Ausnet],Calc_Variable_2[[Customer type]:[Customer type]],Calc_Rates!$F303)+SUMIFS(Calc_Variable_2[Ausnet],Calc_Variable_2[[Customer type]:[Customer type]],"All")+G299)*(1+Calc_ROM_2[Ausnet]))*(1+GST)),0,1)))</f>
        <v>0</v>
      </c>
      <c r="H304" s="88" t="str" cm="1">
        <f t="array" ref="H304">IF($D$244='Lookup refs'!$D$23,
IF(H303=INDEX(RateCheck_VDO2021F[[Ausnet]:[United Energy]],MATCH(Calc_Rates!$C303&amp;"_"&amp;Calc_Rates!$F303,RateCheck_VDO2021F[[Rate]:[Rate]],0),MATCH(Calc_Rates!H$9,RateCheck_VDO2021F[[#Headers],[Ausnet]:[United Energy]],0)),0,1),
IF(H303="-","-",
IF(H303=(((SUMIFS(Calc_Variable_2[Citipower],Calc_Variable_2[[Customer type]:[Customer type]],Calc_Rates!$F303)+SUMIFS(Calc_Variable_2[Citipower],Calc_Variable_2[[Customer type]:[Customer type]],"All")+H299)*(1+Calc_ROM_2[Citipower]))*(1+GST)),0,1)))</f>
        <v>-</v>
      </c>
      <c r="I304" s="88" t="str" cm="1">
        <f t="array" ref="I304">IF($D$244='Lookup refs'!$D$23,
IF(I303=INDEX(RateCheck_VDO2021F[[Ausnet]:[United Energy]],MATCH(Calc_Rates!$C303&amp;"_"&amp;Calc_Rates!$F303,RateCheck_VDO2021F[[Rate]:[Rate]],0),MATCH(Calc_Rates!I$9,RateCheck_VDO2021F[[#Headers],[Ausnet]:[United Energy]],0)),0,1),
IF(I303="-","-",
IF(I303=(((SUMIFS(Calc_Variable_2[Jemena],Calc_Variable_2[[Customer type]:[Customer type]],Calc_Rates!$F303)+SUMIFS(Calc_Variable_2[Jemena],Calc_Variable_2[[Customer type]:[Customer type]],"All")+I299)*(1+Calc_ROM_2[Jemena]))*(1+GST)),0,1)))</f>
        <v>-</v>
      </c>
      <c r="J304" s="88" t="str" cm="1">
        <f t="array" ref="J304">IF($D$244='Lookup refs'!$D$23,
IF(J303=INDEX(RateCheck_VDO2021F[[Ausnet]:[United Energy]],MATCH(Calc_Rates!$C303&amp;"_"&amp;Calc_Rates!$F303,RateCheck_VDO2021F[[Rate]:[Rate]],0),MATCH(Calc_Rates!J$9,RateCheck_VDO2021F[[#Headers],[Ausnet]:[United Energy]],0)),0,1),
IF(J303="-","-",
IF(J303=(((SUMIFS(Calc_Variable_2[Powercor],Calc_Variable_2[[Customer type]:[Customer type]],Calc_Rates!$F303)+SUMIFS(Calc_Variable_2[Powercor],Calc_Variable_2[[Customer type]:[Customer type]],"All")+J299)*(1+Calc_ROM_2[Powercor]))*(1+GST)),0,1)))</f>
        <v>-</v>
      </c>
      <c r="K304" s="88" t="str" cm="1">
        <f t="array" ref="K304">IF($D$244='Lookup refs'!$D$23,
IF(K303=INDEX(RateCheck_VDO2021F[[Ausnet]:[United Energy]],MATCH(Calc_Rates!$C303&amp;"_"&amp;Calc_Rates!$F303,RateCheck_VDO2021F[[Rate]:[Rate]],0),MATCH(Calc_Rates!K$9,RateCheck_VDO2021F[[#Headers],[Ausnet]:[United Energy]],0)),0,1),
IF(K303="-","-",
IF(K303=(((SUMIFS(Calc_Variable_2[United Energy],Calc_Variable_2[[Customer type]:[Customer type]],Calc_Rates!$F303)+SUMIFS(Calc_Variable_2[United Energy],Calc_Variable_2[[Customer type]:[Customer type]],"All")+K299)*(1+Calc_ROM_2[United Energy]))*(1+GST)),0,1)))</f>
        <v>-</v>
      </c>
    </row>
    <row r="305" spans="2:11" ht="15.5" outlineLevel="2" x14ac:dyDescent="0.35">
      <c r="B305"/>
      <c r="C305" s="69" t="s">
        <v>290</v>
      </c>
    </row>
    <row r="306" spans="2:11" outlineLevel="2" x14ac:dyDescent="0.35">
      <c r="B306"/>
      <c r="C306" s="21" t="s">
        <v>289</v>
      </c>
      <c r="D306" s="21" t="s">
        <v>9</v>
      </c>
      <c r="E306" s="21" t="s">
        <v>284</v>
      </c>
      <c r="F306" s="21" t="s">
        <v>88</v>
      </c>
      <c r="G306" s="56">
        <f>SUMIFS(Calc_NetworkV_2[Ausnet],Calc_NetworkV_2[[Cost item]:[Cost item]],$C305,Calc_NetworkV_2[[Customer type]:[Customer type]],$F306)</f>
        <v>0.128382</v>
      </c>
      <c r="H306" s="56">
        <f>SUMIFS(Calc_NetworkV_2[Citipower],Calc_NetworkV_2[[Cost item]:[Cost item]],$C305,Calc_NetworkV_2[[Customer type]:[Customer type]],$F306)</f>
        <v>0</v>
      </c>
      <c r="I306" s="56">
        <f>SUMIFS(Calc_NetworkV_2[Jemena],Calc_NetworkV_2[[Cost item]:[Cost item]],$C305,Calc_NetworkV_2[[Customer type]:[Customer type]],$F306)</f>
        <v>0</v>
      </c>
      <c r="J306" s="56">
        <f>SUMIFS(Calc_NetworkV_2[Powercor],Calc_NetworkV_2[[Cost item]:[Cost item]],$C305,Calc_NetworkV_2[[Customer type]:[Customer type]],$F306)</f>
        <v>0</v>
      </c>
      <c r="K306" s="56">
        <f>SUMIFS(Calc_NetworkV_2[United Energy],Calc_NetworkV_2[[Cost item]:[Cost item]],$C305,Calc_NetworkV_2[[Customer type]:[Customer type]],$F306)</f>
        <v>0</v>
      </c>
    </row>
    <row r="307" spans="2:11" outlineLevel="2" x14ac:dyDescent="0.35">
      <c r="B307"/>
      <c r="C307" s="21" t="s">
        <v>282</v>
      </c>
      <c r="D307" s="21" t="s">
        <v>9</v>
      </c>
      <c r="E307" s="21" t="s">
        <v>284</v>
      </c>
      <c r="F307" s="21" t="s">
        <v>88</v>
      </c>
      <c r="G307" s="56">
        <f>SUMIFS(Calc_Variable_2[Ausnet],Calc_Variable_2[[Customer type]:[Customer type]],"All")+SUMIFS(Calc_Variable_2[Ausnet],Calc_Variable_2[[Customer type]:[Customer type]],$F307)</f>
        <v>0.12637186287937996</v>
      </c>
      <c r="H307" s="56">
        <f>SUMIFS(Calc_Variable_2[Citipower],Calc_Variable_2[[Customer type]:[Customer type]],"All")+SUMIFS(Calc_Variable_2[Citipower],Calc_Variable_2[[Customer type]:[Customer type]],$F307)</f>
        <v>0.11874531208829922</v>
      </c>
      <c r="I307" s="56">
        <f>SUMIFS(Calc_Variable_2[Jemena],Calc_Variable_2[[Customer type]:[Customer type]],"All")+SUMIFS(Calc_Variable_2[Jemena],Calc_Variable_2[[Customer type]:[Customer type]],$F307)</f>
        <v>0.12678140704542384</v>
      </c>
      <c r="J307" s="56">
        <f>SUMIFS(Calc_Variable_2[Powercor],Calc_Variable_2[[Customer type]:[Customer type]],"All")+SUMIFS(Calc_Variable_2[Powercor],Calc_Variable_2[[Customer type]:[Customer type]],$F307)</f>
        <v>0.12465456385532679</v>
      </c>
      <c r="K307" s="56">
        <f>SUMIFS(Calc_Variable_2[United Energy],Calc_Variable_2[[Customer type]:[Customer type]],"All")+SUMIFS(Calc_Variable_2[United Energy],Calc_Variable_2[[Customer type]:[Customer type]],$F307)</f>
        <v>0.1290291282783943</v>
      </c>
    </row>
    <row r="308" spans="2:11" outlineLevel="2" x14ac:dyDescent="0.35">
      <c r="B308"/>
      <c r="C308" s="21" t="s">
        <v>197</v>
      </c>
      <c r="D308" s="21" t="s">
        <v>9</v>
      </c>
      <c r="E308" s="21" t="s">
        <v>284</v>
      </c>
      <c r="F308" s="21" t="s">
        <v>88</v>
      </c>
      <c r="G308" s="62" cm="1">
        <f t="array" ref="G308">IF(G306=0,"-",
(G306+G307)*Calc_ROM_2[Ausnet])</f>
        <v>1.538713331791455E-2</v>
      </c>
      <c r="H308" s="62" t="str" cm="1">
        <f t="array" ref="H308">IF(H306=0,"-",
(H306+H307)*Calc_ROM_2[Citipower])</f>
        <v>-</v>
      </c>
      <c r="I308" s="62" t="str" cm="1">
        <f t="array" ref="I308">IF(I306=0,"-",
(I306+I307)*Calc_ROM_2[Jemena])</f>
        <v>-</v>
      </c>
      <c r="J308" s="62" t="str" cm="1">
        <f t="array" ref="J308">IF(J306=0,"-",
(J306+J307)*Calc_ROM_2[Powercor])</f>
        <v>-</v>
      </c>
      <c r="K308" s="62" t="str" cm="1">
        <f t="array" ref="K308">IF(K306=0,"-",
(K306+K307)*Calc_ROM_2[United Energy])</f>
        <v>-</v>
      </c>
    </row>
    <row r="309" spans="2:11" outlineLevel="2" x14ac:dyDescent="0.35">
      <c r="B309"/>
      <c r="C309" s="21" t="s">
        <v>279</v>
      </c>
      <c r="D309" s="21" t="s">
        <v>9</v>
      </c>
      <c r="E309" s="21" t="s">
        <v>284</v>
      </c>
      <c r="F309" s="21" t="s">
        <v>88</v>
      </c>
      <c r="G309" s="62">
        <f>IF(G306=0,"-",
(G306+G307+G308)*GST)</f>
        <v>2.7014099619729448E-2</v>
      </c>
      <c r="H309" s="62" t="str">
        <f>IF(H306=0,"-",
(H306+H307+H308)*GST)</f>
        <v>-</v>
      </c>
      <c r="I309" s="62" t="str">
        <f>IF(I306=0,"-",
(I306+I307+I308)*GST)</f>
        <v>-</v>
      </c>
      <c r="J309" s="62" t="str">
        <f>IF(J306=0,"-",
(J306+J307+J308)*GST)</f>
        <v>-</v>
      </c>
      <c r="K309" s="62" t="str">
        <f>IF(K306=0,"-",
(K306+K307+K308)*GST)</f>
        <v>-</v>
      </c>
    </row>
    <row r="310" spans="2:11" outlineLevel="2" x14ac:dyDescent="0.35">
      <c r="B310"/>
      <c r="C310" s="21" t="str">
        <f>C305&amp;" charge"</f>
        <v>Anytime - Balance charge</v>
      </c>
      <c r="D310" s="21" t="s">
        <v>9</v>
      </c>
      <c r="E310" s="21" t="s">
        <v>284</v>
      </c>
      <c r="F310" s="21" t="s">
        <v>88</v>
      </c>
      <c r="G310" s="63">
        <f>IF(G306=0,"-",
G306+G307+G308+G309)</f>
        <v>0.29715509581702393</v>
      </c>
      <c r="H310" s="63" t="str">
        <f t="shared" ref="H310" si="63">IF(H306=0,"-",
H306+H307+H308+H309)</f>
        <v>-</v>
      </c>
      <c r="I310" s="63" t="str">
        <f t="shared" ref="I310" si="64">IF(I306=0,"-",
I306+I307+I308+I309)</f>
        <v>-</v>
      </c>
      <c r="J310" s="63" t="str">
        <f t="shared" ref="J310" si="65">IF(J306=0,"-",
J306+J307+J308+J309)</f>
        <v>-</v>
      </c>
      <c r="K310" s="63" t="str">
        <f t="shared" ref="K310" si="66">IF(K306=0,"-",
K306+K307+K308+K309)</f>
        <v>-</v>
      </c>
    </row>
    <row r="311" spans="2:11" outlineLevel="2" x14ac:dyDescent="0.35">
      <c r="B311"/>
      <c r="G311" s="88" cm="1">
        <f t="array" ref="G311">IF($D$244='Lookup refs'!$D$23,
IF(G310=INDEX(RateCheck_VDO2021F[[Ausnet]:[United Energy]],MATCH(Calc_Rates!$C310&amp;"_"&amp;Calc_Rates!$F310,RateCheck_VDO2021F[[Rate]:[Rate]],0),MATCH(Calc_Rates!G$9,RateCheck_VDO2021F[[#Headers],[Ausnet]:[United Energy]],0)),0,1),
IF(G310="-","-",
IF(G310=(((SUMIFS(Calc_Variable_2[Ausnet],Calc_Variable_2[[Customer type]:[Customer type]],Calc_Rates!$F310)+SUMIFS(Calc_Variable_2[Ausnet],Calc_Variable_2[[Customer type]:[Customer type]],"All")+G306)*(1+Calc_ROM_2[Ausnet]))*(1+GST)),0,1)))</f>
        <v>0</v>
      </c>
      <c r="H311" s="88" t="str" cm="1">
        <f t="array" ref="H311">IF($D$244='Lookup refs'!$D$23,
IF(H310=INDEX(RateCheck_VDO2021F[[Ausnet]:[United Energy]],MATCH(Calc_Rates!$C310&amp;"_"&amp;Calc_Rates!$F310,RateCheck_VDO2021F[[Rate]:[Rate]],0),MATCH(Calc_Rates!H$9,RateCheck_VDO2021F[[#Headers],[Ausnet]:[United Energy]],0)),0,1),
IF(H310="-","-",
IF(H310=(((SUMIFS(Calc_Variable_2[Citipower],Calc_Variable_2[[Customer type]:[Customer type]],Calc_Rates!$F310)+SUMIFS(Calc_Variable_2[Citipower],Calc_Variable_2[[Customer type]:[Customer type]],"All")+H306)*(1+Calc_ROM_2[Citipower]))*(1+GST)),0,1)))</f>
        <v>-</v>
      </c>
      <c r="I311" s="88" t="str" cm="1">
        <f t="array" ref="I311">IF($D$244='Lookup refs'!$D$23,
IF(I310=INDEX(RateCheck_VDO2021F[[Ausnet]:[United Energy]],MATCH(Calc_Rates!$C310&amp;"_"&amp;Calc_Rates!$F310,RateCheck_VDO2021F[[Rate]:[Rate]],0),MATCH(Calc_Rates!I$9,RateCheck_VDO2021F[[#Headers],[Ausnet]:[United Energy]],0)),0,1),
IF(I310="-","-",
IF(I310=(((SUMIFS(Calc_Variable_2[Jemena],Calc_Variable_2[[Customer type]:[Customer type]],Calc_Rates!$F310)+SUMIFS(Calc_Variable_2[Jemena],Calc_Variable_2[[Customer type]:[Customer type]],"All")+I306)*(1+Calc_ROM_2[Jemena]))*(1+GST)),0,1)))</f>
        <v>-</v>
      </c>
      <c r="J311" s="88" t="str" cm="1">
        <f t="array" ref="J311">IF($D$244='Lookup refs'!$D$23,
IF(J310=INDEX(RateCheck_VDO2021F[[Ausnet]:[United Energy]],MATCH(Calc_Rates!$C310&amp;"_"&amp;Calc_Rates!$F310,RateCheck_VDO2021F[[Rate]:[Rate]],0),MATCH(Calc_Rates!J$9,RateCheck_VDO2021F[[#Headers],[Ausnet]:[United Energy]],0)),0,1),
IF(J310="-","-",
IF(J310=(((SUMIFS(Calc_Variable_2[Powercor],Calc_Variable_2[[Customer type]:[Customer type]],Calc_Rates!$F310)+SUMIFS(Calc_Variable_2[Powercor],Calc_Variable_2[[Customer type]:[Customer type]],"All")+J306)*(1+Calc_ROM_2[Powercor]))*(1+GST)),0,1)))</f>
        <v>-</v>
      </c>
      <c r="K311" s="88" t="str" cm="1">
        <f t="array" ref="K311">IF($D$244='Lookup refs'!$D$23,
IF(K310=INDEX(RateCheck_VDO2021F[[Ausnet]:[United Energy]],MATCH(Calc_Rates!$C310&amp;"_"&amp;Calc_Rates!$F310,RateCheck_VDO2021F[[Rate]:[Rate]],0),MATCH(Calc_Rates!K$9,RateCheck_VDO2021F[[#Headers],[Ausnet]:[United Energy]],0)),0,1),
IF(K310="-","-",
IF(K310=(((SUMIFS(Calc_Variable_2[United Energy],Calc_Variable_2[[Customer type]:[Customer type]],Calc_Rates!$F310)+SUMIFS(Calc_Variable_2[United Energy],Calc_Variable_2[[Customer type]:[Customer type]],"All")+K306)*(1+Calc_ROM_2[United Energy]))*(1+GST)),0,1)))</f>
        <v>-</v>
      </c>
    </row>
    <row r="312" spans="2:11" ht="15.5" outlineLevel="2" x14ac:dyDescent="0.35">
      <c r="B312"/>
      <c r="C312" s="69" t="s">
        <v>291</v>
      </c>
    </row>
    <row r="313" spans="2:11" outlineLevel="2" x14ac:dyDescent="0.35">
      <c r="B313"/>
      <c r="C313" s="21" t="s">
        <v>289</v>
      </c>
      <c r="D313" s="21" t="s">
        <v>9</v>
      </c>
      <c r="E313" s="21" t="s">
        <v>284</v>
      </c>
      <c r="F313" s="21" t="s">
        <v>88</v>
      </c>
      <c r="G313" s="56">
        <f>SUMIFS(Calc_NetworkV_2[Ausnet],Calc_NetworkV_2[[Cost item]:[Cost item]],$C312,Calc_NetworkV_2[[Customer type]:[Customer type]],$F313)</f>
        <v>0</v>
      </c>
      <c r="H313" s="56">
        <f>SUMIFS(Calc_NetworkV_2[Citipower],Calc_NetworkV_2[[Cost item]:[Cost item]],$C312,Calc_NetworkV_2[[Customer type]:[Customer type]],$F313)</f>
        <v>8.0500000000000002E-2</v>
      </c>
      <c r="I313" s="56">
        <f>SUMIFS(Calc_NetworkV_2[Jemena],Calc_NetworkV_2[[Cost item]:[Cost item]],$C312,Calc_NetworkV_2[[Customer type]:[Customer type]],$F313)</f>
        <v>8.6699999999999999E-2</v>
      </c>
      <c r="J313" s="56">
        <f>SUMIFS(Calc_NetworkV_2[Powercor],Calc_NetworkV_2[[Cost item]:[Cost item]],$C312,Calc_NetworkV_2[[Customer type]:[Customer type]],$F313)</f>
        <v>8.1500000000000003E-2</v>
      </c>
      <c r="K313" s="56">
        <f>SUMIFS(Calc_NetworkV_2[United Energy],Calc_NetworkV_2[[Cost item]:[Cost item]],$C312,Calc_NetworkV_2[[Customer type]:[Customer type]],$F313)</f>
        <v>7.9899999999999999E-2</v>
      </c>
    </row>
    <row r="314" spans="2:11" outlineLevel="2" x14ac:dyDescent="0.35">
      <c r="B314"/>
      <c r="C314" s="21" t="s">
        <v>282</v>
      </c>
      <c r="D314" s="21" t="s">
        <v>9</v>
      </c>
      <c r="E314" s="21" t="s">
        <v>284</v>
      </c>
      <c r="F314" s="21" t="s">
        <v>88</v>
      </c>
      <c r="G314" s="56">
        <f>SUMIFS(Calc_Variable_2[Ausnet],Calc_Variable_2[[Customer type]:[Customer type]],"All")+SUMIFS(Calc_Variable_2[Ausnet],Calc_Variable_2[[Customer type]:[Customer type]],$F314)</f>
        <v>0.12637186287937996</v>
      </c>
      <c r="H314" s="56">
        <f>SUMIFS(Calc_Variable_2[Citipower],Calc_Variable_2[[Customer type]:[Customer type]],"All")+SUMIFS(Calc_Variable_2[Citipower],Calc_Variable_2[[Customer type]:[Customer type]],$F314)</f>
        <v>0.11874531208829922</v>
      </c>
      <c r="I314" s="56">
        <f>SUMIFS(Calc_Variable_2[Jemena],Calc_Variable_2[[Customer type]:[Customer type]],"All")+SUMIFS(Calc_Variable_2[Jemena],Calc_Variable_2[[Customer type]:[Customer type]],$F314)</f>
        <v>0.12678140704542384</v>
      </c>
      <c r="J314" s="56">
        <f>SUMIFS(Calc_Variable_2[Powercor],Calc_Variable_2[[Customer type]:[Customer type]],"All")+SUMIFS(Calc_Variable_2[Powercor],Calc_Variable_2[[Customer type]:[Customer type]],$F314)</f>
        <v>0.12465456385532679</v>
      </c>
      <c r="K314" s="56">
        <f>SUMIFS(Calc_Variable_2[United Energy],Calc_Variable_2[[Customer type]:[Customer type]],"All")+SUMIFS(Calc_Variable_2[United Energy],Calc_Variable_2[[Customer type]:[Customer type]],$F314)</f>
        <v>0.1290291282783943</v>
      </c>
    </row>
    <row r="315" spans="2:11" outlineLevel="2" x14ac:dyDescent="0.35">
      <c r="B315"/>
      <c r="C315" s="21" t="s">
        <v>197</v>
      </c>
      <c r="D315" s="21" t="s">
        <v>9</v>
      </c>
      <c r="E315" s="21" t="s">
        <v>284</v>
      </c>
      <c r="F315" s="21" t="s">
        <v>88</v>
      </c>
      <c r="G315" s="62" t="str" cm="1">
        <f t="array" ref="G315">IF(G313=0,"-",
(G313+G314)*Calc_ROM_2[Ausnet])</f>
        <v>-</v>
      </c>
      <c r="H315" s="62" cm="1">
        <f t="array" ref="H315">IF(H313=0,"-",
(H313+H314)*Calc_ROM_2[Citipower])</f>
        <v>1.2034416850133272E-2</v>
      </c>
      <c r="I315" s="62" cm="1">
        <f t="array" ref="I315">IF(I313=0,"-",
(I313+I314)*Calc_ROM_2[Jemena])</f>
        <v>1.2894276985543601E-2</v>
      </c>
      <c r="J315" s="62" cm="1">
        <f t="array" ref="J315">IF(J313=0,"-",
(J313+J314)*Calc_ROM_2[Powercor])</f>
        <v>1.2451735656861739E-2</v>
      </c>
      <c r="K315" s="62" cm="1">
        <f t="array" ref="K315">IF(K313=0,"-",
(K313+K314)*Calc_ROM_2[United Energy])</f>
        <v>1.2619319348015016E-2</v>
      </c>
    </row>
    <row r="316" spans="2:11" outlineLevel="2" x14ac:dyDescent="0.35">
      <c r="B316"/>
      <c r="C316" s="21" t="s">
        <v>279</v>
      </c>
      <c r="D316" s="21" t="s">
        <v>9</v>
      </c>
      <c r="E316" s="21" t="s">
        <v>284</v>
      </c>
      <c r="F316" s="21" t="s">
        <v>88</v>
      </c>
      <c r="G316" s="62" t="str">
        <f>IF(G313=0,"-",
(G313+G314+G315)*GST)</f>
        <v>-</v>
      </c>
      <c r="H316" s="62">
        <f>IF(H313=0,"-",
(H313+H314+H315)*GST)</f>
        <v>2.1127972893843248E-2</v>
      </c>
      <c r="I316" s="62">
        <f>IF(I313=0,"-",
(I313+I314+I315)*GST)</f>
        <v>2.2637568403096747E-2</v>
      </c>
      <c r="J316" s="62">
        <f>IF(J313=0,"-",
(J313+J314+J315)*GST)</f>
        <v>2.1860629951218857E-2</v>
      </c>
      <c r="K316" s="62">
        <f>IF(K313=0,"-",
(K313+K314+K315)*GST)</f>
        <v>2.2154844762640933E-2</v>
      </c>
    </row>
    <row r="317" spans="2:11" outlineLevel="2" x14ac:dyDescent="0.35">
      <c r="B317"/>
      <c r="C317" s="21" t="str">
        <f>C312&amp;" charge"</f>
        <v>Anytime - Single rate charge</v>
      </c>
      <c r="D317" s="21" t="s">
        <v>9</v>
      </c>
      <c r="E317" s="21" t="s">
        <v>284</v>
      </c>
      <c r="F317" s="21" t="s">
        <v>88</v>
      </c>
      <c r="G317" s="63" t="str">
        <f>IF(G313=0,"-",
G313+G314+G315+G316)</f>
        <v>-</v>
      </c>
      <c r="H317" s="63">
        <f t="shared" ref="H317" si="67">IF(H313=0,"-",
H313+H314+H315+H316)</f>
        <v>0.23240770183227571</v>
      </c>
      <c r="I317" s="63">
        <f t="shared" ref="I317" si="68">IF(I313=0,"-",
I313+I314+I315+I316)</f>
        <v>0.24901325243406419</v>
      </c>
      <c r="J317" s="63">
        <f t="shared" ref="J317" si="69">IF(J313=0,"-",
J313+J314+J315+J316)</f>
        <v>0.24046692946340739</v>
      </c>
      <c r="K317" s="63">
        <f t="shared" ref="K317" si="70">IF(K313=0,"-",
K313+K314+K315+K316)</f>
        <v>0.24370329238905025</v>
      </c>
    </row>
    <row r="318" spans="2:11" outlineLevel="2" x14ac:dyDescent="0.35">
      <c r="B318"/>
      <c r="G318" s="88" t="str" cm="1">
        <f t="array" ref="G318">IF($D$244='Lookup refs'!$D$23,
IF(G317=INDEX(RateCheck_VDO2021F[[Ausnet]:[United Energy]],MATCH(Calc_Rates!$C317&amp;"_"&amp;Calc_Rates!$F317,RateCheck_VDO2021F[[Rate]:[Rate]],0),MATCH(Calc_Rates!G$9,RateCheck_VDO2021F[[#Headers],[Ausnet]:[United Energy]],0)),0,1),
IF(G317="-","-",
IF(G317=(((SUMIFS(Calc_Variable_2[Ausnet],Calc_Variable_2[[Customer type]:[Customer type]],Calc_Rates!$F317)+SUMIFS(Calc_Variable_2[Ausnet],Calc_Variable_2[[Customer type]:[Customer type]],"All")+G313)*(1+Calc_ROM_2[Ausnet]))*(1+GST)),0,1)))</f>
        <v>-</v>
      </c>
      <c r="H318" s="88" cm="1">
        <f t="array" ref="H318">IF($D$244='Lookup refs'!$D$23,
IF(H317=INDEX(RateCheck_VDO2021F[[Ausnet]:[United Energy]],MATCH(Calc_Rates!$C317&amp;"_"&amp;Calc_Rates!$F317,RateCheck_VDO2021F[[Rate]:[Rate]],0),MATCH(Calc_Rates!H$9,RateCheck_VDO2021F[[#Headers],[Ausnet]:[United Energy]],0)),0,1),
IF(H317="-","-",
IF(H317=(((SUMIFS(Calc_Variable_2[Citipower],Calc_Variable_2[[Customer type]:[Customer type]],Calc_Rates!$F317)+SUMIFS(Calc_Variable_2[Citipower],Calc_Variable_2[[Customer type]:[Customer type]],"All")+H313)*(1+Calc_ROM_2[Citipower]))*(1+GST)),0,1)))</f>
        <v>0</v>
      </c>
      <c r="I318" s="88" cm="1">
        <f t="array" ref="I318">IF($D$244='Lookup refs'!$D$23,
IF(I317=INDEX(RateCheck_VDO2021F[[Ausnet]:[United Energy]],MATCH(Calc_Rates!$C317&amp;"_"&amp;Calc_Rates!$F317,RateCheck_VDO2021F[[Rate]:[Rate]],0),MATCH(Calc_Rates!I$9,RateCheck_VDO2021F[[#Headers],[Ausnet]:[United Energy]],0)),0,1),
IF(I317="-","-",
IF(I317=(((SUMIFS(Calc_Variable_2[Jemena],Calc_Variable_2[[Customer type]:[Customer type]],Calc_Rates!$F317)+SUMIFS(Calc_Variable_2[Jemena],Calc_Variable_2[[Customer type]:[Customer type]],"All")+I313)*(1+Calc_ROM_2[Jemena]))*(1+GST)),0,1)))</f>
        <v>0</v>
      </c>
      <c r="J318" s="88" cm="1">
        <f t="array" ref="J318">IF($D$244='Lookup refs'!$D$23,
IF(J317=INDEX(RateCheck_VDO2021F[[Ausnet]:[United Energy]],MATCH(Calc_Rates!$C317&amp;"_"&amp;Calc_Rates!$F317,RateCheck_VDO2021F[[Rate]:[Rate]],0),MATCH(Calc_Rates!J$9,RateCheck_VDO2021F[[#Headers],[Ausnet]:[United Energy]],0)),0,1),
IF(J317="-","-",
IF(J317=(((SUMIFS(Calc_Variable_2[Powercor],Calc_Variable_2[[Customer type]:[Customer type]],Calc_Rates!$F317)+SUMIFS(Calc_Variable_2[Powercor],Calc_Variable_2[[Customer type]:[Customer type]],"All")+J313)*(1+Calc_ROM_2[Powercor]))*(1+GST)),0,1)))</f>
        <v>0</v>
      </c>
      <c r="K318" s="88" cm="1">
        <f t="array" ref="K318">IF($D$244='Lookup refs'!$D$23,
IF(K317=INDEX(RateCheck_VDO2021F[[Ausnet]:[United Energy]],MATCH(Calc_Rates!$C317&amp;"_"&amp;Calc_Rates!$F317,RateCheck_VDO2021F[[Rate]:[Rate]],0),MATCH(Calc_Rates!K$9,RateCheck_VDO2021F[[#Headers],[Ausnet]:[United Energy]],0)),0,1),
IF(K317="-","-",
IF(K317=(((SUMIFS(Calc_Variable_2[United Energy],Calc_Variable_2[[Customer type]:[Customer type]],Calc_Rates!$F317)+SUMIFS(Calc_Variable_2[United Energy],Calc_Variable_2[[Customer type]:[Customer type]],"All")+K313)*(1+Calc_ROM_2[United Energy]))*(1+GST)),0,1)))</f>
        <v>0</v>
      </c>
    </row>
    <row r="319" spans="2:11" ht="15.5" outlineLevel="2" x14ac:dyDescent="0.35">
      <c r="B319"/>
      <c r="C319" s="69" t="s">
        <v>292</v>
      </c>
    </row>
    <row r="320" spans="2:11" outlineLevel="2" x14ac:dyDescent="0.35">
      <c r="B320"/>
      <c r="C320" s="21" t="s">
        <v>289</v>
      </c>
      <c r="D320" s="21" t="s">
        <v>9</v>
      </c>
      <c r="E320" s="21" t="s">
        <v>284</v>
      </c>
      <c r="F320" s="21" t="s">
        <v>88</v>
      </c>
      <c r="G320" s="56">
        <f>SUMIFS(Calc_NetworkV_2[Ausnet],Calc_NetworkV_2[[Cost item]:[Cost item]],$C319,Calc_NetworkV_2[[Customer type]:[Customer type]],$F320)</f>
        <v>0.20853200000000002</v>
      </c>
      <c r="H320" s="56">
        <f>SUMIFS(Calc_NetworkV_2[Citipower],Calc_NetworkV_2[[Cost item]:[Cost item]],$C319,Calc_NetworkV_2[[Customer type]:[Customer type]],$F320)</f>
        <v>0.15939999999999999</v>
      </c>
      <c r="I320" s="56">
        <f>SUMIFS(Calc_NetworkV_2[Jemena],Calc_NetworkV_2[[Cost item]:[Cost item]],$C319,Calc_NetworkV_2[[Customer type]:[Customer type]],$F320)</f>
        <v>0.13492000000000001</v>
      </c>
      <c r="J320" s="56">
        <f>SUMIFS(Calc_NetworkV_2[Powercor],Calc_NetworkV_2[[Cost item]:[Cost item]],$C319,Calc_NetworkV_2[[Customer type]:[Customer type]],$F320)</f>
        <v>0.15869999999999998</v>
      </c>
      <c r="K320" s="56">
        <f>SUMIFS(Calc_NetworkV_2[United Energy],Calc_NetworkV_2[[Cost item]:[Cost item]],$C319,Calc_NetworkV_2[[Customer type]:[Customer type]],$F320)</f>
        <v>0.15789999999999998</v>
      </c>
    </row>
    <row r="321" spans="2:11" outlineLevel="2" x14ac:dyDescent="0.35">
      <c r="B321"/>
      <c r="C321" s="21" t="s">
        <v>282</v>
      </c>
      <c r="D321" s="21" t="s">
        <v>9</v>
      </c>
      <c r="E321" s="21" t="s">
        <v>284</v>
      </c>
      <c r="F321" s="21" t="s">
        <v>88</v>
      </c>
      <c r="G321" s="56">
        <f>SUMIFS(Calc_Variable_2[Ausnet],Calc_Variable_2[[Customer type]:[Customer type]],"All")+SUMIFS(Calc_Variable_2[Ausnet],Calc_Variable_2[[Customer type]:[Customer type]],$F321)</f>
        <v>0.12637186287937996</v>
      </c>
      <c r="H321" s="56">
        <f>SUMIFS(Calc_Variable_2[Citipower],Calc_Variable_2[[Customer type]:[Customer type]],"All")+SUMIFS(Calc_Variable_2[Citipower],Calc_Variable_2[[Customer type]:[Customer type]],$F321)</f>
        <v>0.11874531208829922</v>
      </c>
      <c r="I321" s="56">
        <f>SUMIFS(Calc_Variable_2[Jemena],Calc_Variable_2[[Customer type]:[Customer type]],"All")+SUMIFS(Calc_Variable_2[Jemena],Calc_Variable_2[[Customer type]:[Customer type]],$F321)</f>
        <v>0.12678140704542384</v>
      </c>
      <c r="J321" s="56">
        <f>SUMIFS(Calc_Variable_2[Powercor],Calc_Variable_2[[Customer type]:[Customer type]],"All")+SUMIFS(Calc_Variable_2[Powercor],Calc_Variable_2[[Customer type]:[Customer type]],$F321)</f>
        <v>0.12465456385532679</v>
      </c>
      <c r="K321" s="56">
        <f>SUMIFS(Calc_Variable_2[United Energy],Calc_Variable_2[[Customer type]:[Customer type]],"All")+SUMIFS(Calc_Variable_2[United Energy],Calc_Variable_2[[Customer type]:[Customer type]],$F321)</f>
        <v>0.1290291282783943</v>
      </c>
    </row>
    <row r="322" spans="2:11" outlineLevel="2" x14ac:dyDescent="0.35">
      <c r="B322"/>
      <c r="C322" s="21" t="s">
        <v>197</v>
      </c>
      <c r="D322" s="21" t="s">
        <v>9</v>
      </c>
      <c r="E322" s="21" t="s">
        <v>284</v>
      </c>
      <c r="F322" s="21" t="s">
        <v>88</v>
      </c>
      <c r="G322" s="62" cm="1">
        <f t="array" ref="G322">IF(G320=0,"-",
(G320+G321)*Calc_ROM_2[Ausnet])</f>
        <v>2.0228193317914554E-2</v>
      </c>
      <c r="H322" s="62" cm="1">
        <f t="array" ref="H322">IF(H320=0,"-",
(H320+H321)*Calc_ROM_2[Citipower])</f>
        <v>1.6799976850133271E-2</v>
      </c>
      <c r="I322" s="62" cm="1">
        <f t="array" ref="I322">IF(I320=0,"-",
(I320+I321)*Calc_ROM_2[Jemena])</f>
        <v>1.5806764985543603E-2</v>
      </c>
      <c r="J322" s="62" cm="1">
        <f t="array" ref="J322">IF(J320=0,"-",
(J320+J321)*Calc_ROM_2[Powercor])</f>
        <v>1.7114615656861738E-2</v>
      </c>
      <c r="K322" s="62" cm="1">
        <f t="array" ref="K322">IF(K320=0,"-",
(K320+K321)*Calc_ROM_2[United Energy])</f>
        <v>1.7330519348015015E-2</v>
      </c>
    </row>
    <row r="323" spans="2:11" outlineLevel="2" x14ac:dyDescent="0.35">
      <c r="B323"/>
      <c r="C323" s="21" t="s">
        <v>279</v>
      </c>
      <c r="D323" s="21" t="s">
        <v>9</v>
      </c>
      <c r="E323" s="21" t="s">
        <v>284</v>
      </c>
      <c r="F323" s="21" t="s">
        <v>88</v>
      </c>
      <c r="G323" s="62">
        <f>IF(G320=0,"-",
(G320+G321+G322)*GST)</f>
        <v>3.5513205619729454E-2</v>
      </c>
      <c r="H323" s="62">
        <f>IF(H320=0,"-",
(H320+H321+H322)*GST)</f>
        <v>2.9494528893843248E-2</v>
      </c>
      <c r="I323" s="62">
        <f>IF(I320=0,"-",
(I320+I321+I322)*GST)</f>
        <v>2.7750817203096752E-2</v>
      </c>
      <c r="J323" s="62">
        <f>IF(J320=0,"-",
(J320+J321+J322)*GST)</f>
        <v>3.004691795121885E-2</v>
      </c>
      <c r="K323" s="62">
        <f>IF(K320=0,"-",
(K320+K321+K322)*GST)</f>
        <v>3.0425964762640929E-2</v>
      </c>
    </row>
    <row r="324" spans="2:11" outlineLevel="2" x14ac:dyDescent="0.35">
      <c r="B324"/>
      <c r="C324" s="21" t="str">
        <f>C319&amp;" charge"</f>
        <v>TOU - Peak charge</v>
      </c>
      <c r="D324" s="21" t="s">
        <v>9</v>
      </c>
      <c r="E324" s="21" t="s">
        <v>284</v>
      </c>
      <c r="F324" s="21" t="s">
        <v>88</v>
      </c>
      <c r="G324" s="63">
        <f>IF(G320=0,"-",
G320+G321+G322+G323)</f>
        <v>0.39064526181702397</v>
      </c>
      <c r="H324" s="63">
        <f t="shared" ref="H324" si="71">IF(H320=0,"-",
H320+H321+H322+H323)</f>
        <v>0.32443981783227571</v>
      </c>
      <c r="I324" s="63">
        <f t="shared" ref="I324" si="72">IF(I320=0,"-",
I320+I321+I322+I323)</f>
        <v>0.30525898923406425</v>
      </c>
      <c r="J324" s="63">
        <f t="shared" ref="J324" si="73">IF(J320=0,"-",
J320+J321+J322+J323)</f>
        <v>0.33051609746340732</v>
      </c>
      <c r="K324" s="63">
        <f t="shared" ref="K324" si="74">IF(K320=0,"-",
K320+K321+K322+K323)</f>
        <v>0.3346856123890502</v>
      </c>
    </row>
    <row r="325" spans="2:11" outlineLevel="2" x14ac:dyDescent="0.35">
      <c r="B325"/>
      <c r="G325" s="88" cm="1">
        <f t="array" ref="G325">IF($D$244='Lookup refs'!$D$23,
IF(G324=INDEX(RateCheck_VDO2021F[[Ausnet]:[United Energy]],MATCH(Calc_Rates!$C324&amp;"_"&amp;Calc_Rates!$F324,RateCheck_VDO2021F[[Rate]:[Rate]],0),MATCH(Calc_Rates!G$9,RateCheck_VDO2021F[[#Headers],[Ausnet]:[United Energy]],0)),0,1),
IF(G324="-","-",
IF(G324=(((SUMIFS(Calc_Variable_2[Ausnet],Calc_Variable_2[[Customer type]:[Customer type]],Calc_Rates!$F324)+SUMIFS(Calc_Variable_2[Ausnet],Calc_Variable_2[[Customer type]:[Customer type]],"All")+G320)*(1+Calc_ROM_2[Ausnet]))*(1+GST)),0,1)))</f>
        <v>0</v>
      </c>
      <c r="H325" s="88" cm="1">
        <f t="array" ref="H325">IF($D$244='Lookup refs'!$D$23,
IF(H324=INDEX(RateCheck_VDO2021F[[Ausnet]:[United Energy]],MATCH(Calc_Rates!$C324&amp;"_"&amp;Calc_Rates!$F324,RateCheck_VDO2021F[[Rate]:[Rate]],0),MATCH(Calc_Rates!H$9,RateCheck_VDO2021F[[#Headers],[Ausnet]:[United Energy]],0)),0,1),
IF(H324="-","-",
IF(H324=(((SUMIFS(Calc_Variable_2[Citipower],Calc_Variable_2[[Customer type]:[Customer type]],Calc_Rates!$F324)+SUMIFS(Calc_Variable_2[Citipower],Calc_Variable_2[[Customer type]:[Customer type]],"All")+H320)*(1+Calc_ROM_2[Citipower]))*(1+GST)),0,1)))</f>
        <v>0</v>
      </c>
      <c r="I325" s="88" cm="1">
        <f t="array" ref="I325">IF($D$244='Lookup refs'!$D$23,
IF(I324=INDEX(RateCheck_VDO2021F[[Ausnet]:[United Energy]],MATCH(Calc_Rates!$C324&amp;"_"&amp;Calc_Rates!$F324,RateCheck_VDO2021F[[Rate]:[Rate]],0),MATCH(Calc_Rates!I$9,RateCheck_VDO2021F[[#Headers],[Ausnet]:[United Energy]],0)),0,1),
IF(I324="-","-",
IF(I324=(((SUMIFS(Calc_Variable_2[Jemena],Calc_Variable_2[[Customer type]:[Customer type]],Calc_Rates!$F324)+SUMIFS(Calc_Variable_2[Jemena],Calc_Variable_2[[Customer type]:[Customer type]],"All")+I320)*(1+Calc_ROM_2[Jemena]))*(1+GST)),0,1)))</f>
        <v>0</v>
      </c>
      <c r="J325" s="88" cm="1">
        <f t="array" ref="J325">IF($D$244='Lookup refs'!$D$23,
IF(J324=INDEX(RateCheck_VDO2021F[[Ausnet]:[United Energy]],MATCH(Calc_Rates!$C324&amp;"_"&amp;Calc_Rates!$F324,RateCheck_VDO2021F[[Rate]:[Rate]],0),MATCH(Calc_Rates!J$9,RateCheck_VDO2021F[[#Headers],[Ausnet]:[United Energy]],0)),0,1),
IF(J324="-","-",
IF(J324=(((SUMIFS(Calc_Variable_2[Powercor],Calc_Variable_2[[Customer type]:[Customer type]],Calc_Rates!$F324)+SUMIFS(Calc_Variable_2[Powercor],Calc_Variable_2[[Customer type]:[Customer type]],"All")+J320)*(1+Calc_ROM_2[Powercor]))*(1+GST)),0,1)))</f>
        <v>0</v>
      </c>
      <c r="K325" s="88" cm="1">
        <f t="array" ref="K325">IF($D$244='Lookup refs'!$D$23,
IF(K324=INDEX(RateCheck_VDO2021F[[Ausnet]:[United Energy]],MATCH(Calc_Rates!$C324&amp;"_"&amp;Calc_Rates!$F324,RateCheck_VDO2021F[[Rate]:[Rate]],0),MATCH(Calc_Rates!K$9,RateCheck_VDO2021F[[#Headers],[Ausnet]:[United Energy]],0)),0,1),
IF(K324="-","-",
IF(K324=(((SUMIFS(Calc_Variable_2[United Energy],Calc_Variable_2[[Customer type]:[Customer type]],Calc_Rates!$F324)+SUMIFS(Calc_Variable_2[United Energy],Calc_Variable_2[[Customer type]:[Customer type]],"All")+K320)*(1+Calc_ROM_2[United Energy]))*(1+GST)),0,1)))</f>
        <v>0</v>
      </c>
    </row>
    <row r="326" spans="2:11" ht="15.5" outlineLevel="2" x14ac:dyDescent="0.35">
      <c r="B326"/>
      <c r="C326" s="69" t="s">
        <v>293</v>
      </c>
    </row>
    <row r="327" spans="2:11" outlineLevel="2" x14ac:dyDescent="0.35">
      <c r="B327"/>
      <c r="C327" s="21" t="s">
        <v>289</v>
      </c>
      <c r="D327" s="21" t="s">
        <v>9</v>
      </c>
      <c r="E327" s="21" t="s">
        <v>284</v>
      </c>
      <c r="F327" s="21" t="s">
        <v>88</v>
      </c>
      <c r="G327" s="56">
        <f>SUMIFS(Calc_NetworkV_2[Ausnet],Calc_NetworkV_2[[Cost item]:[Cost item]],$C326,Calc_NetworkV_2[[Customer type]:[Customer type]],$F327)</f>
        <v>4.3418999999999999E-2</v>
      </c>
      <c r="H327" s="56">
        <f>SUMIFS(Calc_NetworkV_2[Citipower],Calc_NetworkV_2[[Cost item]:[Cost item]],$C326,Calc_NetworkV_2[[Customer type]:[Customer type]],$F327)</f>
        <v>3.9800000000000002E-2</v>
      </c>
      <c r="I327" s="56">
        <f>SUMIFS(Calc_NetworkV_2[Jemena],Calc_NetworkV_2[[Cost item]:[Cost item]],$C326,Calc_NetworkV_2[[Customer type]:[Customer type]],$F327)</f>
        <v>3.8900000000000004E-2</v>
      </c>
      <c r="J327" s="56">
        <f>SUMIFS(Calc_NetworkV_2[Powercor],Calc_NetworkV_2[[Cost item]:[Cost item]],$C326,Calc_NetworkV_2[[Customer type]:[Customer type]],$F327)</f>
        <v>3.9599999999999996E-2</v>
      </c>
      <c r="K327" s="56">
        <f>SUMIFS(Calc_NetworkV_2[United Energy],Calc_NetworkV_2[[Cost item]:[Cost item]],$C326,Calc_NetworkV_2[[Customer type]:[Customer type]],$F327)</f>
        <v>3.95E-2</v>
      </c>
    </row>
    <row r="328" spans="2:11" outlineLevel="2" x14ac:dyDescent="0.35">
      <c r="B328"/>
      <c r="C328" s="21" t="s">
        <v>282</v>
      </c>
      <c r="D328" s="21" t="s">
        <v>9</v>
      </c>
      <c r="E328" s="21" t="s">
        <v>284</v>
      </c>
      <c r="F328" s="21" t="s">
        <v>88</v>
      </c>
      <c r="G328" s="56">
        <f>SUMIFS(Calc_Variable_2[Ausnet],Calc_Variable_2[[Customer type]:[Customer type]],"All")+SUMIFS(Calc_Variable_2[Ausnet],Calc_Variable_2[[Customer type]:[Customer type]],$F328)</f>
        <v>0.12637186287937996</v>
      </c>
      <c r="H328" s="56">
        <f>SUMIFS(Calc_Variable_2[Citipower],Calc_Variable_2[[Customer type]:[Customer type]],"All")+SUMIFS(Calc_Variable_2[Citipower],Calc_Variable_2[[Customer type]:[Customer type]],$F328)</f>
        <v>0.11874531208829922</v>
      </c>
      <c r="I328" s="56">
        <f>SUMIFS(Calc_Variable_2[Jemena],Calc_Variable_2[[Customer type]:[Customer type]],"All")+SUMIFS(Calc_Variable_2[Jemena],Calc_Variable_2[[Customer type]:[Customer type]],$F328)</f>
        <v>0.12678140704542384</v>
      </c>
      <c r="J328" s="56">
        <f>SUMIFS(Calc_Variable_2[Powercor],Calc_Variable_2[[Customer type]:[Customer type]],"All")+SUMIFS(Calc_Variable_2[Powercor],Calc_Variable_2[[Customer type]:[Customer type]],$F328)</f>
        <v>0.12465456385532679</v>
      </c>
      <c r="K328" s="56">
        <f>SUMIFS(Calc_Variable_2[United Energy],Calc_Variable_2[[Customer type]:[Customer type]],"All")+SUMIFS(Calc_Variable_2[United Energy],Calc_Variable_2[[Customer type]:[Customer type]],$F328)</f>
        <v>0.1290291282783943</v>
      </c>
    </row>
    <row r="329" spans="2:11" outlineLevel="2" x14ac:dyDescent="0.35">
      <c r="B329"/>
      <c r="C329" s="21" t="s">
        <v>197</v>
      </c>
      <c r="D329" s="21" t="s">
        <v>9</v>
      </c>
      <c r="E329" s="21" t="s">
        <v>284</v>
      </c>
      <c r="F329" s="21" t="s">
        <v>88</v>
      </c>
      <c r="G329" s="62" cm="1">
        <f t="array" ref="G329">IF(G327=0,"-",
(G327+G328)*Calc_ROM_2[Ausnet])</f>
        <v>1.0255368117914549E-2</v>
      </c>
      <c r="H329" s="62" cm="1">
        <f t="array" ref="H329">IF(H327=0,"-",
(H327+H328)*Calc_ROM_2[Citipower])</f>
        <v>9.5761368501332735E-3</v>
      </c>
      <c r="I329" s="62" cm="1">
        <f t="array" ref="I329">IF(I327=0,"-",
(I327+I328)*Calc_ROM_2[Jemena])</f>
        <v>1.00071569855436E-2</v>
      </c>
      <c r="J329" s="62" cm="1">
        <f t="array" ref="J329">IF(J327=0,"-",
(J327+J328)*Calc_ROM_2[Powercor])</f>
        <v>9.9209756568617372E-3</v>
      </c>
      <c r="K329" s="62" cm="1">
        <f t="array" ref="K329">IF(K327=0,"-",
(K327+K328)*Calc_ROM_2[United Energy])</f>
        <v>1.0179159348015016E-2</v>
      </c>
    </row>
    <row r="330" spans="2:11" outlineLevel="2" x14ac:dyDescent="0.35">
      <c r="B330"/>
      <c r="C330" s="21" t="s">
        <v>279</v>
      </c>
      <c r="D330" s="21" t="s">
        <v>9</v>
      </c>
      <c r="E330" s="21" t="s">
        <v>284</v>
      </c>
      <c r="F330" s="21" t="s">
        <v>88</v>
      </c>
      <c r="G330" s="62">
        <f>IF(G327=0,"-",
(G327+G328+G329)*GST)</f>
        <v>1.8004623099729451E-2</v>
      </c>
      <c r="H330" s="62">
        <f>IF(H327=0,"-",
(H327+H328+H329)*GST)</f>
        <v>1.6812144893843251E-2</v>
      </c>
      <c r="I330" s="62">
        <f>IF(I327=0,"-",
(I327+I328+I329)*GST)</f>
        <v>1.7568856403096744E-2</v>
      </c>
      <c r="J330" s="62">
        <f>IF(J327=0,"-",
(J327+J328+J329)*GST)</f>
        <v>1.7417553951218852E-2</v>
      </c>
      <c r="K330" s="62">
        <f>IF(K327=0,"-",
(K327+K328+K329)*GST)</f>
        <v>1.7870828762640935E-2</v>
      </c>
    </row>
    <row r="331" spans="2:11" outlineLevel="2" x14ac:dyDescent="0.35">
      <c r="B331"/>
      <c r="C331" s="21" t="str">
        <f>C326&amp;" charge"</f>
        <v>TOU - Off peak charge</v>
      </c>
      <c r="D331" s="21" t="s">
        <v>9</v>
      </c>
      <c r="E331" s="21" t="s">
        <v>284</v>
      </c>
      <c r="F331" s="21" t="s">
        <v>88</v>
      </c>
      <c r="G331" s="63">
        <f>IF(G327=0,"-",
G327+G328+G329+G330)</f>
        <v>0.19805085409702394</v>
      </c>
      <c r="H331" s="63">
        <f t="shared" ref="H331" si="75">IF(H327=0,"-",
H327+H328+H329+H330)</f>
        <v>0.18493359383227576</v>
      </c>
      <c r="I331" s="63">
        <f t="shared" ref="I331" si="76">IF(I327=0,"-",
I327+I328+I329+I330)</f>
        <v>0.19325742043406419</v>
      </c>
      <c r="J331" s="63">
        <f t="shared" ref="J331" si="77">IF(J327=0,"-",
J327+J328+J329+J330)</f>
        <v>0.19159309346340736</v>
      </c>
      <c r="K331" s="63">
        <f t="shared" ref="K331" si="78">IF(K327=0,"-",
K327+K328+K329+K330)</f>
        <v>0.19657911638905026</v>
      </c>
    </row>
    <row r="332" spans="2:11" outlineLevel="2" x14ac:dyDescent="0.35">
      <c r="B332"/>
      <c r="G332" s="88" cm="1">
        <f t="array" ref="G332">IF($D$244='Lookup refs'!$D$23,
IF(G331=INDEX(RateCheck_VDO2021F[[Ausnet]:[United Energy]],MATCH(Calc_Rates!$C331&amp;"_"&amp;Calc_Rates!$F331,RateCheck_VDO2021F[[Rate]:[Rate]],0),MATCH(Calc_Rates!G$9,RateCheck_VDO2021F[[#Headers],[Ausnet]:[United Energy]],0)),0,1),
IF(G331="-","-",
IF(G331=(((SUMIFS(Calc_Variable_2[Ausnet],Calc_Variable_2[[Customer type]:[Customer type]],Calc_Rates!$F331)+SUMIFS(Calc_Variable_2[Ausnet],Calc_Variable_2[[Customer type]:[Customer type]],"All")+G327)*(1+Calc_ROM_2[Ausnet]))*(1+GST)),0,1)))</f>
        <v>0</v>
      </c>
      <c r="H332" s="88" cm="1">
        <f t="array" ref="H332">IF($D$244='Lookup refs'!$D$23,
IF(H331=INDEX(RateCheck_VDO2021F[[Ausnet]:[United Energy]],MATCH(Calc_Rates!$C331&amp;"_"&amp;Calc_Rates!$F331,RateCheck_VDO2021F[[Rate]:[Rate]],0),MATCH(Calc_Rates!H$9,RateCheck_VDO2021F[[#Headers],[Ausnet]:[United Energy]],0)),0,1),
IF(H331="-","-",
IF(H331=(((SUMIFS(Calc_Variable_2[Citipower],Calc_Variable_2[[Customer type]:[Customer type]],Calc_Rates!$F331)+SUMIFS(Calc_Variable_2[Citipower],Calc_Variable_2[[Customer type]:[Customer type]],"All")+H327)*(1+Calc_ROM_2[Citipower]))*(1+GST)),0,1)))</f>
        <v>0</v>
      </c>
      <c r="I332" s="88" cm="1">
        <f t="array" ref="I332">IF($D$244='Lookup refs'!$D$23,
IF(I331=INDEX(RateCheck_VDO2021F[[Ausnet]:[United Energy]],MATCH(Calc_Rates!$C331&amp;"_"&amp;Calc_Rates!$F331,RateCheck_VDO2021F[[Rate]:[Rate]],0),MATCH(Calc_Rates!I$9,RateCheck_VDO2021F[[#Headers],[Ausnet]:[United Energy]],0)),0,1),
IF(I331="-","-",
IF(I331=(((SUMIFS(Calc_Variable_2[Jemena],Calc_Variable_2[[Customer type]:[Customer type]],Calc_Rates!$F331)+SUMIFS(Calc_Variable_2[Jemena],Calc_Variable_2[[Customer type]:[Customer type]],"All")+I327)*(1+Calc_ROM_2[Jemena]))*(1+GST)),0,1)))</f>
        <v>0</v>
      </c>
      <c r="J332" s="88" cm="1">
        <f t="array" ref="J332">IF($D$244='Lookup refs'!$D$23,
IF(J331=INDEX(RateCheck_VDO2021F[[Ausnet]:[United Energy]],MATCH(Calc_Rates!$C331&amp;"_"&amp;Calc_Rates!$F331,RateCheck_VDO2021F[[Rate]:[Rate]],0),MATCH(Calc_Rates!J$9,RateCheck_VDO2021F[[#Headers],[Ausnet]:[United Energy]],0)),0,1),
IF(J331="-","-",
IF(J331=(((SUMIFS(Calc_Variable_2[Powercor],Calc_Variable_2[[Customer type]:[Customer type]],Calc_Rates!$F331)+SUMIFS(Calc_Variable_2[Powercor],Calc_Variable_2[[Customer type]:[Customer type]],"All")+J327)*(1+Calc_ROM_2[Powercor]))*(1+GST)),0,1)))</f>
        <v>0</v>
      </c>
      <c r="K332" s="88" cm="1">
        <f t="array" ref="K332">IF($D$244='Lookup refs'!$D$23,
IF(K331=INDEX(RateCheck_VDO2021F[[Ausnet]:[United Energy]],MATCH(Calc_Rates!$C331&amp;"_"&amp;Calc_Rates!$F331,RateCheck_VDO2021F[[Rate]:[Rate]],0),MATCH(Calc_Rates!K$9,RateCheck_VDO2021F[[#Headers],[Ausnet]:[United Energy]],0)),0,1),
IF(K331="-","-",
IF(K331=(((SUMIFS(Calc_Variable_2[United Energy],Calc_Variable_2[[Customer type]:[Customer type]],Calc_Rates!$F331)+SUMIFS(Calc_Variable_2[United Energy],Calc_Variable_2[[Customer type]:[Customer type]],"All")+K327)*(1+Calc_ROM_2[United Energy]))*(1+GST)),0,1)))</f>
        <v>0</v>
      </c>
    </row>
    <row r="333" spans="2:11" ht="15.5" outlineLevel="2" x14ac:dyDescent="0.35">
      <c r="B333"/>
      <c r="C333" s="69" t="s">
        <v>294</v>
      </c>
    </row>
    <row r="334" spans="2:11" outlineLevel="2" x14ac:dyDescent="0.35">
      <c r="B334"/>
      <c r="C334" s="21" t="s">
        <v>289</v>
      </c>
      <c r="D334" s="21" t="s">
        <v>9</v>
      </c>
      <c r="E334" s="21" t="s">
        <v>284</v>
      </c>
      <c r="F334" s="21" t="s">
        <v>88</v>
      </c>
      <c r="G334" s="56">
        <f>SUMIFS(Calc_NetworkV_2[Ausnet],Calc_NetworkV_2[[Cost item]:[Cost item]],$C333,Calc_NetworkV_2[[Customer type]:[Customer type]],$F334)</f>
        <v>4.2622999999999994E-2</v>
      </c>
      <c r="H334" s="56">
        <f>SUMIFS(Calc_NetworkV_2[Citipower],Calc_NetworkV_2[[Cost item]:[Cost item]],$C333,Calc_NetworkV_2[[Customer type]:[Customer type]],$F334)</f>
        <v>2.4700000000000003E-2</v>
      </c>
      <c r="I334" s="56">
        <f>SUMIFS(Calc_NetworkV_2[Jemena],Calc_NetworkV_2[[Cost item]:[Cost item]],$C333,Calc_NetworkV_2[[Customer type]:[Customer type]],$F334)</f>
        <v>3.5990000000000001E-2</v>
      </c>
      <c r="J334" s="56">
        <f>SUMIFS(Calc_NetworkV_2[Powercor],Calc_NetworkV_2[[Cost item]:[Cost item]],$C333,Calc_NetworkV_2[[Customer type]:[Customer type]],$F334)</f>
        <v>2.3900000000000001E-2</v>
      </c>
      <c r="K334" s="56">
        <f>SUMIFS(Calc_NetworkV_2[United Energy],Calc_NetworkV_2[[Cost item]:[Cost item]],$C333,Calc_NetworkV_2[[Customer type]:[Customer type]],$F334)</f>
        <v>2.1700000000000001E-2</v>
      </c>
    </row>
    <row r="335" spans="2:11" outlineLevel="2" x14ac:dyDescent="0.35">
      <c r="B335"/>
      <c r="C335" s="21" t="s">
        <v>282</v>
      </c>
      <c r="D335" s="21" t="s">
        <v>9</v>
      </c>
      <c r="E335" s="21" t="s">
        <v>284</v>
      </c>
      <c r="F335" s="21" t="s">
        <v>88</v>
      </c>
      <c r="G335" s="56">
        <f>SUMIFS(Calc_Variable_2[Ausnet],Calc_Variable_2[[Customer type]:[Customer type]],"All")+SUMIFS(Calc_Variable_2[Ausnet],Calc_Variable_2[[Customer type]:[Customer type]],$F335)</f>
        <v>0.12637186287937996</v>
      </c>
      <c r="H335" s="56">
        <f>SUMIFS(Calc_Variable_2[Citipower],Calc_Variable_2[[Customer type]:[Customer type]],"All")+SUMIFS(Calc_Variable_2[Citipower],Calc_Variable_2[[Customer type]:[Customer type]],$F335)</f>
        <v>0.11874531208829922</v>
      </c>
      <c r="I335" s="56">
        <f>SUMIFS(Calc_Variable_2[Jemena],Calc_Variable_2[[Customer type]:[Customer type]],"All")+SUMIFS(Calc_Variable_2[Jemena],Calc_Variable_2[[Customer type]:[Customer type]],$F335)</f>
        <v>0.12678140704542384</v>
      </c>
      <c r="J335" s="56">
        <f>SUMIFS(Calc_Variable_2[Powercor],Calc_Variable_2[[Customer type]:[Customer type]],"All")+SUMIFS(Calc_Variable_2[Powercor],Calc_Variable_2[[Customer type]:[Customer type]],$F335)</f>
        <v>0.12465456385532679</v>
      </c>
      <c r="K335" s="56">
        <f>SUMIFS(Calc_Variable_2[United Energy],Calc_Variable_2[[Customer type]:[Customer type]],"All")+SUMIFS(Calc_Variable_2[United Energy],Calc_Variable_2[[Customer type]:[Customer type]],$F335)</f>
        <v>0.1290291282783943</v>
      </c>
    </row>
    <row r="336" spans="2:11" outlineLevel="2" x14ac:dyDescent="0.35">
      <c r="B336"/>
      <c r="C336" s="21" t="s">
        <v>197</v>
      </c>
      <c r="D336" s="21" t="s">
        <v>9</v>
      </c>
      <c r="E336" s="21" t="s">
        <v>284</v>
      </c>
      <c r="F336" s="21" t="s">
        <v>88</v>
      </c>
      <c r="G336" s="62" cm="1">
        <f t="array" ref="G336">IF(G334=0,"-",
(G334+G335)*Calc_ROM_2[Ausnet])</f>
        <v>1.020728971791455E-2</v>
      </c>
      <c r="H336" s="62" cm="1">
        <f t="array" ref="H336">IF(H334=0,"-",
(H334+H335)*Calc_ROM_2[Citipower])</f>
        <v>8.6640968501332724E-3</v>
      </c>
      <c r="I336" s="62" cm="1">
        <f t="array" ref="I336">IF(I334=0,"-",
(I334+I335)*Calc_ROM_2[Jemena])</f>
        <v>9.8313929855435994E-3</v>
      </c>
      <c r="J336" s="62" cm="1">
        <f t="array" ref="J336">IF(J334=0,"-",
(J334+J335)*Calc_ROM_2[Powercor])</f>
        <v>8.9726956568617379E-3</v>
      </c>
      <c r="K336" s="62" cm="1">
        <f t="array" ref="K336">IF(K334=0,"-",
(K334+K335)*Calc_ROM_2[United Energy])</f>
        <v>9.1040393480150156E-3</v>
      </c>
    </row>
    <row r="337" spans="2:11" outlineLevel="2" x14ac:dyDescent="0.35">
      <c r="B337"/>
      <c r="C337" s="21" t="s">
        <v>279</v>
      </c>
      <c r="D337" s="21" t="s">
        <v>9</v>
      </c>
      <c r="E337" s="21" t="s">
        <v>284</v>
      </c>
      <c r="F337" s="21" t="s">
        <v>88</v>
      </c>
      <c r="G337" s="62">
        <f>IF(G334=0,"-",
(G334+G335+G336)*GST)</f>
        <v>1.792021525972945E-2</v>
      </c>
      <c r="H337" s="62">
        <f>IF(H334=0,"-",
(H334+H335+H336)*GST)</f>
        <v>1.521094089384325E-2</v>
      </c>
      <c r="I337" s="62">
        <f>IF(I334=0,"-",
(I334+I335+I336)*GST)</f>
        <v>1.7260280003096744E-2</v>
      </c>
      <c r="J337" s="62">
        <f>IF(J334=0,"-",
(J334+J335+J336)*GST)</f>
        <v>1.5752725951218852E-2</v>
      </c>
      <c r="K337" s="62">
        <f>IF(K334=0,"-",
(K334+K335+K336)*GST)</f>
        <v>1.598331676264093E-2</v>
      </c>
    </row>
    <row r="338" spans="2:11" outlineLevel="2" x14ac:dyDescent="0.35">
      <c r="B338"/>
      <c r="C338" s="21" t="str">
        <f>C333&amp;" charge"</f>
        <v>Controlled load charge</v>
      </c>
      <c r="D338" s="21" t="s">
        <v>9</v>
      </c>
      <c r="E338" s="21" t="s">
        <v>284</v>
      </c>
      <c r="F338" s="21" t="s">
        <v>88</v>
      </c>
      <c r="G338" s="63">
        <f>IF(G334=0,"-",
G334+G335+G336+G337)</f>
        <v>0.19712236785702394</v>
      </c>
      <c r="H338" s="63">
        <f t="shared" ref="H338" si="79">IF(H334=0,"-",
H334+H335+H336+H337)</f>
        <v>0.16732034983227576</v>
      </c>
      <c r="I338" s="63">
        <f t="shared" ref="I338" si="80">IF(I334=0,"-",
I334+I335+I336+I337)</f>
        <v>0.18986308003406419</v>
      </c>
      <c r="J338" s="63">
        <f t="shared" ref="J338" si="81">IF(J334=0,"-",
J334+J335+J336+J337)</f>
        <v>0.17327998546340737</v>
      </c>
      <c r="K338" s="63">
        <f t="shared" ref="K338" si="82">IF(K334=0,"-",
K334+K335+K336+K337)</f>
        <v>0.17581648438905023</v>
      </c>
    </row>
    <row r="339" spans="2:11" outlineLevel="2" x14ac:dyDescent="0.35">
      <c r="B339"/>
      <c r="G339" s="88" cm="1">
        <f t="array" ref="G339">IF($D$244='Lookup refs'!$D$23,
IF(G338=INDEX(RateCheck_VDO2021F[[Ausnet]:[United Energy]],MATCH(Calc_Rates!$C338&amp;"_"&amp;Calc_Rates!$F338,RateCheck_VDO2021F[[Rate]:[Rate]],0),MATCH(Calc_Rates!G$9,RateCheck_VDO2021F[[#Headers],[Ausnet]:[United Energy]],0)),0,1),
IF(G338="-","-",
IF(G338=(((SUMIFS(Calc_Variable_2[Ausnet],Calc_Variable_2[[Customer type]:[Customer type]],Calc_Rates!$F338)+SUMIFS(Calc_Variable_2[Ausnet],Calc_Variable_2[[Customer type]:[Customer type]],"All")+G334)*(1+Calc_ROM_2[Ausnet]))*(1+GST)),0,1)))</f>
        <v>0</v>
      </c>
      <c r="H339" s="88" cm="1">
        <f t="array" ref="H339">IF($D$244='Lookup refs'!$D$23,
IF(H338=INDEX(RateCheck_VDO2021F[[Ausnet]:[United Energy]],MATCH(Calc_Rates!$C338&amp;"_"&amp;Calc_Rates!$F338,RateCheck_VDO2021F[[Rate]:[Rate]],0),MATCH(Calc_Rates!H$9,RateCheck_VDO2021F[[#Headers],[Ausnet]:[United Energy]],0)),0,1),
IF(H338="-","-",
IF(H338=(((SUMIFS(Calc_Variable_2[Citipower],Calc_Variable_2[[Customer type]:[Customer type]],Calc_Rates!$F338)+SUMIFS(Calc_Variable_2[Citipower],Calc_Variable_2[[Customer type]:[Customer type]],"All")+H334)*(1+Calc_ROM_2[Citipower]))*(1+GST)),0,1)))</f>
        <v>0</v>
      </c>
      <c r="I339" s="88" cm="1">
        <f t="array" ref="I339">IF($D$244='Lookup refs'!$D$23,
IF(I338=INDEX(RateCheck_VDO2021F[[Ausnet]:[United Energy]],MATCH(Calc_Rates!$C338&amp;"_"&amp;Calc_Rates!$F338,RateCheck_VDO2021F[[Rate]:[Rate]],0),MATCH(Calc_Rates!I$9,RateCheck_VDO2021F[[#Headers],[Ausnet]:[United Energy]],0)),0,1),
IF(I338="-","-",
IF(I338=(((SUMIFS(Calc_Variable_2[Jemena],Calc_Variable_2[[Customer type]:[Customer type]],Calc_Rates!$F338)+SUMIFS(Calc_Variable_2[Jemena],Calc_Variable_2[[Customer type]:[Customer type]],"All")+I334)*(1+Calc_ROM_2[Jemena]))*(1+GST)),0,1)))</f>
        <v>0</v>
      </c>
      <c r="J339" s="88" cm="1">
        <f t="array" ref="J339">IF($D$244='Lookup refs'!$D$23,
IF(J338=INDEX(RateCheck_VDO2021F[[Ausnet]:[United Energy]],MATCH(Calc_Rates!$C338&amp;"_"&amp;Calc_Rates!$F338,RateCheck_VDO2021F[[Rate]:[Rate]],0),MATCH(Calc_Rates!J$9,RateCheck_VDO2021F[[#Headers],[Ausnet]:[United Energy]],0)),0,1),
IF(J338="-","-",
IF(J338=(((SUMIFS(Calc_Variable_2[Powercor],Calc_Variable_2[[Customer type]:[Customer type]],Calc_Rates!$F338)+SUMIFS(Calc_Variable_2[Powercor],Calc_Variable_2[[Customer type]:[Customer type]],"All")+J334)*(1+Calc_ROM_2[Powercor]))*(1+GST)),0,1)))</f>
        <v>0</v>
      </c>
      <c r="K339" s="88" cm="1">
        <f t="array" ref="K339">IF($D$244='Lookup refs'!$D$23,
IF(K338=INDEX(RateCheck_VDO2021F[[Ausnet]:[United Energy]],MATCH(Calc_Rates!$C338&amp;"_"&amp;Calc_Rates!$F338,RateCheck_VDO2021F[[Rate]:[Rate]],0),MATCH(Calc_Rates!K$9,RateCheck_VDO2021F[[#Headers],[Ausnet]:[United Energy]],0)),0,1),
IF(K338="-","-",
IF(K338=(((SUMIFS(Calc_Variable_2[United Energy],Calc_Variable_2[[Customer type]:[Customer type]],Calc_Rates!$F338)+SUMIFS(Calc_Variable_2[United Energy],Calc_Variable_2[[Customer type]:[Customer type]],"All")+K334)*(1+Calc_ROM_2[United Energy]))*(1+GST)),0,1)))</f>
        <v>0</v>
      </c>
    </row>
    <row r="340" spans="2:11" ht="15.5" outlineLevel="2" x14ac:dyDescent="0.35">
      <c r="B340"/>
      <c r="C340" s="26" t="s">
        <v>295</v>
      </c>
    </row>
    <row r="341" spans="2:11" ht="15.5" outlineLevel="2" x14ac:dyDescent="0.35">
      <c r="B341"/>
      <c r="C341" s="69" t="s">
        <v>288</v>
      </c>
    </row>
    <row r="342" spans="2:11" outlineLevel="2" x14ac:dyDescent="0.35">
      <c r="B342"/>
      <c r="C342" s="21" t="s">
        <v>289</v>
      </c>
      <c r="D342" s="21" t="s">
        <v>9</v>
      </c>
      <c r="E342" s="21" t="s">
        <v>284</v>
      </c>
      <c r="F342" s="21" t="s">
        <v>89</v>
      </c>
      <c r="G342" s="56">
        <f>SUMIFS(Calc_NetworkV_2[Ausnet],Calc_NetworkV_2[[Cost item]:[Cost item]],$C341,Calc_NetworkV_2[[Customer type]:[Customer type]],$F342)</f>
        <v>0.155386</v>
      </c>
      <c r="H342" s="56">
        <f>SUMIFS(Calc_NetworkV_2[Citipower],Calc_NetworkV_2[[Cost item]:[Cost item]],$C341,Calc_NetworkV_2[[Customer type]:[Customer type]],$F342)</f>
        <v>0</v>
      </c>
      <c r="I342" s="56">
        <f>SUMIFS(Calc_NetworkV_2[Jemena],Calc_NetworkV_2[[Cost item]:[Cost item]],$C341,Calc_NetworkV_2[[Customer type]:[Customer type]],$F342)</f>
        <v>0</v>
      </c>
      <c r="J342" s="56">
        <f>SUMIFS(Calc_NetworkV_2[Powercor],Calc_NetworkV_2[[Cost item]:[Cost item]],$C341,Calc_NetworkV_2[[Customer type]:[Customer type]],$F342)</f>
        <v>0</v>
      </c>
      <c r="K342" s="56">
        <f>SUMIFS(Calc_NetworkV_2[United Energy],Calc_NetworkV_2[[Cost item]:[Cost item]],$C341,Calc_NetworkV_2[[Customer type]:[Customer type]],$F342)</f>
        <v>0</v>
      </c>
    </row>
    <row r="343" spans="2:11" outlineLevel="2" x14ac:dyDescent="0.35">
      <c r="B343"/>
      <c r="C343" s="21" t="s">
        <v>282</v>
      </c>
      <c r="D343" s="21" t="s">
        <v>9</v>
      </c>
      <c r="E343" s="21" t="s">
        <v>284</v>
      </c>
      <c r="F343" s="21" t="s">
        <v>89</v>
      </c>
      <c r="G343" s="56">
        <f>SUMIFS(Calc_Variable_2[Ausnet],Calc_Variable_2[[Customer type]:[Customer type]],"All")+SUMIFS(Calc_Variable_2[Ausnet],Calc_Variable_2[[Customer type]:[Customer type]],$F343)</f>
        <v>0.11369540103847998</v>
      </c>
      <c r="H343" s="56">
        <f>SUMIFS(Calc_Variable_2[Citipower],Calc_Variable_2[[Customer type]:[Customer type]],"All")+SUMIFS(Calc_Variable_2[Citipower],Calc_Variable_2[[Customer type]:[Customer type]],$F343)</f>
        <v>0.11472917972222922</v>
      </c>
      <c r="I343" s="56">
        <f>SUMIFS(Calc_Variable_2[Jemena],Calc_Variable_2[[Customer type]:[Customer type]],"All")+SUMIFS(Calc_Variable_2[Jemena],Calc_Variable_2[[Customer type]:[Customer type]],$F343)</f>
        <v>0.11289772271369052</v>
      </c>
      <c r="J343" s="56">
        <f>SUMIFS(Calc_Variable_2[Powercor],Calc_Variable_2[[Customer type]:[Customer type]],"All")+SUMIFS(Calc_Variable_2[Powercor],Calc_Variable_2[[Customer type]:[Customer type]],$F343)</f>
        <v>0.11176944916975179</v>
      </c>
      <c r="K343" s="56">
        <f>SUMIFS(Calc_Variable_2[United Energy],Calc_Variable_2[[Customer type]:[Customer type]],"All")+SUMIFS(Calc_Variable_2[United Energy],Calc_Variable_2[[Customer type]:[Customer type]],$F343)</f>
        <v>0.1167894443806243</v>
      </c>
    </row>
    <row r="344" spans="2:11" outlineLevel="2" x14ac:dyDescent="0.35">
      <c r="B344"/>
      <c r="C344" s="21" t="s">
        <v>197</v>
      </c>
      <c r="D344" s="21" t="s">
        <v>9</v>
      </c>
      <c r="E344" s="21" t="s">
        <v>284</v>
      </c>
      <c r="F344" s="21" t="s">
        <v>89</v>
      </c>
      <c r="G344" s="62" cm="1">
        <f t="array" ref="G344">IF(G342=0,"-",
(G342+G343)*Calc_ROM_2[Ausnet])</f>
        <v>1.6252516622724193E-2</v>
      </c>
      <c r="H344" s="62" t="str" cm="1">
        <f t="array" ref="H344">IF(H342=0,"-",
(H342+H343)*Calc_ROM_2[Citipower])</f>
        <v>-</v>
      </c>
      <c r="I344" s="62" t="str" cm="1">
        <f t="array" ref="I344">IF(I342=0,"-",
(I342+I343)*Calc_ROM_2[Jemena])</f>
        <v>-</v>
      </c>
      <c r="J344" s="62" t="str" cm="1">
        <f t="array" ref="J344">IF(J342=0,"-",
(J342+J343)*Calc_ROM_2[Powercor])</f>
        <v>-</v>
      </c>
      <c r="K344" s="62" t="str" cm="1">
        <f t="array" ref="K344">IF(K342=0,"-",
(K342+K343)*Calc_ROM_2[United Energy])</f>
        <v>-</v>
      </c>
    </row>
    <row r="345" spans="2:11" outlineLevel="2" x14ac:dyDescent="0.35">
      <c r="B345"/>
      <c r="C345" s="21" t="s">
        <v>279</v>
      </c>
      <c r="D345" s="21" t="s">
        <v>9</v>
      </c>
      <c r="E345" s="21" t="s">
        <v>284</v>
      </c>
      <c r="F345" s="21" t="s">
        <v>89</v>
      </c>
      <c r="G345" s="62">
        <f>IF(G342=0,"-",
(G342+G343+G344)*GST)</f>
        <v>2.8533391766120422E-2</v>
      </c>
      <c r="H345" s="62" t="str">
        <f>IF(H342=0,"-",
(H342+H343+H344)*GST)</f>
        <v>-</v>
      </c>
      <c r="I345" s="62" t="str">
        <f>IF(I342=0,"-",
(I342+I343+I344)*GST)</f>
        <v>-</v>
      </c>
      <c r="J345" s="62" t="str">
        <f>IF(J342=0,"-",
(J342+J343+J344)*GST)</f>
        <v>-</v>
      </c>
      <c r="K345" s="62" t="str">
        <f>IF(K342=0,"-",
(K342+K343+K344)*GST)</f>
        <v>-</v>
      </c>
    </row>
    <row r="346" spans="2:11" outlineLevel="2" x14ac:dyDescent="0.35">
      <c r="B346"/>
      <c r="C346" s="21" t="str">
        <f>C341&amp;" charge"</f>
        <v>Anytime - Block 1 charge</v>
      </c>
      <c r="D346" s="21" t="s">
        <v>9</v>
      </c>
      <c r="E346" s="21" t="s">
        <v>284</v>
      </c>
      <c r="F346" s="21" t="s">
        <v>89</v>
      </c>
      <c r="G346" s="63">
        <f>IF(G342=0,"-",
G342+G343+G344+G345)</f>
        <v>0.3138673094273246</v>
      </c>
      <c r="H346" s="63" t="str">
        <f t="shared" ref="H346" si="83">IF(H342=0,"-",
H342+H343+H344+H345)</f>
        <v>-</v>
      </c>
      <c r="I346" s="63" t="str">
        <f t="shared" ref="I346" si="84">IF(I342=0,"-",
I342+I343+I344+I345)</f>
        <v>-</v>
      </c>
      <c r="J346" s="63" t="str">
        <f t="shared" ref="J346" si="85">IF(J342=0,"-",
J342+J343+J344+J345)</f>
        <v>-</v>
      </c>
      <c r="K346" s="63" t="str">
        <f t="shared" ref="K346" si="86">IF(K342=0,"-",
K342+K343+K344+K345)</f>
        <v>-</v>
      </c>
    </row>
    <row r="347" spans="2:11" outlineLevel="2" x14ac:dyDescent="0.35">
      <c r="B347"/>
      <c r="G347" s="88" cm="1">
        <f t="array" ref="G347">IF($D$244='Lookup refs'!$D$23,
IF(G346=INDEX(RateCheck_VDO2021F[[Ausnet]:[United Energy]],MATCH(Calc_Rates!$C346&amp;"_"&amp;Calc_Rates!$F346,RateCheck_VDO2021F[[Rate]:[Rate]],0),MATCH(Calc_Rates!G$9,RateCheck_VDO2021F[[#Headers],[Ausnet]:[United Energy]],0)),0,1),
IF(G346="-","-",
IF(G346=(((SUMIFS(Calc_Variable_2[Ausnet],Calc_Variable_2[[Customer type]:[Customer type]],Calc_Rates!$F346)+SUMIFS(Calc_Variable_2[Ausnet],Calc_Variable_2[[Customer type]:[Customer type]],"All")+G342)*(1+Calc_ROM_2[Ausnet]))*(1+GST)),0,1)))</f>
        <v>0</v>
      </c>
      <c r="H347" s="88" t="str" cm="1">
        <f t="array" ref="H347">IF($D$244='Lookup refs'!$D$23,
IF(H346=INDEX(RateCheck_VDO2021F[[Ausnet]:[United Energy]],MATCH(Calc_Rates!$C346&amp;"_"&amp;Calc_Rates!$F346,RateCheck_VDO2021F[[Rate]:[Rate]],0),MATCH(Calc_Rates!H$9,RateCheck_VDO2021F[[#Headers],[Ausnet]:[United Energy]],0)),0,1),
IF(H346="-","-",
IF(H346=(((SUMIFS(Calc_Variable_2[Citipower],Calc_Variable_2[[Customer type]:[Customer type]],Calc_Rates!$F346)+SUMIFS(Calc_Variable_2[Citipower],Calc_Variable_2[[Customer type]:[Customer type]],"All")+H342)*(1+Calc_ROM_2[Citipower]))*(1+GST)),0,1)))</f>
        <v>-</v>
      </c>
      <c r="I347" s="88" t="str" cm="1">
        <f t="array" ref="I347">IF($D$244='Lookup refs'!$D$23,
IF(I346=INDEX(RateCheck_VDO2021F[[Ausnet]:[United Energy]],MATCH(Calc_Rates!$C346&amp;"_"&amp;Calc_Rates!$F346,RateCheck_VDO2021F[[Rate]:[Rate]],0),MATCH(Calc_Rates!I$9,RateCheck_VDO2021F[[#Headers],[Ausnet]:[United Energy]],0)),0,1),
IF(I346="-","-",
IF(I346=(((SUMIFS(Calc_Variable_2[Jemena],Calc_Variable_2[[Customer type]:[Customer type]],Calc_Rates!$F346)+SUMIFS(Calc_Variable_2[Jemena],Calc_Variable_2[[Customer type]:[Customer type]],"All")+I342)*(1+Calc_ROM_2[Jemena]))*(1+GST)),0,1)))</f>
        <v>-</v>
      </c>
      <c r="J347" s="88" t="str" cm="1">
        <f t="array" ref="J347">IF($D$244='Lookup refs'!$D$23,
IF(J346=INDEX(RateCheck_VDO2021F[[Ausnet]:[United Energy]],MATCH(Calc_Rates!$C346&amp;"_"&amp;Calc_Rates!$F346,RateCheck_VDO2021F[[Rate]:[Rate]],0),MATCH(Calc_Rates!J$9,RateCheck_VDO2021F[[#Headers],[Ausnet]:[United Energy]],0)),0,1),
IF(J346="-","-",
IF(J346=(((SUMIFS(Calc_Variable_2[Powercor],Calc_Variable_2[[Customer type]:[Customer type]],Calc_Rates!$F346)+SUMIFS(Calc_Variable_2[Powercor],Calc_Variable_2[[Customer type]:[Customer type]],"All")+J342)*(1+Calc_ROM_2[Powercor]))*(1+GST)),0,1)))</f>
        <v>-</v>
      </c>
      <c r="K347" s="88" t="str" cm="1">
        <f t="array" ref="K347">IF($D$244='Lookup refs'!$D$23,
IF(K346=INDEX(RateCheck_VDO2021F[[Ausnet]:[United Energy]],MATCH(Calc_Rates!$C346&amp;"_"&amp;Calc_Rates!$F346,RateCheck_VDO2021F[[Rate]:[Rate]],0),MATCH(Calc_Rates!K$9,RateCheck_VDO2021F[[#Headers],[Ausnet]:[United Energy]],0)),0,1),
IF(K346="-","-",
IF(K346=(((SUMIFS(Calc_Variable_2[United Energy],Calc_Variable_2[[Customer type]:[Customer type]],Calc_Rates!$F346)+SUMIFS(Calc_Variable_2[United Energy],Calc_Variable_2[[Customer type]:[Customer type]],"All")+K342)*(1+Calc_ROM_2[United Energy]))*(1+GST)),0,1)))</f>
        <v>-</v>
      </c>
    </row>
    <row r="348" spans="2:11" ht="15.5" outlineLevel="2" x14ac:dyDescent="0.35">
      <c r="B348"/>
      <c r="C348" s="69" t="s">
        <v>290</v>
      </c>
    </row>
    <row r="349" spans="2:11" outlineLevel="2" x14ac:dyDescent="0.35">
      <c r="B349"/>
      <c r="C349" s="21" t="s">
        <v>289</v>
      </c>
      <c r="D349" s="21" t="s">
        <v>9</v>
      </c>
      <c r="E349" s="21" t="s">
        <v>284</v>
      </c>
      <c r="F349" s="21" t="s">
        <v>89</v>
      </c>
      <c r="G349" s="56">
        <f>SUMIFS(Calc_NetworkV_2[Ausnet],Calc_NetworkV_2[[Cost item]:[Cost item]],$C348,Calc_NetworkV_2[[Customer type]:[Customer type]],$F349)</f>
        <v>0.182667</v>
      </c>
      <c r="H349" s="56">
        <f>SUMIFS(Calc_NetworkV_2[Citipower],Calc_NetworkV_2[[Cost item]:[Cost item]],$C348,Calc_NetworkV_2[[Customer type]:[Customer type]],$F349)</f>
        <v>0</v>
      </c>
      <c r="I349" s="56">
        <f>SUMIFS(Calc_NetworkV_2[Jemena],Calc_NetworkV_2[[Cost item]:[Cost item]],$C348,Calc_NetworkV_2[[Customer type]:[Customer type]],$F349)</f>
        <v>0</v>
      </c>
      <c r="J349" s="56">
        <f>SUMIFS(Calc_NetworkV_2[Powercor],Calc_NetworkV_2[[Cost item]:[Cost item]],$C348,Calc_NetworkV_2[[Customer type]:[Customer type]],$F349)</f>
        <v>0</v>
      </c>
      <c r="K349" s="56">
        <f>SUMIFS(Calc_NetworkV_2[United Energy],Calc_NetworkV_2[[Cost item]:[Cost item]],$C348,Calc_NetworkV_2[[Customer type]:[Customer type]],$F349)</f>
        <v>0</v>
      </c>
    </row>
    <row r="350" spans="2:11" outlineLevel="2" x14ac:dyDescent="0.35">
      <c r="B350"/>
      <c r="C350" s="21" t="s">
        <v>282</v>
      </c>
      <c r="D350" s="21" t="s">
        <v>9</v>
      </c>
      <c r="E350" s="21" t="s">
        <v>284</v>
      </c>
      <c r="F350" s="21" t="s">
        <v>89</v>
      </c>
      <c r="G350" s="56">
        <f>SUMIFS(Calc_Variable_2[Ausnet],Calc_Variable_2[[Customer type]:[Customer type]],"All")+SUMIFS(Calc_Variable_2[Ausnet],Calc_Variable_2[[Customer type]:[Customer type]],$F350)</f>
        <v>0.11369540103847998</v>
      </c>
      <c r="H350" s="56">
        <f>SUMIFS(Calc_Variable_2[Citipower],Calc_Variable_2[[Customer type]:[Customer type]],"All")+SUMIFS(Calc_Variable_2[Citipower],Calc_Variable_2[[Customer type]:[Customer type]],$F350)</f>
        <v>0.11472917972222922</v>
      </c>
      <c r="I350" s="56">
        <f>SUMIFS(Calc_Variable_2[Jemena],Calc_Variable_2[[Customer type]:[Customer type]],"All")+SUMIFS(Calc_Variable_2[Jemena],Calc_Variable_2[[Customer type]:[Customer type]],$F350)</f>
        <v>0.11289772271369052</v>
      </c>
      <c r="J350" s="56">
        <f>SUMIFS(Calc_Variable_2[Powercor],Calc_Variable_2[[Customer type]:[Customer type]],"All")+SUMIFS(Calc_Variable_2[Powercor],Calc_Variable_2[[Customer type]:[Customer type]],$F350)</f>
        <v>0.11176944916975179</v>
      </c>
      <c r="K350" s="56">
        <f>SUMIFS(Calc_Variable_2[United Energy],Calc_Variable_2[[Customer type]:[Customer type]],"All")+SUMIFS(Calc_Variable_2[United Energy],Calc_Variable_2[[Customer type]:[Customer type]],$F350)</f>
        <v>0.1167894443806243</v>
      </c>
    </row>
    <row r="351" spans="2:11" outlineLevel="2" x14ac:dyDescent="0.35">
      <c r="B351"/>
      <c r="C351" s="21" t="s">
        <v>197</v>
      </c>
      <c r="D351" s="21" t="s">
        <v>9</v>
      </c>
      <c r="E351" s="21" t="s">
        <v>284</v>
      </c>
      <c r="F351" s="21" t="s">
        <v>89</v>
      </c>
      <c r="G351" s="62" cm="1">
        <f t="array" ref="G351">IF(G349=0,"-",
(G349+G350)*Calc_ROM_2[Ausnet])</f>
        <v>1.7900289022724194E-2</v>
      </c>
      <c r="H351" s="62" t="str" cm="1">
        <f t="array" ref="H351">IF(H349=0,"-",
(H349+H350)*Calc_ROM_2[Citipower])</f>
        <v>-</v>
      </c>
      <c r="I351" s="62" t="str" cm="1">
        <f t="array" ref="I351">IF(I349=0,"-",
(I349+I350)*Calc_ROM_2[Jemena])</f>
        <v>-</v>
      </c>
      <c r="J351" s="62" t="str" cm="1">
        <f t="array" ref="J351">IF(J349=0,"-",
(J349+J350)*Calc_ROM_2[Powercor])</f>
        <v>-</v>
      </c>
      <c r="K351" s="62" t="str" cm="1">
        <f t="array" ref="K351">IF(K349=0,"-",
(K349+K350)*Calc_ROM_2[United Energy])</f>
        <v>-</v>
      </c>
    </row>
    <row r="352" spans="2:11" outlineLevel="2" x14ac:dyDescent="0.35">
      <c r="B352"/>
      <c r="C352" s="21" t="s">
        <v>279</v>
      </c>
      <c r="D352" s="21" t="s">
        <v>9</v>
      </c>
      <c r="E352" s="21" t="s">
        <v>284</v>
      </c>
      <c r="F352" s="21" t="s">
        <v>89</v>
      </c>
      <c r="G352" s="62">
        <f>IF(G349=0,"-",
(G349+G350+G351)*GST)</f>
        <v>3.1426269006120416E-2</v>
      </c>
      <c r="H352" s="62" t="str">
        <f>IF(H349=0,"-",
(H349+H350+H351)*GST)</f>
        <v>-</v>
      </c>
      <c r="I352" s="62" t="str">
        <f>IF(I349=0,"-",
(I349+I350+I351)*GST)</f>
        <v>-</v>
      </c>
      <c r="J352" s="62" t="str">
        <f>IF(J349=0,"-",
(J349+J350+J351)*GST)</f>
        <v>-</v>
      </c>
      <c r="K352" s="62" t="str">
        <f>IF(K349=0,"-",
(K349+K350+K351)*GST)</f>
        <v>-</v>
      </c>
    </row>
    <row r="353" spans="2:11" outlineLevel="2" x14ac:dyDescent="0.35">
      <c r="B353"/>
      <c r="C353" s="21" t="str">
        <f>C348&amp;" charge"</f>
        <v>Anytime - Balance charge</v>
      </c>
      <c r="D353" s="21" t="s">
        <v>9</v>
      </c>
      <c r="E353" s="21" t="s">
        <v>284</v>
      </c>
      <c r="F353" s="21" t="s">
        <v>89</v>
      </c>
      <c r="G353" s="63">
        <f>IF(G349=0,"-",
G349+G350+G351+G352)</f>
        <v>0.34568895906732455</v>
      </c>
      <c r="H353" s="63" t="str">
        <f t="shared" ref="H353" si="87">IF(H349=0,"-",
H349+H350+H351+H352)</f>
        <v>-</v>
      </c>
      <c r="I353" s="63" t="str">
        <f t="shared" ref="I353" si="88">IF(I349=0,"-",
I349+I350+I351+I352)</f>
        <v>-</v>
      </c>
      <c r="J353" s="63" t="str">
        <f t="shared" ref="J353" si="89">IF(J349=0,"-",
J349+J350+J351+J352)</f>
        <v>-</v>
      </c>
      <c r="K353" s="63" t="str">
        <f t="shared" ref="K353" si="90">IF(K349=0,"-",
K349+K350+K351+K352)</f>
        <v>-</v>
      </c>
    </row>
    <row r="354" spans="2:11" outlineLevel="2" x14ac:dyDescent="0.35">
      <c r="B354"/>
      <c r="G354" s="88" cm="1">
        <f t="array" ref="G354">IF($D$244='Lookup refs'!$D$23,
IF(G353=INDEX(RateCheck_VDO2021F[[Ausnet]:[United Energy]],MATCH(Calc_Rates!$C353&amp;"_"&amp;Calc_Rates!$F353,RateCheck_VDO2021F[[Rate]:[Rate]],0),MATCH(Calc_Rates!G$9,RateCheck_VDO2021F[[#Headers],[Ausnet]:[United Energy]],0)),0,1),
IF(G353="-","-",
IF(G353=(((SUMIFS(Calc_Variable_2[Ausnet],Calc_Variable_2[[Customer type]:[Customer type]],Calc_Rates!$F353)+SUMIFS(Calc_Variable_2[Ausnet],Calc_Variable_2[[Customer type]:[Customer type]],"All")+G349)*(1+Calc_ROM_2[Ausnet]))*(1+GST)),0,1)))</f>
        <v>0</v>
      </c>
      <c r="H354" s="88" t="str" cm="1">
        <f t="array" ref="H354">IF($D$244='Lookup refs'!$D$23,
IF(H353=INDEX(RateCheck_VDO2021F[[Ausnet]:[United Energy]],MATCH(Calc_Rates!$C353&amp;"_"&amp;Calc_Rates!$F353,RateCheck_VDO2021F[[Rate]:[Rate]],0),MATCH(Calc_Rates!H$9,RateCheck_VDO2021F[[#Headers],[Ausnet]:[United Energy]],0)),0,1),
IF(H353="-","-",
IF(H353=(((SUMIFS(Calc_Variable_2[Citipower],Calc_Variable_2[[Customer type]:[Customer type]],Calc_Rates!$F353)+SUMIFS(Calc_Variable_2[Citipower],Calc_Variable_2[[Customer type]:[Customer type]],"All")+H349)*(1+Calc_ROM_2[Citipower]))*(1+GST)),0,1)))</f>
        <v>-</v>
      </c>
      <c r="I354" s="88" t="str" cm="1">
        <f t="array" ref="I354">IF($D$244='Lookup refs'!$D$23,
IF(I353=INDEX(RateCheck_VDO2021F[[Ausnet]:[United Energy]],MATCH(Calc_Rates!$C353&amp;"_"&amp;Calc_Rates!$F353,RateCheck_VDO2021F[[Rate]:[Rate]],0),MATCH(Calc_Rates!I$9,RateCheck_VDO2021F[[#Headers],[Ausnet]:[United Energy]],0)),0,1),
IF(I353="-","-",
IF(I353=(((SUMIFS(Calc_Variable_2[Jemena],Calc_Variable_2[[Customer type]:[Customer type]],Calc_Rates!$F353)+SUMIFS(Calc_Variable_2[Jemena],Calc_Variable_2[[Customer type]:[Customer type]],"All")+I349)*(1+Calc_ROM_2[Jemena]))*(1+GST)),0,1)))</f>
        <v>-</v>
      </c>
      <c r="J354" s="88" t="str" cm="1">
        <f t="array" ref="J354">IF($D$244='Lookup refs'!$D$23,
IF(J353=INDEX(RateCheck_VDO2021F[[Ausnet]:[United Energy]],MATCH(Calc_Rates!$C353&amp;"_"&amp;Calc_Rates!$F353,RateCheck_VDO2021F[[Rate]:[Rate]],0),MATCH(Calc_Rates!J$9,RateCheck_VDO2021F[[#Headers],[Ausnet]:[United Energy]],0)),0,1),
IF(J353="-","-",
IF(J353=(((SUMIFS(Calc_Variable_2[Powercor],Calc_Variable_2[[Customer type]:[Customer type]],Calc_Rates!$F353)+SUMIFS(Calc_Variable_2[Powercor],Calc_Variable_2[[Customer type]:[Customer type]],"All")+J349)*(1+Calc_ROM_2[Powercor]))*(1+GST)),0,1)))</f>
        <v>-</v>
      </c>
      <c r="K354" s="88" t="str" cm="1">
        <f t="array" ref="K354">IF($D$244='Lookup refs'!$D$23,
IF(K353=INDEX(RateCheck_VDO2021F[[Ausnet]:[United Energy]],MATCH(Calc_Rates!$C353&amp;"_"&amp;Calc_Rates!$F353,RateCheck_VDO2021F[[Rate]:[Rate]],0),MATCH(Calc_Rates!K$9,RateCheck_VDO2021F[[#Headers],[Ausnet]:[United Energy]],0)),0,1),
IF(K353="-","-",
IF(K353=(((SUMIFS(Calc_Variable_2[United Energy],Calc_Variable_2[[Customer type]:[Customer type]],Calc_Rates!$F353)+SUMIFS(Calc_Variable_2[United Energy],Calc_Variable_2[[Customer type]:[Customer type]],"All")+K349)*(1+Calc_ROM_2[United Energy]))*(1+GST)),0,1)))</f>
        <v>-</v>
      </c>
    </row>
    <row r="355" spans="2:11" ht="15.5" outlineLevel="2" x14ac:dyDescent="0.35">
      <c r="B355"/>
      <c r="C355" s="69" t="s">
        <v>291</v>
      </c>
    </row>
    <row r="356" spans="2:11" outlineLevel="2" x14ac:dyDescent="0.35">
      <c r="B356"/>
      <c r="C356" s="21" t="s">
        <v>289</v>
      </c>
      <c r="D356" s="21" t="s">
        <v>9</v>
      </c>
      <c r="E356" s="21" t="s">
        <v>284</v>
      </c>
      <c r="F356" s="21" t="s">
        <v>89</v>
      </c>
      <c r="G356" s="56">
        <f>SUMIFS(Calc_NetworkV_2[Ausnet],Calc_NetworkV_2[[Cost item]:[Cost item]],$C355,Calc_NetworkV_2[[Customer type]:[Customer type]],$F356)</f>
        <v>0</v>
      </c>
      <c r="H356" s="56">
        <f>SUMIFS(Calc_NetworkV_2[Citipower],Calc_NetworkV_2[[Cost item]:[Cost item]],$C355,Calc_NetworkV_2[[Customer type]:[Customer type]],$F356)</f>
        <v>8.2100000000000006E-2</v>
      </c>
      <c r="I356" s="56">
        <f>SUMIFS(Calc_NetworkV_2[Jemena],Calc_NetworkV_2[[Cost item]:[Cost item]],$C355,Calc_NetworkV_2[[Customer type]:[Customer type]],$F356)</f>
        <v>0.10973000000000001</v>
      </c>
      <c r="J356" s="56">
        <f>SUMIFS(Calc_NetworkV_2[Powercor],Calc_NetworkV_2[[Cost item]:[Cost item]],$C355,Calc_NetworkV_2[[Customer type]:[Customer type]],$F356)</f>
        <v>9.2899999999999996E-2</v>
      </c>
      <c r="K356" s="56">
        <f>SUMIFS(Calc_NetworkV_2[United Energy],Calc_NetworkV_2[[Cost item]:[Cost item]],$C355,Calc_NetworkV_2[[Customer type]:[Customer type]],$F356)</f>
        <v>8.7899999999999992E-2</v>
      </c>
    </row>
    <row r="357" spans="2:11" outlineLevel="2" x14ac:dyDescent="0.35">
      <c r="B357"/>
      <c r="C357" s="21" t="s">
        <v>282</v>
      </c>
      <c r="D357" s="21" t="s">
        <v>9</v>
      </c>
      <c r="E357" s="21" t="s">
        <v>284</v>
      </c>
      <c r="F357" s="21" t="s">
        <v>89</v>
      </c>
      <c r="G357" s="56">
        <f>SUMIFS(Calc_Variable_2[Ausnet],Calc_Variable_2[[Customer type]:[Customer type]],"All")+SUMIFS(Calc_Variable_2[Ausnet],Calc_Variable_2[[Customer type]:[Customer type]],$F357)</f>
        <v>0.11369540103847998</v>
      </c>
      <c r="H357" s="56">
        <f>SUMIFS(Calc_Variable_2[Citipower],Calc_Variable_2[[Customer type]:[Customer type]],"All")+SUMIFS(Calc_Variable_2[Citipower],Calc_Variable_2[[Customer type]:[Customer type]],$F357)</f>
        <v>0.11472917972222922</v>
      </c>
      <c r="I357" s="56">
        <f>SUMIFS(Calc_Variable_2[Jemena],Calc_Variable_2[[Customer type]:[Customer type]],"All")+SUMIFS(Calc_Variable_2[Jemena],Calc_Variable_2[[Customer type]:[Customer type]],$F357)</f>
        <v>0.11289772271369052</v>
      </c>
      <c r="J357" s="56">
        <f>SUMIFS(Calc_Variable_2[Powercor],Calc_Variable_2[[Customer type]:[Customer type]],"All")+SUMIFS(Calc_Variable_2[Powercor],Calc_Variable_2[[Customer type]:[Customer type]],$F357)</f>
        <v>0.11176944916975179</v>
      </c>
      <c r="K357" s="56">
        <f>SUMIFS(Calc_Variable_2[United Energy],Calc_Variable_2[[Customer type]:[Customer type]],"All")+SUMIFS(Calc_Variable_2[United Energy],Calc_Variable_2[[Customer type]:[Customer type]],$F357)</f>
        <v>0.1167894443806243</v>
      </c>
    </row>
    <row r="358" spans="2:11" outlineLevel="2" x14ac:dyDescent="0.35">
      <c r="B358"/>
      <c r="C358" s="21" t="s">
        <v>197</v>
      </c>
      <c r="D358" s="21" t="s">
        <v>9</v>
      </c>
      <c r="E358" s="21" t="s">
        <v>284</v>
      </c>
      <c r="F358" s="21" t="s">
        <v>89</v>
      </c>
      <c r="G358" s="62" t="str" cm="1">
        <f t="array" ref="G358">IF(G356=0,"-",
(G356+G357)*Calc_ROM_2[Ausnet])</f>
        <v>-</v>
      </c>
      <c r="H358" s="62" cm="1">
        <f t="array" ref="H358">IF(H356=0,"-",
(H356+H357)*Calc_ROM_2[Citipower])</f>
        <v>1.1888482455222647E-2</v>
      </c>
      <c r="I358" s="62" cm="1">
        <f t="array" ref="I358">IF(I356=0,"-",
(I356+I357)*Calc_ROM_2[Jemena])</f>
        <v>1.3446714451906908E-2</v>
      </c>
      <c r="J358" s="62" cm="1">
        <f t="array" ref="J358">IF(J356=0,"-",
(J356+J357)*Calc_ROM_2[Powercor])</f>
        <v>1.2362034729853007E-2</v>
      </c>
      <c r="K358" s="62" cm="1">
        <f t="array" ref="K358">IF(K356=0,"-",
(K356+K357)*Calc_ROM_2[United Energy])</f>
        <v>1.2363242440589709E-2</v>
      </c>
    </row>
    <row r="359" spans="2:11" outlineLevel="2" x14ac:dyDescent="0.35">
      <c r="B359"/>
      <c r="C359" s="21" t="s">
        <v>279</v>
      </c>
      <c r="D359" s="21" t="s">
        <v>9</v>
      </c>
      <c r="E359" s="21" t="s">
        <v>284</v>
      </c>
      <c r="F359" s="21" t="s">
        <v>89</v>
      </c>
      <c r="G359" s="62" t="str">
        <f>IF(G356=0,"-",
(G356+G357+G358)*GST)</f>
        <v>-</v>
      </c>
      <c r="H359" s="62">
        <f>IF(H356=0,"-",
(H356+H357+H358)*GST)</f>
        <v>2.087176621774519E-2</v>
      </c>
      <c r="I359" s="62">
        <f>IF(I356=0,"-",
(I356+I357+I358)*GST)</f>
        <v>2.3607443716559744E-2</v>
      </c>
      <c r="J359" s="62">
        <f>IF(J356=0,"-",
(J356+J357+J358)*GST)</f>
        <v>2.1703148389960479E-2</v>
      </c>
      <c r="K359" s="62">
        <f>IF(K356=0,"-",
(K356+K357+K358)*GST)</f>
        <v>2.1705268682121401E-2</v>
      </c>
    </row>
    <row r="360" spans="2:11" outlineLevel="2" x14ac:dyDescent="0.35">
      <c r="B360"/>
      <c r="C360" s="21" t="str">
        <f>C355&amp;" charge"</f>
        <v>Anytime - Single rate charge</v>
      </c>
      <c r="D360" s="21" t="s">
        <v>9</v>
      </c>
      <c r="E360" s="21" t="s">
        <v>284</v>
      </c>
      <c r="F360" s="21" t="s">
        <v>89</v>
      </c>
      <c r="G360" s="63" t="str">
        <f>IF(G356=0,"-",
G356+G357+G358+G359)</f>
        <v>-</v>
      </c>
      <c r="H360" s="63">
        <f t="shared" ref="H360" si="91">IF(H356=0,"-",
H356+H357+H358+H359)</f>
        <v>0.22958942839519708</v>
      </c>
      <c r="I360" s="63">
        <f t="shared" ref="I360" si="92">IF(I356=0,"-",
I356+I357+I358+I359)</f>
        <v>0.25968188088215716</v>
      </c>
      <c r="J360" s="63">
        <f t="shared" ref="J360" si="93">IF(J356=0,"-",
J356+J357+J358+J359)</f>
        <v>0.23873463228956526</v>
      </c>
      <c r="K360" s="63">
        <f t="shared" ref="K360" si="94">IF(K356=0,"-",
K356+K357+K358+K359)</f>
        <v>0.2387579555033354</v>
      </c>
    </row>
    <row r="361" spans="2:11" outlineLevel="2" x14ac:dyDescent="0.35">
      <c r="B361"/>
      <c r="G361" s="88" t="str" cm="1">
        <f t="array" ref="G361">IF($D$244='Lookup refs'!$D$23,
IF(G360=INDEX(RateCheck_VDO2021F[[Ausnet]:[United Energy]],MATCH(Calc_Rates!$C360&amp;"_"&amp;Calc_Rates!$F360,RateCheck_VDO2021F[[Rate]:[Rate]],0),MATCH(Calc_Rates!G$9,RateCheck_VDO2021F[[#Headers],[Ausnet]:[United Energy]],0)),0,1),
IF(G360="-","-",
IF(G360=(((SUMIFS(Calc_Variable_2[Ausnet],Calc_Variable_2[[Customer type]:[Customer type]],Calc_Rates!$F360)+SUMIFS(Calc_Variable_2[Ausnet],Calc_Variable_2[[Customer type]:[Customer type]],"All")+G356)*(1+Calc_ROM_2[Ausnet]))*(1+GST)),0,1)))</f>
        <v>-</v>
      </c>
      <c r="H361" s="88" cm="1">
        <f t="array" ref="H361">IF($D$244='Lookup refs'!$D$23,
IF(H360=INDEX(RateCheck_VDO2021F[[Ausnet]:[United Energy]],MATCH(Calc_Rates!$C360&amp;"_"&amp;Calc_Rates!$F360,RateCheck_VDO2021F[[Rate]:[Rate]],0),MATCH(Calc_Rates!H$9,RateCheck_VDO2021F[[#Headers],[Ausnet]:[United Energy]],0)),0,1),
IF(H360="-","-",
IF(H360=(((SUMIFS(Calc_Variable_2[Citipower],Calc_Variable_2[[Customer type]:[Customer type]],Calc_Rates!$F360)+SUMIFS(Calc_Variable_2[Citipower],Calc_Variable_2[[Customer type]:[Customer type]],"All")+H356)*(1+Calc_ROM_2[Citipower]))*(1+GST)),0,1)))</f>
        <v>0</v>
      </c>
      <c r="I361" s="88" cm="1">
        <f t="array" ref="I361">IF($D$244='Lookup refs'!$D$23,
IF(I360=INDEX(RateCheck_VDO2021F[[Ausnet]:[United Energy]],MATCH(Calc_Rates!$C360&amp;"_"&amp;Calc_Rates!$F360,RateCheck_VDO2021F[[Rate]:[Rate]],0),MATCH(Calc_Rates!I$9,RateCheck_VDO2021F[[#Headers],[Ausnet]:[United Energy]],0)),0,1),
IF(I360="-","-",
IF(I360=(((SUMIFS(Calc_Variable_2[Jemena],Calc_Variable_2[[Customer type]:[Customer type]],Calc_Rates!$F360)+SUMIFS(Calc_Variable_2[Jemena],Calc_Variable_2[[Customer type]:[Customer type]],"All")+I356)*(1+Calc_ROM_2[Jemena]))*(1+GST)),0,1)))</f>
        <v>0</v>
      </c>
      <c r="J361" s="88" cm="1">
        <f t="array" ref="J361">IF($D$244='Lookup refs'!$D$23,
IF(J360=INDEX(RateCheck_VDO2021F[[Ausnet]:[United Energy]],MATCH(Calc_Rates!$C360&amp;"_"&amp;Calc_Rates!$F360,RateCheck_VDO2021F[[Rate]:[Rate]],0),MATCH(Calc_Rates!J$9,RateCheck_VDO2021F[[#Headers],[Ausnet]:[United Energy]],0)),0,1),
IF(J360="-","-",
IF(J360=(((SUMIFS(Calc_Variable_2[Powercor],Calc_Variable_2[[Customer type]:[Customer type]],Calc_Rates!$F360)+SUMIFS(Calc_Variable_2[Powercor],Calc_Variable_2[[Customer type]:[Customer type]],"All")+J356)*(1+Calc_ROM_2[Powercor]))*(1+GST)),0,1)))</f>
        <v>0</v>
      </c>
      <c r="K361" s="88" cm="1">
        <f t="array" ref="K361">IF($D$244='Lookup refs'!$D$23,
IF(K360=INDEX(RateCheck_VDO2021F[[Ausnet]:[United Energy]],MATCH(Calc_Rates!$C360&amp;"_"&amp;Calc_Rates!$F360,RateCheck_VDO2021F[[Rate]:[Rate]],0),MATCH(Calc_Rates!K$9,RateCheck_VDO2021F[[#Headers],[Ausnet]:[United Energy]],0)),0,1),
IF(K360="-","-",
IF(K360=(((SUMIFS(Calc_Variable_2[United Energy],Calc_Variable_2[[Customer type]:[Customer type]],Calc_Rates!$F360)+SUMIFS(Calc_Variable_2[United Energy],Calc_Variable_2[[Customer type]:[Customer type]],"All")+K356)*(1+Calc_ROM_2[United Energy]))*(1+GST)),0,1)))</f>
        <v>0</v>
      </c>
    </row>
    <row r="362" spans="2:11" ht="15.5" outlineLevel="2" x14ac:dyDescent="0.35">
      <c r="B362"/>
      <c r="C362" s="69" t="s">
        <v>292</v>
      </c>
    </row>
    <row r="363" spans="2:11" outlineLevel="2" x14ac:dyDescent="0.35">
      <c r="B363"/>
      <c r="C363" s="21" t="s">
        <v>289</v>
      </c>
      <c r="D363" s="21" t="s">
        <v>9</v>
      </c>
      <c r="E363" s="21" t="s">
        <v>284</v>
      </c>
      <c r="F363" s="21" t="s">
        <v>89</v>
      </c>
      <c r="G363" s="56">
        <f>SUMIFS(Calc_NetworkV_2[Ausnet],Calc_NetworkV_2[[Cost item]:[Cost item]],$C362,Calc_NetworkV_2[[Customer type]:[Customer type]],$F363)</f>
        <v>0.17508700000000002</v>
      </c>
      <c r="H363" s="56">
        <f>SUMIFS(Calc_NetworkV_2[Citipower],Calc_NetworkV_2[[Cost item]:[Cost item]],$C362,Calc_NetworkV_2[[Customer type]:[Customer type]],$F363)</f>
        <v>0.13019999999999998</v>
      </c>
      <c r="I363" s="56">
        <f>SUMIFS(Calc_NetworkV_2[Jemena],Calc_NetworkV_2[[Cost item]:[Cost item]],$C362,Calc_NetworkV_2[[Customer type]:[Customer type]],$F363)</f>
        <v>0.14330999999999999</v>
      </c>
      <c r="J363" s="56">
        <f>SUMIFS(Calc_NetworkV_2[Powercor],Calc_NetworkV_2[[Cost item]:[Cost item]],$C362,Calc_NetworkV_2[[Customer type]:[Customer type]],$F363)</f>
        <v>0.14749999999999999</v>
      </c>
      <c r="K363" s="56">
        <f>SUMIFS(Calc_NetworkV_2[United Energy],Calc_NetworkV_2[[Cost item]:[Cost item]],$C362,Calc_NetworkV_2[[Customer type]:[Customer type]],$F363)</f>
        <v>0.1399</v>
      </c>
    </row>
    <row r="364" spans="2:11" outlineLevel="2" x14ac:dyDescent="0.35">
      <c r="B364"/>
      <c r="C364" s="21" t="s">
        <v>282</v>
      </c>
      <c r="D364" s="21" t="s">
        <v>9</v>
      </c>
      <c r="E364" s="21" t="s">
        <v>284</v>
      </c>
      <c r="F364" s="21" t="s">
        <v>89</v>
      </c>
      <c r="G364" s="56">
        <f>SUMIFS(Calc_Variable_2[Ausnet],Calc_Variable_2[[Customer type]:[Customer type]],"All")+SUMIFS(Calc_Variable_2[Ausnet],Calc_Variable_2[[Customer type]:[Customer type]],$F364)</f>
        <v>0.11369540103847998</v>
      </c>
      <c r="H364" s="56">
        <f>SUMIFS(Calc_Variable_2[Citipower],Calc_Variable_2[[Customer type]:[Customer type]],"All")+SUMIFS(Calc_Variable_2[Citipower],Calc_Variable_2[[Customer type]:[Customer type]],$F364)</f>
        <v>0.11472917972222922</v>
      </c>
      <c r="I364" s="56">
        <f>SUMIFS(Calc_Variable_2[Jemena],Calc_Variable_2[[Customer type]:[Customer type]],"All")+SUMIFS(Calc_Variable_2[Jemena],Calc_Variable_2[[Customer type]:[Customer type]],$F364)</f>
        <v>0.11289772271369052</v>
      </c>
      <c r="J364" s="56">
        <f>SUMIFS(Calc_Variable_2[Powercor],Calc_Variable_2[[Customer type]:[Customer type]],"All")+SUMIFS(Calc_Variable_2[Powercor],Calc_Variable_2[[Customer type]:[Customer type]],$F364)</f>
        <v>0.11176944916975179</v>
      </c>
      <c r="K364" s="56">
        <f>SUMIFS(Calc_Variable_2[United Energy],Calc_Variable_2[[Customer type]:[Customer type]],"All")+SUMIFS(Calc_Variable_2[United Energy],Calc_Variable_2[[Customer type]:[Customer type]],$F364)</f>
        <v>0.1167894443806243</v>
      </c>
    </row>
    <row r="365" spans="2:11" outlineLevel="2" x14ac:dyDescent="0.35">
      <c r="B365"/>
      <c r="C365" s="21" t="s">
        <v>197</v>
      </c>
      <c r="D365" s="21" t="s">
        <v>9</v>
      </c>
      <c r="E365" s="21" t="s">
        <v>284</v>
      </c>
      <c r="F365" s="21" t="s">
        <v>89</v>
      </c>
      <c r="G365" s="62" cm="1">
        <f t="array" ref="G365">IF(G363=0,"-",
(G363+G364)*Calc_ROM_2[Ausnet])</f>
        <v>1.7442457022724192E-2</v>
      </c>
      <c r="H365" s="62" cm="1">
        <f t="array" ref="H365">IF(H363=0,"-",
(H363+H364)*Calc_ROM_2[Citipower])</f>
        <v>1.4793722455222645E-2</v>
      </c>
      <c r="I365" s="62" cm="1">
        <f t="array" ref="I365">IF(I363=0,"-",
(I363+I364)*Calc_ROM_2[Jemena])</f>
        <v>1.5474946451906908E-2</v>
      </c>
      <c r="J365" s="62" cm="1">
        <f t="array" ref="J365">IF(J363=0,"-",
(J363+J364)*Calc_ROM_2[Powercor])</f>
        <v>1.5659874729853009E-2</v>
      </c>
      <c r="K365" s="62" cm="1">
        <f t="array" ref="K365">IF(K363=0,"-",
(K363+K364)*Calc_ROM_2[United Energy])</f>
        <v>1.5504042440589708E-2</v>
      </c>
    </row>
    <row r="366" spans="2:11" outlineLevel="2" x14ac:dyDescent="0.35">
      <c r="B366"/>
      <c r="C366" s="21" t="s">
        <v>279</v>
      </c>
      <c r="D366" s="21" t="s">
        <v>9</v>
      </c>
      <c r="E366" s="21" t="s">
        <v>284</v>
      </c>
      <c r="F366" s="21" t="s">
        <v>89</v>
      </c>
      <c r="G366" s="62">
        <f>IF(G363=0,"-",
(G363+G364+G365)*GST)</f>
        <v>3.0622485806120422E-2</v>
      </c>
      <c r="H366" s="62">
        <f>IF(H363=0,"-",
(H363+H364+H365)*GST)</f>
        <v>2.5972290217745189E-2</v>
      </c>
      <c r="I366" s="62">
        <f>IF(I363=0,"-",
(I363+I364+I365)*GST)</f>
        <v>2.7168266916559741E-2</v>
      </c>
      <c r="J366" s="62">
        <f>IF(J363=0,"-",
(J363+J364+J365)*GST)</f>
        <v>2.7492932389960485E-2</v>
      </c>
      <c r="K366" s="62">
        <f>IF(K363=0,"-",
(K363+K364+K365)*GST)</f>
        <v>2.7219348682121405E-2</v>
      </c>
    </row>
    <row r="367" spans="2:11" outlineLevel="2" x14ac:dyDescent="0.35">
      <c r="B367"/>
      <c r="C367" s="21" t="str">
        <f>C362&amp;" charge"</f>
        <v>TOU - Peak charge</v>
      </c>
      <c r="D367" s="21" t="s">
        <v>9</v>
      </c>
      <c r="E367" s="21" t="s">
        <v>284</v>
      </c>
      <c r="F367" s="21" t="s">
        <v>89</v>
      </c>
      <c r="G367" s="63">
        <f>IF(G363=0,"-",
G363+G364+G365+G366)</f>
        <v>0.33684734386732462</v>
      </c>
      <c r="H367" s="63">
        <f t="shared" ref="H367" si="95">IF(H363=0,"-",
H363+H364+H365+H366)</f>
        <v>0.28569519239519703</v>
      </c>
      <c r="I367" s="63">
        <f t="shared" ref="I367" si="96">IF(I363=0,"-",
I363+I364+I365+I366)</f>
        <v>0.29885093608215718</v>
      </c>
      <c r="J367" s="63">
        <f t="shared" ref="J367" si="97">IF(J363=0,"-",
J363+J364+J365+J366)</f>
        <v>0.30242225628956532</v>
      </c>
      <c r="K367" s="63">
        <f t="shared" ref="K367" si="98">IF(K363=0,"-",
K363+K364+K365+K366)</f>
        <v>0.29941283550333542</v>
      </c>
    </row>
    <row r="368" spans="2:11" outlineLevel="2" x14ac:dyDescent="0.35">
      <c r="B368"/>
      <c r="G368" s="88" cm="1">
        <f t="array" ref="G368">IF($D$244='Lookup refs'!$D$23,
IF(G367=INDEX(RateCheck_VDO2021F[[Ausnet]:[United Energy]],MATCH(Calc_Rates!$C367&amp;"_"&amp;Calc_Rates!$F367,RateCheck_VDO2021F[[Rate]:[Rate]],0),MATCH(Calc_Rates!G$9,RateCheck_VDO2021F[[#Headers],[Ausnet]:[United Energy]],0)),0,1),
IF(G367="-","-",
IF(G367=(((SUMIFS(Calc_Variable_2[Ausnet],Calc_Variable_2[[Customer type]:[Customer type]],Calc_Rates!$F367)+SUMIFS(Calc_Variable_2[Ausnet],Calc_Variable_2[[Customer type]:[Customer type]],"All")+G363)*(1+Calc_ROM_2[Ausnet]))*(1+GST)),0,1)))</f>
        <v>0</v>
      </c>
      <c r="H368" s="88" cm="1">
        <f t="array" ref="H368">IF($D$244='Lookup refs'!$D$23,
IF(H367=INDEX(RateCheck_VDO2021F[[Ausnet]:[United Energy]],MATCH(Calc_Rates!$C367&amp;"_"&amp;Calc_Rates!$F367,RateCheck_VDO2021F[[Rate]:[Rate]],0),MATCH(Calc_Rates!H$9,RateCheck_VDO2021F[[#Headers],[Ausnet]:[United Energy]],0)),0,1),
IF(H367="-","-",
IF(H367=(((SUMIFS(Calc_Variable_2[Citipower],Calc_Variable_2[[Customer type]:[Customer type]],Calc_Rates!$F367)+SUMIFS(Calc_Variable_2[Citipower],Calc_Variable_2[[Customer type]:[Customer type]],"All")+H363)*(1+Calc_ROM_2[Citipower]))*(1+GST)),0,1)))</f>
        <v>0</v>
      </c>
      <c r="I368" s="88" cm="1">
        <f t="array" ref="I368">IF($D$244='Lookup refs'!$D$23,
IF(I367=INDEX(RateCheck_VDO2021F[[Ausnet]:[United Energy]],MATCH(Calc_Rates!$C367&amp;"_"&amp;Calc_Rates!$F367,RateCheck_VDO2021F[[Rate]:[Rate]],0),MATCH(Calc_Rates!I$9,RateCheck_VDO2021F[[#Headers],[Ausnet]:[United Energy]],0)),0,1),
IF(I367="-","-",
IF(I367=(((SUMIFS(Calc_Variable_2[Jemena],Calc_Variable_2[[Customer type]:[Customer type]],Calc_Rates!$F367)+SUMIFS(Calc_Variable_2[Jemena],Calc_Variable_2[[Customer type]:[Customer type]],"All")+I363)*(1+Calc_ROM_2[Jemena]))*(1+GST)),0,1)))</f>
        <v>0</v>
      </c>
      <c r="J368" s="88" cm="1">
        <f t="array" ref="J368">IF($D$244='Lookup refs'!$D$23,
IF(J367=INDEX(RateCheck_VDO2021F[[Ausnet]:[United Energy]],MATCH(Calc_Rates!$C367&amp;"_"&amp;Calc_Rates!$F367,RateCheck_VDO2021F[[Rate]:[Rate]],0),MATCH(Calc_Rates!J$9,RateCheck_VDO2021F[[#Headers],[Ausnet]:[United Energy]],0)),0,1),
IF(J367="-","-",
IF(J367=(((SUMIFS(Calc_Variable_2[Powercor],Calc_Variable_2[[Customer type]:[Customer type]],Calc_Rates!$F367)+SUMIFS(Calc_Variable_2[Powercor],Calc_Variable_2[[Customer type]:[Customer type]],"All")+J363)*(1+Calc_ROM_2[Powercor]))*(1+GST)),0,1)))</f>
        <v>0</v>
      </c>
      <c r="K368" s="88" cm="1">
        <f t="array" ref="K368">IF($D$244='Lookup refs'!$D$23,
IF(K367=INDEX(RateCheck_VDO2021F[[Ausnet]:[United Energy]],MATCH(Calc_Rates!$C367&amp;"_"&amp;Calc_Rates!$F367,RateCheck_VDO2021F[[Rate]:[Rate]],0),MATCH(Calc_Rates!K$9,RateCheck_VDO2021F[[#Headers],[Ausnet]:[United Energy]],0)),0,1),
IF(K367="-","-",
IF(K367=(((SUMIFS(Calc_Variable_2[United Energy],Calc_Variable_2[[Customer type]:[Customer type]],Calc_Rates!$F367)+SUMIFS(Calc_Variable_2[United Energy],Calc_Variable_2[[Customer type]:[Customer type]],"All")+K363)*(1+Calc_ROM_2[United Energy]))*(1+GST)),0,1)))</f>
        <v>0</v>
      </c>
    </row>
    <row r="369" spans="1:11" ht="15.5" outlineLevel="2" x14ac:dyDescent="0.35">
      <c r="B369"/>
      <c r="C369" s="69" t="s">
        <v>293</v>
      </c>
    </row>
    <row r="370" spans="1:11" outlineLevel="2" x14ac:dyDescent="0.35">
      <c r="B370"/>
      <c r="C370" s="21" t="s">
        <v>289</v>
      </c>
      <c r="D370" s="21" t="s">
        <v>9</v>
      </c>
      <c r="E370" s="21" t="s">
        <v>284</v>
      </c>
      <c r="F370" s="21" t="s">
        <v>89</v>
      </c>
      <c r="G370" s="56">
        <f>SUMIFS(Calc_NetworkV_2[Ausnet],Calc_NetworkV_2[[Cost item]:[Cost item]],$C369,Calc_NetworkV_2[[Customer type]:[Customer type]],$F370)</f>
        <v>4.2655999999999999E-2</v>
      </c>
      <c r="H370" s="56">
        <f>SUMIFS(Calc_NetworkV_2[Citipower],Calc_NetworkV_2[[Cost item]:[Cost item]],$C369,Calc_NetworkV_2[[Customer type]:[Customer type]],$F370)</f>
        <v>2.8900000000000002E-2</v>
      </c>
      <c r="I370" s="56">
        <f>SUMIFS(Calc_NetworkV_2[Jemena],Calc_NetworkV_2[[Cost item]:[Cost item]],$C369,Calc_NetworkV_2[[Customer type]:[Customer type]],$F370)</f>
        <v>3.0520000000000002E-2</v>
      </c>
      <c r="J370" s="56">
        <f>SUMIFS(Calc_NetworkV_2[Powercor],Calc_NetworkV_2[[Cost item]:[Cost item]],$C369,Calc_NetworkV_2[[Customer type]:[Customer type]],$F370)</f>
        <v>3.2799999999999996E-2</v>
      </c>
      <c r="K370" s="56">
        <f>SUMIFS(Calc_NetworkV_2[United Energy],Calc_NetworkV_2[[Cost item]:[Cost item]],$C369,Calc_NetworkV_2[[Customer type]:[Customer type]],$F370)</f>
        <v>3.1099999999999999E-2</v>
      </c>
    </row>
    <row r="371" spans="1:11" outlineLevel="2" x14ac:dyDescent="0.35">
      <c r="B371"/>
      <c r="C371" s="21" t="s">
        <v>282</v>
      </c>
      <c r="D371" s="21" t="s">
        <v>9</v>
      </c>
      <c r="E371" s="21" t="s">
        <v>284</v>
      </c>
      <c r="F371" s="21" t="s">
        <v>89</v>
      </c>
      <c r="G371" s="56">
        <f>SUMIFS(Calc_Variable_2[Ausnet],Calc_Variable_2[[Customer type]:[Customer type]],"All")+SUMIFS(Calc_Variable_2[Ausnet],Calc_Variable_2[[Customer type]:[Customer type]],$F371)</f>
        <v>0.11369540103847998</v>
      </c>
      <c r="H371" s="56">
        <f>SUMIFS(Calc_Variable_2[Citipower],Calc_Variable_2[[Customer type]:[Customer type]],"All")+SUMIFS(Calc_Variable_2[Citipower],Calc_Variable_2[[Customer type]:[Customer type]],$F371)</f>
        <v>0.11472917972222922</v>
      </c>
      <c r="I371" s="56">
        <f>SUMIFS(Calc_Variable_2[Jemena],Calc_Variable_2[[Customer type]:[Customer type]],"All")+SUMIFS(Calc_Variable_2[Jemena],Calc_Variable_2[[Customer type]:[Customer type]],$F371)</f>
        <v>0.11289772271369052</v>
      </c>
      <c r="J371" s="56">
        <f>SUMIFS(Calc_Variable_2[Powercor],Calc_Variable_2[[Customer type]:[Customer type]],"All")+SUMIFS(Calc_Variable_2[Powercor],Calc_Variable_2[[Customer type]:[Customer type]],$F371)</f>
        <v>0.11176944916975179</v>
      </c>
      <c r="K371" s="56">
        <f>SUMIFS(Calc_Variable_2[United Energy],Calc_Variable_2[[Customer type]:[Customer type]],"All")+SUMIFS(Calc_Variable_2[United Energy],Calc_Variable_2[[Customer type]:[Customer type]],$F371)</f>
        <v>0.1167894443806243</v>
      </c>
    </row>
    <row r="372" spans="1:11" outlineLevel="2" x14ac:dyDescent="0.35">
      <c r="B372"/>
      <c r="C372" s="21" t="s">
        <v>197</v>
      </c>
      <c r="D372" s="21" t="s">
        <v>9</v>
      </c>
      <c r="E372" s="21" t="s">
        <v>284</v>
      </c>
      <c r="F372" s="21" t="s">
        <v>89</v>
      </c>
      <c r="G372" s="62" cm="1">
        <f t="array" ref="G372">IF(G370=0,"-",
(G370+G371)*Calc_ROM_2[Ausnet])</f>
        <v>9.4436246227241928E-3</v>
      </c>
      <c r="H372" s="62" cm="1">
        <f t="array" ref="H372">IF(H370=0,"-",
(H370+H371)*Calc_ROM_2[Citipower])</f>
        <v>8.6752024552226442E-3</v>
      </c>
      <c r="I372" s="62" cm="1">
        <f t="array" ref="I372">IF(I370=0,"-",
(I370+I371)*Calc_ROM_2[Jemena])</f>
        <v>8.6624304519069082E-3</v>
      </c>
      <c r="J372" s="62" cm="1">
        <f t="array" ref="J372">IF(J370=0,"-",
(J370+J371)*Calc_ROM_2[Powercor])</f>
        <v>8.7319947298530078E-3</v>
      </c>
      <c r="K372" s="62" cm="1">
        <f t="array" ref="K372">IF(K370=0,"-",
(K370+K371)*Calc_ROM_2[United Energy])</f>
        <v>8.9325224405897071E-3</v>
      </c>
    </row>
    <row r="373" spans="1:11" outlineLevel="2" x14ac:dyDescent="0.35">
      <c r="B373"/>
      <c r="C373" s="21" t="s">
        <v>279</v>
      </c>
      <c r="D373" s="21" t="s">
        <v>9</v>
      </c>
      <c r="E373" s="21" t="s">
        <v>284</v>
      </c>
      <c r="F373" s="21" t="s">
        <v>89</v>
      </c>
      <c r="G373" s="62">
        <f>IF(G370=0,"-",
(G370+G371+G372)*GST)</f>
        <v>1.6579502566120421E-2</v>
      </c>
      <c r="H373" s="62">
        <f>IF(H370=0,"-",
(H370+H371+H372)*GST)</f>
        <v>1.5230438217745185E-2</v>
      </c>
      <c r="I373" s="62">
        <f>IF(I370=0,"-",
(I370+I371+I372)*GST)</f>
        <v>1.5208015316559742E-2</v>
      </c>
      <c r="J373" s="62">
        <f>IF(J370=0,"-",
(J370+J371+J372)*GST)</f>
        <v>1.5330144389960479E-2</v>
      </c>
      <c r="K373" s="62">
        <f>IF(K370=0,"-",
(K370+K371+K372)*GST)</f>
        <v>1.56821966821214E-2</v>
      </c>
    </row>
    <row r="374" spans="1:11" outlineLevel="2" x14ac:dyDescent="0.35">
      <c r="B374"/>
      <c r="C374" s="21" t="str">
        <f>C369&amp;" charge"</f>
        <v>TOU - Off peak charge</v>
      </c>
      <c r="D374" s="21" t="s">
        <v>9</v>
      </c>
      <c r="E374" s="21" t="s">
        <v>284</v>
      </c>
      <c r="F374" s="21" t="s">
        <v>89</v>
      </c>
      <c r="G374" s="63">
        <f>IF(G370=0,"-",
G370+G371+G372+G373)</f>
        <v>0.18237452822732461</v>
      </c>
      <c r="H374" s="63">
        <f t="shared" ref="H374" si="99">IF(H370=0,"-",
H370+H371+H372+H373)</f>
        <v>0.16753482039519704</v>
      </c>
      <c r="I374" s="63">
        <f t="shared" ref="I374" si="100">IF(I370=0,"-",
I370+I371+I372+I373)</f>
        <v>0.16728816848215716</v>
      </c>
      <c r="J374" s="63">
        <f t="shared" ref="J374" si="101">IF(J370=0,"-",
J370+J371+J372+J373)</f>
        <v>0.16863158828956526</v>
      </c>
      <c r="K374" s="63">
        <f t="shared" ref="K374" si="102">IF(K370=0,"-",
K370+K371+K372+K373)</f>
        <v>0.17250416350333539</v>
      </c>
    </row>
    <row r="375" spans="1:11" outlineLevel="2" x14ac:dyDescent="0.35">
      <c r="B375"/>
      <c r="G375" s="88" cm="1">
        <f t="array" ref="G375">IF($D$244='Lookup refs'!$D$23,
IF(G374=INDEX(RateCheck_VDO2021F[[Ausnet]:[United Energy]],MATCH(Calc_Rates!$C374&amp;"_"&amp;Calc_Rates!$F374,RateCheck_VDO2021F[[Rate]:[Rate]],0),MATCH(Calc_Rates!G$9,RateCheck_VDO2021F[[#Headers],[Ausnet]:[United Energy]],0)),0,1),
IF(G374="-","-",
IF(G374=(((SUMIFS(Calc_Variable_2[Ausnet],Calc_Variable_2[[Customer type]:[Customer type]],Calc_Rates!$F374)+SUMIFS(Calc_Variable_2[Ausnet],Calc_Variable_2[[Customer type]:[Customer type]],"All")+G370)*(1+Calc_ROM_2[Ausnet]))*(1+GST)),0,1)))</f>
        <v>0</v>
      </c>
      <c r="H375" s="88" cm="1">
        <f t="array" ref="H375">IF($D$244='Lookup refs'!$D$23,
IF(H374=INDEX(RateCheck_VDO2021F[[Ausnet]:[United Energy]],MATCH(Calc_Rates!$C374&amp;"_"&amp;Calc_Rates!$F374,RateCheck_VDO2021F[[Rate]:[Rate]],0),MATCH(Calc_Rates!H$9,RateCheck_VDO2021F[[#Headers],[Ausnet]:[United Energy]],0)),0,1),
IF(H374="-","-",
IF(H374=(((SUMIFS(Calc_Variable_2[Citipower],Calc_Variable_2[[Customer type]:[Customer type]],Calc_Rates!$F374)+SUMIFS(Calc_Variable_2[Citipower],Calc_Variable_2[[Customer type]:[Customer type]],"All")+H370)*(1+Calc_ROM_2[Citipower]))*(1+GST)),0,1)))</f>
        <v>0</v>
      </c>
      <c r="I375" s="88" cm="1">
        <f t="array" ref="I375">IF($D$244='Lookup refs'!$D$23,
IF(I374=INDEX(RateCheck_VDO2021F[[Ausnet]:[United Energy]],MATCH(Calc_Rates!$C374&amp;"_"&amp;Calc_Rates!$F374,RateCheck_VDO2021F[[Rate]:[Rate]],0),MATCH(Calc_Rates!I$9,RateCheck_VDO2021F[[#Headers],[Ausnet]:[United Energy]],0)),0,1),
IF(I374="-","-",
IF(I374=(((SUMIFS(Calc_Variable_2[Jemena],Calc_Variable_2[[Customer type]:[Customer type]],Calc_Rates!$F374)+SUMIFS(Calc_Variable_2[Jemena],Calc_Variable_2[[Customer type]:[Customer type]],"All")+I370)*(1+Calc_ROM_2[Jemena]))*(1+GST)),0,1)))</f>
        <v>0</v>
      </c>
      <c r="J375" s="88" cm="1">
        <f t="array" ref="J375">IF($D$244='Lookup refs'!$D$23,
IF(J374=INDEX(RateCheck_VDO2021F[[Ausnet]:[United Energy]],MATCH(Calc_Rates!$C374&amp;"_"&amp;Calc_Rates!$F374,RateCheck_VDO2021F[[Rate]:[Rate]],0),MATCH(Calc_Rates!J$9,RateCheck_VDO2021F[[#Headers],[Ausnet]:[United Energy]],0)),0,1),
IF(J374="-","-",
IF(J374=(((SUMIFS(Calc_Variable_2[Powercor],Calc_Variable_2[[Customer type]:[Customer type]],Calc_Rates!$F374)+SUMIFS(Calc_Variable_2[Powercor],Calc_Variable_2[[Customer type]:[Customer type]],"All")+J370)*(1+Calc_ROM_2[Powercor]))*(1+GST)),0,1)))</f>
        <v>0</v>
      </c>
      <c r="K375" s="88" cm="1">
        <f t="array" ref="K375">IF($D$244='Lookup refs'!$D$23,
IF(K374=INDEX(RateCheck_VDO2021F[[Ausnet]:[United Energy]],MATCH(Calc_Rates!$C374&amp;"_"&amp;Calc_Rates!$F374,RateCheck_VDO2021F[[Rate]:[Rate]],0),MATCH(Calc_Rates!K$9,RateCheck_VDO2021F[[#Headers],[Ausnet]:[United Energy]],0)),0,1),
IF(K374="-","-",
IF(K374=(((SUMIFS(Calc_Variable_2[United Energy],Calc_Variable_2[[Customer type]:[Customer type]],Calc_Rates!$F374)+SUMIFS(Calc_Variable_2[United Energy],Calc_Variable_2[[Customer type]:[Customer type]],"All")+K370)*(1+Calc_ROM_2[United Energy]))*(1+GST)),0,1)))</f>
        <v>0</v>
      </c>
    </row>
    <row r="376" spans="1:11" ht="16" outlineLevel="1" collapsed="1" thickBot="1" x14ac:dyDescent="0.4">
      <c r="A376" s="2" t="s">
        <v>22</v>
      </c>
      <c r="B376" s="8">
        <f ca="1">MAX(B$3:B375)+0.1</f>
        <v>9.8999999999999968</v>
      </c>
      <c r="C376" s="25" t="s">
        <v>296</v>
      </c>
      <c r="D376" s="25"/>
      <c r="E376" s="25"/>
      <c r="F376" s="25"/>
      <c r="G376" s="25"/>
      <c r="H376" s="25"/>
      <c r="I376" s="25"/>
      <c r="J376" s="25"/>
      <c r="K376" s="25"/>
    </row>
    <row r="377" spans="1:11" outlineLevel="1" x14ac:dyDescent="0.35"/>
    <row r="378" spans="1:11" ht="15.5" outlineLevel="2" x14ac:dyDescent="0.35">
      <c r="C378" s="26" t="s">
        <v>251</v>
      </c>
    </row>
    <row r="379" spans="1:11" ht="15.5" outlineLevel="2" x14ac:dyDescent="0.35">
      <c r="C379" s="51" t="s">
        <v>297</v>
      </c>
      <c r="D379" s="65">
        <f>IFERROR(INDEX(Input_CPI[Indice],MATCH($D$244,Input_CPI[Decision paper],0),1),"-")</f>
        <v>116.2</v>
      </c>
    </row>
    <row r="380" spans="1:11" ht="15.5" outlineLevel="2" x14ac:dyDescent="0.35">
      <c r="C380" s="26"/>
    </row>
    <row r="381" spans="1:11" ht="15.5" outlineLevel="2" x14ac:dyDescent="0.35">
      <c r="C381" s="39" t="s">
        <v>42</v>
      </c>
      <c r="D381" s="39" t="s">
        <v>94</v>
      </c>
      <c r="E381" s="39" t="s">
        <v>95</v>
      </c>
      <c r="F381" s="39" t="s">
        <v>87</v>
      </c>
      <c r="G381" s="55" t="s">
        <v>298</v>
      </c>
      <c r="H381" s="55" t="s">
        <v>352</v>
      </c>
    </row>
    <row r="382" spans="1:11" outlineLevel="2" x14ac:dyDescent="0.35">
      <c r="C382" s="21" t="s">
        <v>299</v>
      </c>
      <c r="D382" s="21"/>
      <c r="E382" s="21" t="str">
        <f>INDEX(Input_ForRateCalc[Unit],MATCH(Calc_CPI_2[[#This Row],[Cost item]]&amp;" - base",Input_ForRateCalc[Cost item],0),1)</f>
        <v>$</v>
      </c>
      <c r="F382" s="21" t="str">
        <f>INDEX(Input_ForRateCalc[Customer type],MATCH(Calc_CPI_2[[#This Row],[Cost item]]&amp;" - base",Input_ForRateCalc[Cost item],0),1)</f>
        <v>All</v>
      </c>
      <c r="G382" s="53">
        <f>IFERROR(
($D$379-
INDEX(CPI[Indice],MATCH(
INDEX(Input_ForRateCalc[[F-CurrentVDO_InputDate]:[F-NextVDO_Input]],MATCH(Calc_Rates!$C382&amp;" - base",Input_ForRateCalc[Cost item],0),1),
CPI[Period],0),1))/
INDEX(CPI[Indice],MATCH(
INDEX(Input_ForRateCalc[[F-CurrentVDO_InputDate]:[F-NextVDO_Input]],MATCH(Calc_Rates!$C382&amp;" - base",Input_ForRateCalc[Cost item],0),1),
CPI[Period],0),1),"-")</f>
        <v>4.9683830171635052E-2</v>
      </c>
      <c r="H382" s="56">
        <f>IFERROR((G382)*
INDEX(Input_ForRateCalc[[F-CurrentVDO_InputDate]:[F-NextVDO_Input]],MATCH(Calc_Rates!$C382&amp;" - base",Input_ForRateCalc[Cost item],0),MATCH($D$244,Inputs!$H$8:$Q$8,0)),"-")</f>
        <v>6.0152213188798553</v>
      </c>
    </row>
    <row r="383" spans="1:11" outlineLevel="2" x14ac:dyDescent="0.35">
      <c r="C383" s="21" t="s">
        <v>107</v>
      </c>
      <c r="D383" s="21"/>
      <c r="E383" s="21" t="str">
        <f>INDEX(Input_ForRateCalc[Unit],MATCH(Calc_CPI_2[[#This Row],[Cost item]],Input_ForRateCalc[Cost item],0),1)</f>
        <v>$</v>
      </c>
      <c r="F383" s="21" t="str">
        <f>INDEX(Input_ForRateCalc[Customer type],MATCH(Calc_CPI_2[[#This Row],[Cost item]],Input_ForRateCalc[Cost item],0),1)</f>
        <v>All</v>
      </c>
      <c r="G383" s="53">
        <f>IFERROR(
($D$379-
INDEX(CPI[Indice],MATCH(
INDEX(Input_ForRateCalc[[F-CurrentVDO_InputDate]:[F-NextVDO_Input]],MATCH(Calc_Rates!$C383,Input_ForRateCalc[Cost item],0),1),
CPI[Period],0),1))/
INDEX(CPI[Indice],MATCH(
INDEX(Input_ForRateCalc[[F-CurrentVDO_InputDate]:[F-NextVDO_Input]],MATCH(Calc_Rates!$C383,Input_ForRateCalc[Cost item],0),1),
CPI[Period],0),1),"-")</f>
        <v>1.2195121951219561E-2</v>
      </c>
      <c r="H383" s="56">
        <f>IFERROR((G383)*
INDEX(Input_ForRateCalc[[F-CurrentVDO_InputDate]:[F-NextVDO_Input]],MATCH(Calc_Rates!$C383,Input_ForRateCalc[Cost item],0),MATCH($D$244,Inputs!$H$8:$Q$8,0)),"-")</f>
        <v>0.46341463414634332</v>
      </c>
    </row>
    <row r="384" spans="1:11" outlineLevel="2" x14ac:dyDescent="0.35">
      <c r="C384" s="21" t="s">
        <v>109</v>
      </c>
      <c r="D384" s="21"/>
      <c r="E384" s="21" t="str">
        <f>INDEX(Input_ForRateCalc[Unit],MATCH(Calc_CPI_2[[#This Row],[Cost item]],Input_ForRateCalc[Cost item],0),1)</f>
        <v>$</v>
      </c>
      <c r="F384" s="21" t="str">
        <f>INDEX(Input_ForRateCalc[Customer type],MATCH(Calc_CPI_2[[#This Row],[Cost item]],Input_ForRateCalc[Cost item],0),1)</f>
        <v>All</v>
      </c>
      <c r="G384" s="53">
        <f>IFERROR(
($D$379-
INDEX(CPI[Indice],MATCH(
INDEX(Input_ForRateCalc[[F-CurrentVDO_InputDate]:[F-NextVDO_Input]],MATCH(Calc_Rates!$C384,Input_ForRateCalc[Cost item],0),1),
CPI[Period],0),1))/
INDEX(CPI[Indice],MATCH(
INDEX(Input_ForRateCalc[[F-CurrentVDO_InputDate]:[F-NextVDO_Input]],MATCH(Calc_Rates!$C384,Input_ForRateCalc[Cost item],0),1),
CPI[Period],0),1),"-")</f>
        <v>1.5734265734265708E-2</v>
      </c>
      <c r="H384" s="56">
        <f>IFERROR((G384)*
INDEX(Input_ForRateCalc[[F-CurrentVDO_InputDate]:[F-NextVDO_Input]],MATCH(Calc_Rates!$C384,Input_ForRateCalc[Cost item],0),MATCH($D$244,Inputs!$H$8:$Q$8,0)),"-")</f>
        <v>0.16806064320445238</v>
      </c>
    </row>
    <row r="385" spans="1:11" outlineLevel="2" x14ac:dyDescent="0.35">
      <c r="C385" s="21" t="s">
        <v>110</v>
      </c>
      <c r="D385" s="21"/>
      <c r="E385" s="21" t="str">
        <f>INDEX(Input_ForRateCalc[Unit],MATCH(Calc_CPI_2[[#This Row],[Cost item]],Input_ForRateCalc[Cost item],0),1)</f>
        <v>$</v>
      </c>
      <c r="F385" s="21" t="str">
        <f>INDEX(Input_ForRateCalc[Customer type],MATCH(Calc_CPI_2[[#This Row],[Cost item]],Input_ForRateCalc[Cost item],0),1)</f>
        <v>All</v>
      </c>
      <c r="G385" s="53">
        <f>IFERROR(
($D$379-
INDEX(CPI[Indice],MATCH(
INDEX(Input_ForRateCalc[[F-CurrentVDO_InputDate]:[F-NextVDO_Input]],MATCH(Calc_Rates!$C385,Input_ForRateCalc[Cost item],0),1),
CPI[Period],0),1))/
INDEX(CPI[Indice],MATCH(
INDEX(Input_ForRateCalc[[F-CurrentVDO_InputDate]:[F-NextVDO_Input]],MATCH(Calc_Rates!$C385,Input_ForRateCalc[Cost item],0),1),
CPI[Period],0),1),"-")</f>
        <v>1.2195121951219561E-2</v>
      </c>
      <c r="H385" s="56">
        <f>IFERROR((G385)*
INDEX(Input_ForRateCalc[[F-CurrentVDO_InputDate]:[F-NextVDO_Input]],MATCH(Calc_Rates!$C385,Input_ForRateCalc[Cost item],0),MATCH($D$244,Inputs!$H$8:$Q$8,0)),"-")</f>
        <v>2.0408837969874402E-2</v>
      </c>
    </row>
    <row r="386" spans="1:11" outlineLevel="2" x14ac:dyDescent="0.35">
      <c r="C386" s="21" t="s">
        <v>112</v>
      </c>
      <c r="D386" s="21"/>
      <c r="E386" s="21" t="str">
        <f>INDEX(Input_ForRateCalc[Unit],MATCH(Calc_CPI_2[[#This Row],[Cost item]],Input_ForRateCalc[Cost item],0),1)</f>
        <v>$/week</v>
      </c>
      <c r="F386" s="21" t="str">
        <f>INDEX(Input_ForRateCalc[Customer type],MATCH(Calc_CPI_2[[#This Row],[Cost item]],Input_ForRateCalc[Cost item],0),1)</f>
        <v>All</v>
      </c>
      <c r="G386" s="53">
        <f>IFERROR(
($D$379-
INDEX(CPI[Indice],MATCH(
INDEX(Input_ForRateCalc[[F-CurrentVDO_InputDate]:[F-NextVDO_Input]],MATCH(Calc_Rates!$C386,Input_ForRateCalc[Cost item],0),1),
CPI[Period],0),1))/
INDEX(CPI[Indice],MATCH(
INDEX(Input_ForRateCalc[[F-CurrentVDO_InputDate]:[F-NextVDO_Input]],MATCH(Calc_Rates!$C386,Input_ForRateCalc[Cost item],0),1),
CPI[Period],0),1),"-")</f>
        <v>1.5734265734265708E-2</v>
      </c>
      <c r="H386" s="56">
        <f>IFERROR((G386)*
INDEX(Input_ForRateCalc[[F-CurrentVDO_InputDate]:[F-NextVDO_Input]],MATCH(Calc_Rates!$C386,Input_ForRateCalc[Cost item],0),MATCH($D$244,Inputs!$H$8:$Q$8,0)),"-")</f>
        <v>1.8645104895104864E-4</v>
      </c>
    </row>
    <row r="387" spans="1:11" outlineLevel="2" x14ac:dyDescent="0.35">
      <c r="C387" s="40" t="s">
        <v>114</v>
      </c>
      <c r="D387" s="21"/>
      <c r="E387" s="21" t="str">
        <f>INDEX(Input_ForRateCalc[Unit],MATCH(Calc_CPI_2[[#This Row],[Cost item]],Input_ForRateCalc[Cost item],0),1)</f>
        <v>$/week</v>
      </c>
      <c r="F387" s="21" t="str">
        <f>INDEX(Input_ForRateCalc[Customer type],MATCH(Calc_CPI_2[[#This Row],[Cost item]],Input_ForRateCalc[Cost item],0),1)</f>
        <v>All</v>
      </c>
      <c r="G387" s="53">
        <f>IFERROR(
($D$379-
INDEX(CPI[Indice],MATCH(
INDEX(Input_ForRateCalc[[F-CurrentVDO_InputDate]:[F-NextVDO_Input]],MATCH(Calc_Rates!$C387,Input_ForRateCalc[Cost item],0),1),
CPI[Period],0),1))/
INDEX(CPI[Indice],MATCH(
INDEX(Input_ForRateCalc[[F-CurrentVDO_InputDate]:[F-NextVDO_Input]],MATCH(Calc_Rates!$C387,Input_ForRateCalc[Cost item],0),1),
CPI[Period],0),1),"-")</f>
        <v>1.5734265734265708E-2</v>
      </c>
      <c r="H387" s="56">
        <f>IFERROR((G387)*
INDEX(Input_ForRateCalc[[F-CurrentVDO_InputDate]:[F-NextVDO_Input]],MATCH(Calc_Rates!$C387,Input_ForRateCalc[Cost item],0),MATCH($D$244,Inputs!$H$8:$Q$8,0)),"-")</f>
        <v>4.0122377622377555E-4</v>
      </c>
    </row>
    <row r="388" spans="1:11" outlineLevel="2" x14ac:dyDescent="0.35">
      <c r="C388" s="40" t="s">
        <v>154</v>
      </c>
      <c r="D388" s="40"/>
      <c r="E388" s="21" t="str">
        <f>INDEX(Input_ForRateCalc[Unit],MATCH(Calc_CPI_2[[#This Row],[Cost item]],Input_ForRateCalc[Cost item],0),1)</f>
        <v>$/MWh</v>
      </c>
      <c r="F388" s="21" t="str">
        <f>INDEX(Input_ForRateCalc[Customer type],MATCH(Calc_CPI_2[[#This Row],[Cost item]],Input_ForRateCalc[Cost item],0),1)</f>
        <v>All</v>
      </c>
      <c r="G388" s="53">
        <f>IFERROR(
($D$379-
INDEX(CPI[Indice],MATCH(
INDEX(Input_ForRateCalc[[F-CurrentVDO_InputDate]:[F-NextVDO_Input]],MATCH(Calc_Rates!$C388,Input_ForRateCalc[Cost item],0),1),
CPI[Period],0),1))/
INDEX(CPI[Indice],MATCH(
INDEX(Input_ForRateCalc[[F-CurrentVDO_InputDate]:[F-NextVDO_Input]],MATCH(Calc_Rates!$C388,Input_ForRateCalc[Cost item],0),1),
CPI[Period],0),1),"-")</f>
        <v>1.5734265734265708E-2</v>
      </c>
      <c r="H388" s="56">
        <f>IFERROR((G388)*
INDEX(Input_ForRateCalc[[F-CurrentVDO_InputDate]:[F-NextVDO_Input]],MATCH(Calc_Rates!$C388,Input_ForRateCalc[Cost item],0),MATCH($D$244,Inputs!$H$8:$Q$8,0)),"-")</f>
        <v>5.7902097902097806E-3</v>
      </c>
    </row>
    <row r="389" spans="1:11" outlineLevel="2" x14ac:dyDescent="0.35"/>
    <row r="390" spans="1:11" ht="15.5" outlineLevel="2" x14ac:dyDescent="0.35">
      <c r="C390" s="26" t="s">
        <v>286</v>
      </c>
    </row>
    <row r="391" spans="1:11" ht="15.5" outlineLevel="2" x14ac:dyDescent="0.35">
      <c r="C391" s="39" t="s">
        <v>42</v>
      </c>
      <c r="D391" s="39" t="s">
        <v>94</v>
      </c>
      <c r="E391" s="39" t="s">
        <v>95</v>
      </c>
      <c r="F391" s="39" t="s">
        <v>87</v>
      </c>
      <c r="G391" s="55" t="s">
        <v>270</v>
      </c>
      <c r="H391" s="55" t="s">
        <v>271</v>
      </c>
      <c r="I391" s="55" t="s">
        <v>272</v>
      </c>
      <c r="J391" s="55" t="s">
        <v>273</v>
      </c>
      <c r="K391" s="55" t="s">
        <v>274</v>
      </c>
    </row>
    <row r="392" spans="1:11" outlineLevel="2" x14ac:dyDescent="0.35">
      <c r="C392" s="21" t="s">
        <v>300</v>
      </c>
      <c r="D392" s="21" t="s">
        <v>9</v>
      </c>
      <c r="E392" s="21" t="s">
        <v>198</v>
      </c>
      <c r="F392" s="21" t="s">
        <v>103</v>
      </c>
      <c r="G392" s="74" cm="1">
        <f t="array" ref="G392">IFERROR(INDEX(Input_ForRateCalc[[F-CurrentVDO_InputDate]:[F-NextVDO_Input]],MATCH(Calc_Losses_2[[#This Row],[Cost item]:[Cost item]]&amp;" - "&amp;Calc_Losses_2[[#Headers],[Ausnet]],Input_ForRateCalc[[Cost item]:[Cost item]],0),MATCH($D$244,Inputs!$H$8:$Q$8,0)),"-")</f>
        <v>0.99914999999999998</v>
      </c>
      <c r="H392" s="74" cm="1">
        <f t="array" ref="H392">IFERROR(INDEX(Input_ForRateCalc[[F-CurrentVDO_InputDate]:[F-NextVDO_Input]],MATCH(Calc_Losses_2[[#This Row],[Cost item]:[Cost item]]&amp;" - "&amp;Calc_Losses_2[[#Headers],[Citipower]],Input_ForRateCalc[[Cost item]:[Cost item]],0),MATCH($D$244,Inputs!$H$8:$Q$8,0)),"-")</f>
        <v>0.99780999999999997</v>
      </c>
      <c r="I392" s="74" cm="1">
        <f t="array" ref="I392">IFERROR(INDEX(Input_ForRateCalc[[F-CurrentVDO_InputDate]:[F-NextVDO_Input]],MATCH(Calc_Losses_2[[#This Row],[Cost item]:[Cost item]]&amp;" - "&amp;Calc_Losses_2[[#Headers],[Jemena]],Input_ForRateCalc[[Cost item]:[Cost item]],0),MATCH($D$244,Inputs!$H$8:$Q$8,0)),"-")</f>
        <v>0.99831111111111126</v>
      </c>
      <c r="J392" s="74" cm="1">
        <f t="array" ref="J392">IFERROR(INDEX(Input_ForRateCalc[[F-CurrentVDO_InputDate]:[F-NextVDO_Input]],MATCH(Calc_Losses_2[[#This Row],[Cost item]:[Cost item]]&amp;" - "&amp;Calc_Losses_2[[#Headers],[Powercor]],Input_ForRateCalc[[Cost item]:[Cost item]],0),MATCH($D$244,Inputs!$H$8:$Q$8,0)),"-")</f>
        <v>0.98904090909090892</v>
      </c>
      <c r="K392" s="74" cm="1">
        <f t="array" ref="K392">IFERROR(INDEX(Input_ForRateCalc[[F-CurrentVDO_InputDate]:[F-NextVDO_Input]],MATCH(Calc_Losses_2[[#This Row],[Cost item]:[Cost item]]&amp;" - "&amp;Calc_Losses_2[[#Headers],[United Energy]],Input_ForRateCalc[[Cost item]:[Cost item]],0),MATCH($D$244,Inputs!$H$8:$Q$8,0)),"-")</f>
        <v>0.99633000000000005</v>
      </c>
    </row>
    <row r="393" spans="1:11" outlineLevel="2" x14ac:dyDescent="0.35">
      <c r="C393" s="21" t="s">
        <v>301</v>
      </c>
      <c r="D393" s="21" t="s">
        <v>9</v>
      </c>
      <c r="E393" s="21" t="s">
        <v>198</v>
      </c>
      <c r="F393" s="21" t="s">
        <v>103</v>
      </c>
      <c r="G393" s="74" cm="1">
        <f t="array" ref="G393">IFERROR(INDEX(Input_ForRateCalc[[F-CurrentVDO_InputDate]:[F-NextVDO_Input]],MATCH(Calc_Losses_2[[#This Row],[Cost item]:[Cost item]]&amp;" - "&amp;Calc_Losses_2[[#Headers],[Ausnet]],Input_ForRateCalc[[Cost item]:[Cost item]],0),MATCH($D$244,Inputs!$H$8:$Q$8,0)),"-")</f>
        <v>1.06795</v>
      </c>
      <c r="H393" s="74" cm="1">
        <f t="array" ref="H393">IFERROR(INDEX(Input_ForRateCalc[[F-CurrentVDO_InputDate]:[F-NextVDO_Input]],MATCH(Calc_Losses_2[[#This Row],[Cost item]:[Cost item]]&amp;" - "&amp;Calc_Losses_2[[#Headers],[Citipower]],Input_ForRateCalc[[Cost item]:[Cost item]],0),MATCH($D$244,Inputs!$H$8:$Q$8,0)),"-")</f>
        <v>1.0508999999999999</v>
      </c>
      <c r="I393" s="74" cm="1">
        <f t="array" ref="I393">IFERROR(INDEX(Input_ForRateCalc[[F-CurrentVDO_InputDate]:[F-NextVDO_Input]],MATCH(Calc_Losses_2[[#This Row],[Cost item]:[Cost item]]&amp;" - "&amp;Calc_Losses_2[[#Headers],[Jemena]],Input_ForRateCalc[[Cost item]:[Cost item]],0),MATCH($D$244,Inputs!$H$8:$Q$8,0)),"-")</f>
        <v>1.0394000000000001</v>
      </c>
      <c r="J393" s="74" cm="1">
        <f t="array" ref="J393">IFERROR(INDEX(Input_ForRateCalc[[F-CurrentVDO_InputDate]:[F-NextVDO_Input]],MATCH(Calc_Losses_2[[#This Row],[Cost item]:[Cost item]]&amp;" - "&amp;Calc_Losses_2[[#Headers],[Powercor]],Input_ForRateCalc[[Cost item]:[Cost item]],0),MATCH($D$244,Inputs!$H$8:$Q$8,0)),"-")</f>
        <v>1.0829499999999999</v>
      </c>
      <c r="K393" s="74" cm="1">
        <f t="array" ref="K393">IFERROR(INDEX(Input_ForRateCalc[[F-CurrentVDO_InputDate]:[F-NextVDO_Input]],MATCH(Calc_Losses_2[[#This Row],[Cost item]:[Cost item]]&amp;" - "&amp;Calc_Losses_2[[#Headers],[United Energy]],Input_ForRateCalc[[Cost item]:[Cost item]],0),MATCH($D$244,Inputs!$H$8:$Q$8,0)),"-")</f>
        <v>1.0563</v>
      </c>
    </row>
    <row r="394" spans="1:11" outlineLevel="2" x14ac:dyDescent="0.35">
      <c r="C394" s="40" t="s">
        <v>302</v>
      </c>
      <c r="D394" s="21" t="s">
        <v>9</v>
      </c>
      <c r="E394" s="40" t="s">
        <v>198</v>
      </c>
      <c r="F394" s="21" t="s">
        <v>103</v>
      </c>
      <c r="G394" s="60">
        <f>(G392*G393)-1</f>
        <v>6.7042242499999904E-2</v>
      </c>
      <c r="H394" s="60">
        <f t="shared" ref="H394:K394" si="103">(H392*H393)-1</f>
        <v>4.8598528999999946E-2</v>
      </c>
      <c r="I394" s="60">
        <f t="shared" si="103"/>
        <v>3.7644568888889118E-2</v>
      </c>
      <c r="J394" s="60">
        <f t="shared" si="103"/>
        <v>7.1081852499999654E-2</v>
      </c>
      <c r="K394" s="60">
        <f t="shared" si="103"/>
        <v>5.2423379000000159E-2</v>
      </c>
    </row>
    <row r="395" spans="1:11" outlineLevel="2" x14ac:dyDescent="0.35">
      <c r="B395"/>
    </row>
    <row r="396" spans="1:11" ht="15.5" outlineLevel="2" x14ac:dyDescent="0.35">
      <c r="C396" s="26" t="s">
        <v>197</v>
      </c>
    </row>
    <row r="397" spans="1:11" ht="15.5" outlineLevel="2" x14ac:dyDescent="0.35">
      <c r="C397" s="39" t="s">
        <v>42</v>
      </c>
      <c r="D397" s="39" t="s">
        <v>94</v>
      </c>
      <c r="E397" s="39" t="s">
        <v>95</v>
      </c>
      <c r="F397" s="39" t="s">
        <v>87</v>
      </c>
      <c r="G397" s="55" t="s">
        <v>270</v>
      </c>
      <c r="H397" s="55" t="s">
        <v>271</v>
      </c>
      <c r="I397" s="55" t="s">
        <v>272</v>
      </c>
      <c r="J397" s="55" t="s">
        <v>273</v>
      </c>
      <c r="K397" s="55" t="s">
        <v>274</v>
      </c>
    </row>
    <row r="398" spans="1:11" outlineLevel="2" x14ac:dyDescent="0.35">
      <c r="C398" s="21" t="s">
        <v>197</v>
      </c>
      <c r="D398" s="21" t="s">
        <v>9</v>
      </c>
      <c r="E398" s="21" t="s">
        <v>198</v>
      </c>
      <c r="F398" s="21" t="s">
        <v>103</v>
      </c>
      <c r="G398" s="74" cm="1">
        <f t="array" ref="G398">IFERROR(INDEX(Input_ForRateCalc[[F-CurrentVDO_InputDate]:[F-NextVDO_Input]],MATCH(Calc_ROM_2[[#This Row],[Cost item]:[Cost item]],Input_ForRateCalc[[Cost item]:[Cost item]],0),MATCH($D$244,Inputs!$H$8:$Q$8,0)),"-")</f>
        <v>6.0400000000000002E-2</v>
      </c>
      <c r="H398" s="74" cm="1">
        <f t="array" ref="H398">IFERROR(INDEX(Input_ForRateCalc[[F-CurrentVDO_InputDate]:[F-NextVDO_Input]],MATCH(Calc_ROM_2[[#This Row],[Cost item]:[Cost item]],Input_ForRateCalc[[Cost item]:[Cost item]],0),MATCH($D$244,Inputs!$H$8:$Q$8,0)),"-")</f>
        <v>6.0400000000000002E-2</v>
      </c>
      <c r="I398" s="74" cm="1">
        <f t="array" ref="I398">IFERROR(INDEX(Input_ForRateCalc[[F-CurrentVDO_InputDate]:[F-NextVDO_Input]],MATCH(Calc_ROM_2[[#This Row],[Cost item]:[Cost item]],Input_ForRateCalc[[Cost item]:[Cost item]],0),MATCH($D$244,Inputs!$H$8:$Q$8,0)),"-")</f>
        <v>6.0400000000000002E-2</v>
      </c>
      <c r="J398" s="74" cm="1">
        <f t="array" ref="J398">IFERROR(INDEX(Input_ForRateCalc[[F-CurrentVDO_InputDate]:[F-NextVDO_Input]],MATCH(Calc_ROM_2[[#This Row],[Cost item]:[Cost item]],Input_ForRateCalc[[Cost item]:[Cost item]],0),MATCH($D$244,Inputs!$H$8:$Q$8,0)),"-")</f>
        <v>6.0400000000000002E-2</v>
      </c>
      <c r="K398" s="74" cm="1">
        <f t="array" ref="K398">IFERROR(INDEX(Input_ForRateCalc[[F-CurrentVDO_InputDate]:[F-NextVDO_Input]],MATCH(Calc_ROM_2[[#This Row],[Cost item]:[Cost item]],Input_ForRateCalc[[Cost item]:[Cost item]],0),MATCH($D$244,Inputs!$H$8:$Q$8,0)),"-")</f>
        <v>6.0400000000000002E-2</v>
      </c>
    </row>
    <row r="399" spans="1:11" outlineLevel="2" x14ac:dyDescent="0.35">
      <c r="B399"/>
    </row>
    <row r="400" spans="1:11" ht="16" outlineLevel="1" collapsed="1" thickBot="1" x14ac:dyDescent="0.4">
      <c r="A400" s="2" t="s">
        <v>22</v>
      </c>
      <c r="B400" s="8">
        <f ca="1">MAX(B$3:B399)+0.1</f>
        <v>9.9999999999999964</v>
      </c>
      <c r="C400" s="25" t="s">
        <v>303</v>
      </c>
      <c r="D400" s="25"/>
      <c r="E400" s="25"/>
      <c r="F400" s="25"/>
      <c r="G400" s="25"/>
      <c r="H400" s="25"/>
      <c r="I400" s="25"/>
      <c r="J400" s="25"/>
      <c r="K400" s="25"/>
    </row>
    <row r="401" spans="1:11" outlineLevel="1" x14ac:dyDescent="0.35"/>
    <row r="402" spans="1:11" ht="15.5" outlineLevel="2" x14ac:dyDescent="0.35">
      <c r="C402" s="39" t="s">
        <v>42</v>
      </c>
      <c r="D402" s="39" t="s">
        <v>94</v>
      </c>
      <c r="E402" s="39" t="s">
        <v>95</v>
      </c>
      <c r="F402" s="39" t="s">
        <v>87</v>
      </c>
      <c r="G402" s="55" t="s">
        <v>270</v>
      </c>
      <c r="H402" s="55" t="s">
        <v>271</v>
      </c>
      <c r="I402" s="55" t="s">
        <v>272</v>
      </c>
      <c r="J402" s="55" t="s">
        <v>273</v>
      </c>
      <c r="K402" s="55" t="s">
        <v>274</v>
      </c>
    </row>
    <row r="403" spans="1:11" outlineLevel="2" x14ac:dyDescent="0.35">
      <c r="C403" s="21" t="s">
        <v>299</v>
      </c>
      <c r="D403" s="21" t="s">
        <v>101</v>
      </c>
      <c r="E403" s="21" t="s">
        <v>102</v>
      </c>
      <c r="F403" s="21" t="s">
        <v>103</v>
      </c>
      <c r="G403" s="56" cm="1">
        <f t="array" ref="G403">IFERROR(
IFERROR(INDEX(Calc_CPI_2[[CPI uplift factor]:[CPI uplift factor]],MATCH($C403,Calc_CPI_2[[Cost item]:[Cost item]],0),1),0)+
INDEX(Input_ForRateCalc[[F-CurrentVDO_InputDate]:[F-NextVDO_Input]],MATCH(Calc_Retail_2[[#This Row],[Cost item]:[Cost item]]&amp;" - base",Input_ForRateCalc[[Cost item]:[Cost item]],0),MATCH($D$244,Inputs!$H$8:$Q$8,0))+
INDEX(Input_ForRateCalc[[F-CurrentVDO_InputDate]:[F-NextVDO_Input]],MATCH(Calc_Retail_2[[#This Row],[Cost item]:[Cost item]]&amp;" - 5 min settlement allowance",Input_ForRateCalc[[Cost item]:[Cost item]],0),MATCH($D$244,Inputs!$H$8:$Q$8,0))+
INDEX(Input_ForRateCalc[[F-CurrentVDO_InputDate]:[F-NextVDO_Input]],MATCH(Calc_Retail_2[[#This Row],[Cost item]:[Cost item]]&amp;" - regulatory cost allowance",Input_ForRateCalc[[Cost item]:[Cost item]],0),MATCH($D$244,Inputs!$H$8:$Q$8,0))+
INDEX(Input_ForRateCalc[[F-CurrentVDO_InputDate]:[F-NextVDO_Input]],MATCH(Calc_Retail_2[[#This Row],[Cost item]:[Cost item]]&amp;" - bad debt allowance",Input_ForRateCalc[[Cost item]:[Cost item]],0),MATCH($D$244,Inputs!$H$8:$Q$8,0)),"-")</f>
        <v>143.29536631887984</v>
      </c>
      <c r="H403" s="56" cm="1">
        <f t="array" ref="H403">IFERROR(
IFERROR(INDEX(Calc_CPI_2[[CPI uplift factor]:[CPI uplift factor]],MATCH($C403,Calc_CPI_2[[Cost item]:[Cost item]],0),1),0)+
INDEX(Input_ForRateCalc[[F-CurrentVDO_InputDate]:[F-NextVDO_Input]],MATCH(Calc_Retail_2[[#This Row],[Cost item]:[Cost item]]&amp;" - base",Input_ForRateCalc[[Cost item]:[Cost item]],0),MATCH($D$244,Inputs!$H$8:$Q$8,0))+
INDEX(Input_ForRateCalc[[F-CurrentVDO_InputDate]:[F-NextVDO_Input]],MATCH(Calc_Retail_2[[#This Row],[Cost item]:[Cost item]]&amp;" - 5 min settlement allowance",Input_ForRateCalc[[Cost item]:[Cost item]],0),MATCH($D$244,Inputs!$H$8:$Q$8,0))+
INDEX(Input_ForRateCalc[[F-CurrentVDO_InputDate]:[F-NextVDO_Input]],MATCH(Calc_Retail_2[[#This Row],[Cost item]:[Cost item]]&amp;" - regulatory cost allowance",Input_ForRateCalc[[Cost item]:[Cost item]],0),MATCH($D$244,Inputs!$H$8:$Q$8,0))+
INDEX(Input_ForRateCalc[[F-CurrentVDO_InputDate]:[F-NextVDO_Input]],MATCH(Calc_Retail_2[[#This Row],[Cost item]:[Cost item]]&amp;" - bad debt allowance",Input_ForRateCalc[[Cost item]:[Cost item]],0),MATCH($D$244,Inputs!$H$8:$Q$8,0)),"-")</f>
        <v>143.29536631887984</v>
      </c>
      <c r="I403" s="56" cm="1">
        <f t="array" ref="I403">IFERROR(
IFERROR(INDEX(Calc_CPI_2[[CPI uplift factor]:[CPI uplift factor]],MATCH($C403,Calc_CPI_2[[Cost item]:[Cost item]],0),1),0)+
INDEX(Input_ForRateCalc[[F-CurrentVDO_InputDate]:[F-NextVDO_Input]],MATCH(Calc_Retail_2[[#This Row],[Cost item]:[Cost item]]&amp;" - base",Input_ForRateCalc[[Cost item]:[Cost item]],0),MATCH($D$244,Inputs!$H$8:$Q$8,0))+
INDEX(Input_ForRateCalc[[F-CurrentVDO_InputDate]:[F-NextVDO_Input]],MATCH(Calc_Retail_2[[#This Row],[Cost item]:[Cost item]]&amp;" - 5 min settlement allowance",Input_ForRateCalc[[Cost item]:[Cost item]],0),MATCH($D$244,Inputs!$H$8:$Q$8,0))+
INDEX(Input_ForRateCalc[[F-CurrentVDO_InputDate]:[F-NextVDO_Input]],MATCH(Calc_Retail_2[[#This Row],[Cost item]:[Cost item]]&amp;" - regulatory cost allowance",Input_ForRateCalc[[Cost item]:[Cost item]],0),MATCH($D$244,Inputs!$H$8:$Q$8,0))+
INDEX(Input_ForRateCalc[[F-CurrentVDO_InputDate]:[F-NextVDO_Input]],MATCH(Calc_Retail_2[[#This Row],[Cost item]:[Cost item]]&amp;" - bad debt allowance",Input_ForRateCalc[[Cost item]:[Cost item]],0),MATCH($D$244,Inputs!$H$8:$Q$8,0)),"-")</f>
        <v>143.29536631887984</v>
      </c>
      <c r="J403" s="56" cm="1">
        <f t="array" ref="J403">IFERROR(
IFERROR(INDEX(Calc_CPI_2[[CPI uplift factor]:[CPI uplift factor]],MATCH($C403,Calc_CPI_2[[Cost item]:[Cost item]],0),1),0)+
INDEX(Input_ForRateCalc[[F-CurrentVDO_InputDate]:[F-NextVDO_Input]],MATCH(Calc_Retail_2[[#This Row],[Cost item]:[Cost item]]&amp;" - base",Input_ForRateCalc[[Cost item]:[Cost item]],0),MATCH($D$244,Inputs!$H$8:$Q$8,0))+
INDEX(Input_ForRateCalc[[F-CurrentVDO_InputDate]:[F-NextVDO_Input]],MATCH(Calc_Retail_2[[#This Row],[Cost item]:[Cost item]]&amp;" - 5 min settlement allowance",Input_ForRateCalc[[Cost item]:[Cost item]],0),MATCH($D$244,Inputs!$H$8:$Q$8,0))+
INDEX(Input_ForRateCalc[[F-CurrentVDO_InputDate]:[F-NextVDO_Input]],MATCH(Calc_Retail_2[[#This Row],[Cost item]:[Cost item]]&amp;" - regulatory cost allowance",Input_ForRateCalc[[Cost item]:[Cost item]],0),MATCH($D$244,Inputs!$H$8:$Q$8,0))+
INDEX(Input_ForRateCalc[[F-CurrentVDO_InputDate]:[F-NextVDO_Input]],MATCH(Calc_Retail_2[[#This Row],[Cost item]:[Cost item]]&amp;" - bad debt allowance",Input_ForRateCalc[[Cost item]:[Cost item]],0),MATCH($D$244,Inputs!$H$8:$Q$8,0)),"-")</f>
        <v>143.29536631887984</v>
      </c>
      <c r="K403" s="56" cm="1">
        <f t="array" ref="K403">IFERROR(
IFERROR(INDEX(Calc_CPI_2[[CPI uplift factor]:[CPI uplift factor]],MATCH($C403,Calc_CPI_2[[Cost item]:[Cost item]],0),1),0)+
INDEX(Input_ForRateCalc[[F-CurrentVDO_InputDate]:[F-NextVDO_Input]],MATCH(Calc_Retail_2[[#This Row],[Cost item]:[Cost item]]&amp;" - base",Input_ForRateCalc[[Cost item]:[Cost item]],0),MATCH($D$244,Inputs!$H$8:$Q$8,0))+
INDEX(Input_ForRateCalc[[F-CurrentVDO_InputDate]:[F-NextVDO_Input]],MATCH(Calc_Retail_2[[#This Row],[Cost item]:[Cost item]]&amp;" - 5 min settlement allowance",Input_ForRateCalc[[Cost item]:[Cost item]],0),MATCH($D$244,Inputs!$H$8:$Q$8,0))+
INDEX(Input_ForRateCalc[[F-CurrentVDO_InputDate]:[F-NextVDO_Input]],MATCH(Calc_Retail_2[[#This Row],[Cost item]:[Cost item]]&amp;" - regulatory cost allowance",Input_ForRateCalc[[Cost item]:[Cost item]],0),MATCH($D$244,Inputs!$H$8:$Q$8,0))+
INDEX(Input_ForRateCalc[[F-CurrentVDO_InputDate]:[F-NextVDO_Input]],MATCH(Calc_Retail_2[[#This Row],[Cost item]:[Cost item]]&amp;" - bad debt allowance",Input_ForRateCalc[[Cost item]:[Cost item]],0),MATCH($D$244,Inputs!$H$8:$Q$8,0)),"-")</f>
        <v>143.29536631887984</v>
      </c>
    </row>
    <row r="404" spans="1:11" outlineLevel="2" x14ac:dyDescent="0.35">
      <c r="C404" s="40" t="s">
        <v>107</v>
      </c>
      <c r="D404" s="40" t="s">
        <v>101</v>
      </c>
      <c r="E404" s="21" t="s">
        <v>102</v>
      </c>
      <c r="F404" s="21" t="s">
        <v>103</v>
      </c>
      <c r="G404" s="56" cm="1">
        <f t="array" ref="G404">IFERROR(
IFERROR(INDEX(Calc_CPI_2[[CPI uplift factor]:[CPI uplift factor]],MATCH($C404,Calc_CPI_2[[Cost item]:[Cost item]],0),1),0)+
INDEX(Input_ForRateCalc[[F-CurrentVDO_InputDate]:[F-NextVDO_Input]],MATCH(Calc_Retail_2[[#This Row],[Cost item]:[Cost item]],Input_ForRateCalc[[Cost item]:[Cost item]],0),MATCH($D$244,Inputs!$H$8:$Q$8,0)),"-")</f>
        <v>38.463414634146346</v>
      </c>
      <c r="H404" s="56" cm="1">
        <f t="array" ref="H404">IFERROR(
IFERROR(INDEX(Calc_CPI_2[[CPI uplift factor]:[CPI uplift factor]],MATCH($C404,Calc_CPI_2[[Cost item]:[Cost item]],0),1),0)+
INDEX(Input_ForRateCalc[[F-CurrentVDO_InputDate]:[F-NextVDO_Input]],MATCH(Calc_Retail_2[[#This Row],[Cost item]:[Cost item]],Input_ForRateCalc[[Cost item]:[Cost item]],0),MATCH($D$244,Inputs!$H$8:$Q$8,0)),"-")</f>
        <v>38.463414634146346</v>
      </c>
      <c r="I404" s="56" cm="1">
        <f t="array" ref="I404">IFERROR(
IFERROR(INDEX(Calc_CPI_2[[CPI uplift factor]:[CPI uplift factor]],MATCH($C404,Calc_CPI_2[[Cost item]:[Cost item]],0),1),0)+
INDEX(Input_ForRateCalc[[F-CurrentVDO_InputDate]:[F-NextVDO_Input]],MATCH(Calc_Retail_2[[#This Row],[Cost item]:[Cost item]],Input_ForRateCalc[[Cost item]:[Cost item]],0),MATCH($D$244,Inputs!$H$8:$Q$8,0)),"-")</f>
        <v>38.463414634146346</v>
      </c>
      <c r="J404" s="56" cm="1">
        <f t="array" ref="J404">IFERROR(
IFERROR(INDEX(Calc_CPI_2[[CPI uplift factor]:[CPI uplift factor]],MATCH($C404,Calc_CPI_2[[Cost item]:[Cost item]],0),1),0)+
INDEX(Input_ForRateCalc[[F-CurrentVDO_InputDate]:[F-NextVDO_Input]],MATCH(Calc_Retail_2[[#This Row],[Cost item]:[Cost item]],Input_ForRateCalc[[Cost item]:[Cost item]],0),MATCH($D$244,Inputs!$H$8:$Q$8,0)),"-")</f>
        <v>38.463414634146346</v>
      </c>
      <c r="K404" s="56" cm="1">
        <f t="array" ref="K404">IFERROR(
IFERROR(INDEX(Calc_CPI_2[[CPI uplift factor]:[CPI uplift factor]],MATCH($C404,Calc_CPI_2[[Cost item]:[Cost item]],0),1),0)+
INDEX(Input_ForRateCalc[[F-CurrentVDO_InputDate]:[F-NextVDO_Input]],MATCH(Calc_Retail_2[[#This Row],[Cost item]:[Cost item]],Input_ForRateCalc[[Cost item]:[Cost item]],0),MATCH($D$244,Inputs!$H$8:$Q$8,0)),"-")</f>
        <v>38.463414634146346</v>
      </c>
    </row>
    <row r="405" spans="1:11" outlineLevel="2" x14ac:dyDescent="0.35"/>
    <row r="406" spans="1:11" ht="16" outlineLevel="1" collapsed="1" thickBot="1" x14ac:dyDescent="0.4">
      <c r="A406" s="2" t="s">
        <v>22</v>
      </c>
      <c r="B406" s="8">
        <f ca="1">MAX(B$3:B405)+0.1</f>
        <v>10.099999999999996</v>
      </c>
      <c r="C406" s="25" t="s">
        <v>275</v>
      </c>
      <c r="D406" s="25"/>
      <c r="E406" s="25"/>
      <c r="F406" s="25"/>
      <c r="G406" s="25"/>
      <c r="H406" s="25"/>
      <c r="I406" s="25"/>
      <c r="J406" s="25"/>
      <c r="K406" s="25"/>
    </row>
    <row r="407" spans="1:11" outlineLevel="1" x14ac:dyDescent="0.35"/>
    <row r="408" spans="1:11" ht="15.5" outlineLevel="2" x14ac:dyDescent="0.35">
      <c r="C408" s="39" t="s">
        <v>42</v>
      </c>
      <c r="D408" s="39" t="s">
        <v>94</v>
      </c>
      <c r="E408" s="39" t="s">
        <v>95</v>
      </c>
      <c r="F408" s="39" t="s">
        <v>87</v>
      </c>
      <c r="G408" s="55" t="s">
        <v>270</v>
      </c>
      <c r="H408" s="55" t="s">
        <v>271</v>
      </c>
      <c r="I408" s="55" t="s">
        <v>272</v>
      </c>
      <c r="J408" s="55" t="s">
        <v>273</v>
      </c>
      <c r="K408" s="55" t="s">
        <v>274</v>
      </c>
    </row>
    <row r="409" spans="1:11" outlineLevel="2" x14ac:dyDescent="0.35">
      <c r="C409" s="21" t="s">
        <v>110</v>
      </c>
      <c r="D409" s="21" t="s">
        <v>101</v>
      </c>
      <c r="E409" s="21" t="s">
        <v>102</v>
      </c>
      <c r="F409" s="21" t="s">
        <v>103</v>
      </c>
      <c r="G409" s="56" cm="1">
        <f t="array" ref="G409">IFERROR(
IFERROR(INDEX(Calc_CPI_2[[CPI uplift factor]:[CPI uplift factor]],MATCH($C409,Calc_CPI_2[[Cost item]:[Cost item]],0),1),0)+
INDEX(Input_ForRateCalc[[F-CurrentVDO_InputDate]:[F-NextVDO_Input]],MATCH(Calc_OtherCosts_2[[#This Row],[Cost item]:[Cost item]],Input_ForRateCalc[[Cost item]:[Cost item]],0),MATCH($D$244,Inputs!$H$8:$Q$8,0)),"-")</f>
        <v>1.6939335514995686</v>
      </c>
      <c r="H409" s="56" cm="1">
        <f t="array" ref="H409">IFERROR(
IFERROR(INDEX(Calc_CPI_2[[CPI uplift factor]:[CPI uplift factor]],MATCH($C409,Calc_CPI_2[[Cost item]:[Cost item]],0),1),0)+
INDEX(Input_ForRateCalc[[F-CurrentVDO_InputDate]:[F-NextVDO_Input]],MATCH(Calc_OtherCosts_2[[#This Row],[Cost item]:[Cost item]],Input_ForRateCalc[[Cost item]:[Cost item]],0),MATCH($D$244,Inputs!$H$8:$Q$8,0)),"-")</f>
        <v>1.6939335514995686</v>
      </c>
      <c r="I409" s="56" cm="1">
        <f t="array" ref="I409">IFERROR(
IFERROR(INDEX(Calc_CPI_2[[CPI uplift factor]:[CPI uplift factor]],MATCH($C409,Calc_CPI_2[[Cost item]:[Cost item]],0),1),0)+
INDEX(Input_ForRateCalc[[F-CurrentVDO_InputDate]:[F-NextVDO_Input]],MATCH(Calc_OtherCosts_2[[#This Row],[Cost item]:[Cost item]],Input_ForRateCalc[[Cost item]:[Cost item]],0),MATCH($D$244,Inputs!$H$8:$Q$8,0)),"-")</f>
        <v>1.6939335514995686</v>
      </c>
      <c r="J409" s="56" cm="1">
        <f t="array" ref="J409">IFERROR(
IFERROR(INDEX(Calc_CPI_2[[CPI uplift factor]:[CPI uplift factor]],MATCH($C409,Calc_CPI_2[[Cost item]:[Cost item]],0),1),0)+
INDEX(Input_ForRateCalc[[F-CurrentVDO_InputDate]:[F-NextVDO_Input]],MATCH(Calc_OtherCosts_2[[#This Row],[Cost item]:[Cost item]],Input_ForRateCalc[[Cost item]:[Cost item]],0),MATCH($D$244,Inputs!$H$8:$Q$8,0)),"-")</f>
        <v>1.6939335514995686</v>
      </c>
      <c r="K409" s="56" cm="1">
        <f t="array" ref="K409">IFERROR(
IFERROR(INDEX(Calc_CPI_2[[CPI uplift factor]:[CPI uplift factor]],MATCH($C409,Calc_CPI_2[[Cost item]:[Cost item]],0),1),0)+
INDEX(Input_ForRateCalc[[F-CurrentVDO_InputDate]:[F-NextVDO_Input]],MATCH(Calc_OtherCosts_2[[#This Row],[Cost item]:[Cost item]],Input_ForRateCalc[[Cost item]:[Cost item]],0),MATCH($D$244,Inputs!$H$8:$Q$8,0)),"-")</f>
        <v>1.6939335514995686</v>
      </c>
    </row>
    <row r="410" spans="1:11" outlineLevel="2" x14ac:dyDescent="0.35">
      <c r="C410" s="21" t="s">
        <v>111</v>
      </c>
      <c r="D410" s="21" t="s">
        <v>101</v>
      </c>
      <c r="E410" s="21" t="s">
        <v>102</v>
      </c>
      <c r="F410" s="21" t="s">
        <v>103</v>
      </c>
      <c r="G410" s="56" cm="1">
        <f t="array" ref="G410">IFERROR(
IFERROR(INDEX(Calc_CPI_2[[CPI uplift factor]:[CPI uplift factor]],MATCH($C410,Calc_CPI_2[[Cost item]:[Cost item]],0),1),0)+
INDEX(Input_ForRateCalc[[F-CurrentVDO_InputDate]:[F-NextVDO_Input]],MATCH(Calc_OtherCosts_2[[#This Row],[Cost item]:[Cost item]],Input_ForRateCalc[[Cost item]:[Cost item]],0),MATCH($D$244,Inputs!$H$8:$Q$8,0)),"-")</f>
        <v>2.46</v>
      </c>
      <c r="H410" s="56" cm="1">
        <f t="array" ref="H410">IFERROR(
IFERROR(INDEX(Calc_CPI_2[[CPI uplift factor]:[CPI uplift factor]],MATCH($C410,Calc_CPI_2[[Cost item]:[Cost item]],0),1),0)+
INDEX(Input_ForRateCalc[[F-CurrentVDO_InputDate]:[F-NextVDO_Input]],MATCH(Calc_OtherCosts_2[[#This Row],[Cost item]:[Cost item]],Input_ForRateCalc[[Cost item]:[Cost item]],0),MATCH($D$244,Inputs!$H$8:$Q$8,0)),"-")</f>
        <v>2.46</v>
      </c>
      <c r="I410" s="56" cm="1">
        <f t="array" ref="I410">IFERROR(
IFERROR(INDEX(Calc_CPI_2[[CPI uplift factor]:[CPI uplift factor]],MATCH($C410,Calc_CPI_2[[Cost item]:[Cost item]],0),1),0)+
INDEX(Input_ForRateCalc[[F-CurrentVDO_InputDate]:[F-NextVDO_Input]],MATCH(Calc_OtherCosts_2[[#This Row],[Cost item]:[Cost item]],Input_ForRateCalc[[Cost item]:[Cost item]],0),MATCH($D$244,Inputs!$H$8:$Q$8,0)),"-")</f>
        <v>2.46</v>
      </c>
      <c r="J410" s="56" cm="1">
        <f t="array" ref="J410">IFERROR(
IFERROR(INDEX(Calc_CPI_2[[CPI uplift factor]:[CPI uplift factor]],MATCH($C410,Calc_CPI_2[[Cost item]:[Cost item]],0),1),0)+
INDEX(Input_ForRateCalc[[F-CurrentVDO_InputDate]:[F-NextVDO_Input]],MATCH(Calc_OtherCosts_2[[#This Row],[Cost item]:[Cost item]],Input_ForRateCalc[[Cost item]:[Cost item]],0),MATCH($D$244,Inputs!$H$8:$Q$8,0)),"-")</f>
        <v>2.46</v>
      </c>
      <c r="K410" s="56" cm="1">
        <f t="array" ref="K410">IFERROR(
IFERROR(INDEX(Calc_CPI_2[[CPI uplift factor]:[CPI uplift factor]],MATCH($C410,Calc_CPI_2[[Cost item]:[Cost item]],0),1),0)+
INDEX(Input_ForRateCalc[[F-CurrentVDO_InputDate]:[F-NextVDO_Input]],MATCH(Calc_OtherCosts_2[[#This Row],[Cost item]:[Cost item]],Input_ForRateCalc[[Cost item]:[Cost item]],0),MATCH($D$244,Inputs!$H$8:$Q$8,0)),"-")</f>
        <v>2.46</v>
      </c>
    </row>
    <row r="411" spans="1:11" outlineLevel="2" x14ac:dyDescent="0.35">
      <c r="C411" s="21" t="s">
        <v>112</v>
      </c>
      <c r="D411" s="21" t="s">
        <v>101</v>
      </c>
      <c r="E411" s="21" t="s">
        <v>113</v>
      </c>
      <c r="F411" s="21" t="s">
        <v>103</v>
      </c>
      <c r="G411" s="56" cm="1">
        <f t="array" ref="G411">IFERROR(
(IFERROR(INDEX(Calc_CPI_2[[CPI uplift factor]:[CPI uplift factor]],MATCH($C411,Calc_CPI_2[[Cost item]:[Cost item]],0),1),0)+
INDEX(Input_ForRateCalc[[F-CurrentVDO_InputDate]:[F-NextVDO_Input]],MATCH(Calc_OtherCosts_2[[#This Row],[Cost item]:[Cost item]],Input_ForRateCalc[[Cost item]:[Cost item]],0),MATCH($D$244,Inputs!$H$8:$Q$8,0)))*WiY,"-")</f>
        <v>0.62589545454545448</v>
      </c>
      <c r="H411" s="56" cm="1">
        <f t="array" ref="H411">IFERROR(
(IFERROR(INDEX(Calc_CPI_2[[CPI uplift factor]:[CPI uplift factor]],MATCH($C411,Calc_CPI_2[[Cost item]:[Cost item]],0),1),0)+
INDEX(Input_ForRateCalc[[F-CurrentVDO_InputDate]:[F-NextVDO_Input]],MATCH(Calc_OtherCosts_2[[#This Row],[Cost item]:[Cost item]],Input_ForRateCalc[[Cost item]:[Cost item]],0),MATCH($D$244,Inputs!$H$8:$Q$8,0)))*WiY,"-")</f>
        <v>0.62589545454545448</v>
      </c>
      <c r="I411" s="56" cm="1">
        <f t="array" ref="I411">IFERROR(
(IFERROR(INDEX(Calc_CPI_2[[CPI uplift factor]:[CPI uplift factor]],MATCH($C411,Calc_CPI_2[[Cost item]:[Cost item]],0),1),0)+
INDEX(Input_ForRateCalc[[F-CurrentVDO_InputDate]:[F-NextVDO_Input]],MATCH(Calc_OtherCosts_2[[#This Row],[Cost item]:[Cost item]],Input_ForRateCalc[[Cost item]:[Cost item]],0),MATCH($D$244,Inputs!$H$8:$Q$8,0)))*WiY,"-")</f>
        <v>0.62589545454545448</v>
      </c>
      <c r="J411" s="56" cm="1">
        <f t="array" ref="J411">IFERROR(
(IFERROR(INDEX(Calc_CPI_2[[CPI uplift factor]:[CPI uplift factor]],MATCH($C411,Calc_CPI_2[[Cost item]:[Cost item]],0),1),0)+
INDEX(Input_ForRateCalc[[F-CurrentVDO_InputDate]:[F-NextVDO_Input]],MATCH(Calc_OtherCosts_2[[#This Row],[Cost item]:[Cost item]],Input_ForRateCalc[[Cost item]:[Cost item]],0),MATCH($D$244,Inputs!$H$8:$Q$8,0)))*WiY,"-")</f>
        <v>0.62589545454545448</v>
      </c>
      <c r="K411" s="56" cm="1">
        <f t="array" ref="K411">IFERROR(
(IFERROR(INDEX(Calc_CPI_2[[CPI uplift factor]:[CPI uplift factor]],MATCH($C411,Calc_CPI_2[[Cost item]:[Cost item]],0),1),0)+
INDEX(Input_ForRateCalc[[F-CurrentVDO_InputDate]:[F-NextVDO_Input]],MATCH(Calc_OtherCosts_2[[#This Row],[Cost item]:[Cost item]],Input_ForRateCalc[[Cost item]:[Cost item]],0),MATCH($D$244,Inputs!$H$8:$Q$8,0)))*WiY,"-")</f>
        <v>0.62589545454545448</v>
      </c>
    </row>
    <row r="412" spans="1:11" outlineLevel="2" x14ac:dyDescent="0.35">
      <c r="C412" s="21" t="s">
        <v>114</v>
      </c>
      <c r="D412" s="21" t="s">
        <v>101</v>
      </c>
      <c r="E412" s="21" t="s">
        <v>113</v>
      </c>
      <c r="F412" s="21" t="s">
        <v>103</v>
      </c>
      <c r="G412" s="56" cm="1">
        <f t="array" ref="G412">IFERROR(
(IFERROR(INDEX(Calc_CPI_2[[CPI uplift factor]:[CPI uplift factor]],MATCH($C412,Calc_CPI_2[[Cost item]:[Cost item]],0),1),0)+
INDEX(Input_ForRateCalc[[F-CurrentVDO_InputDate]:[F-NextVDO_Input]],MATCH(Calc_OtherCosts_2[[#This Row],[Cost item]:[Cost item]],Input_ForRateCalc[[Cost item]:[Cost item]],0),MATCH($D$244,Inputs!$H$8:$Q$8,0)))*WiY,"-")</f>
        <v>1.3468636363636362</v>
      </c>
      <c r="H412" s="56" cm="1">
        <f t="array" ref="H412">IFERROR(
(IFERROR(INDEX(Calc_CPI_2[[CPI uplift factor]:[CPI uplift factor]],MATCH($C412,Calc_CPI_2[[Cost item]:[Cost item]],0),1),0)+
INDEX(Input_ForRateCalc[[F-CurrentVDO_InputDate]:[F-NextVDO_Input]],MATCH(Calc_OtherCosts_2[[#This Row],[Cost item]:[Cost item]],Input_ForRateCalc[[Cost item]:[Cost item]],0),MATCH($D$244,Inputs!$H$8:$Q$8,0)))*WiY,"-")</f>
        <v>1.3468636363636362</v>
      </c>
      <c r="I412" s="56" cm="1">
        <f t="array" ref="I412">IFERROR(
(IFERROR(INDEX(Calc_CPI_2[[CPI uplift factor]:[CPI uplift factor]],MATCH($C412,Calc_CPI_2[[Cost item]:[Cost item]],0),1),0)+
INDEX(Input_ForRateCalc[[F-CurrentVDO_InputDate]:[F-NextVDO_Input]],MATCH(Calc_OtherCosts_2[[#This Row],[Cost item]:[Cost item]],Input_ForRateCalc[[Cost item]:[Cost item]],0),MATCH($D$244,Inputs!$H$8:$Q$8,0)))*WiY,"-")</f>
        <v>1.3468636363636362</v>
      </c>
      <c r="J412" s="56" cm="1">
        <f t="array" ref="J412">IFERROR(
(IFERROR(INDEX(Calc_CPI_2[[CPI uplift factor]:[CPI uplift factor]],MATCH($C412,Calc_CPI_2[[Cost item]:[Cost item]],0),1),0)+
INDEX(Input_ForRateCalc[[F-CurrentVDO_InputDate]:[F-NextVDO_Input]],MATCH(Calc_OtherCosts_2[[#This Row],[Cost item]:[Cost item]],Input_ForRateCalc[[Cost item]:[Cost item]],0),MATCH($D$244,Inputs!$H$8:$Q$8,0)))*WiY,"-")</f>
        <v>1.3468636363636362</v>
      </c>
      <c r="K412" s="56" cm="1">
        <f t="array" ref="K412">IFERROR(
(IFERROR(INDEX(Calc_CPI_2[[CPI uplift factor]:[CPI uplift factor]],MATCH($C412,Calc_CPI_2[[Cost item]:[Cost item]],0),1),0)+
INDEX(Input_ForRateCalc[[F-CurrentVDO_InputDate]:[F-NextVDO_Input]],MATCH(Calc_OtherCosts_2[[#This Row],[Cost item]:[Cost item]],Input_ForRateCalc[[Cost item]:[Cost item]],0),MATCH($D$244,Inputs!$H$8:$Q$8,0)))*WiY,"-")</f>
        <v>1.3468636363636362</v>
      </c>
    </row>
    <row r="413" spans="1:11" outlineLevel="2" x14ac:dyDescent="0.35">
      <c r="C413" s="21" t="s">
        <v>154</v>
      </c>
      <c r="D413" s="21" t="s">
        <v>124</v>
      </c>
      <c r="E413" s="21" t="s">
        <v>284</v>
      </c>
      <c r="F413" s="21" t="s">
        <v>103</v>
      </c>
      <c r="G413" s="56" cm="1">
        <f t="array" ref="G413">IFERROR(
(IFERROR(INDEX(Calc_CPI_2[[CPI uplift factor]:[CPI uplift factor]],MATCH($C413,Calc_CPI_2[[Cost item]:[Cost item]],0),1),0)+
INDEX(Input_ForRateCalc[[F-CurrentVDO_InputDate]:[F-NextVDO_Input]],MATCH(Calc_OtherCosts_2[[#This Row],[Cost item]:[Cost item]],Input_ForRateCalc[[Cost item]:[Cost item]],0),MATCH($D$244,Inputs!$H$8:$Q$8,0)))/1000,"-")</f>
        <v>3.7379020979020976E-4</v>
      </c>
      <c r="H413" s="56" cm="1">
        <f t="array" ref="H413">IFERROR(
(IFERROR(INDEX(Calc_CPI_2[[CPI uplift factor]:[CPI uplift factor]],MATCH($C413,Calc_CPI_2[[Cost item]:[Cost item]],0),1),0)+
INDEX(Input_ForRateCalc[[F-CurrentVDO_InputDate]:[F-NextVDO_Input]],MATCH(Calc_OtherCosts_2[[#This Row],[Cost item]:[Cost item]],Input_ForRateCalc[[Cost item]:[Cost item]],0),MATCH($D$244,Inputs!$H$8:$Q$8,0)))/1000,"-")</f>
        <v>3.7379020979020976E-4</v>
      </c>
      <c r="I413" s="56" cm="1">
        <f t="array" ref="I413">IFERROR(
(IFERROR(INDEX(Calc_CPI_2[[CPI uplift factor]:[CPI uplift factor]],MATCH($C413,Calc_CPI_2[[Cost item]:[Cost item]],0),1),0)+
INDEX(Input_ForRateCalc[[F-CurrentVDO_InputDate]:[F-NextVDO_Input]],MATCH(Calc_OtherCosts_2[[#This Row],[Cost item]:[Cost item]],Input_ForRateCalc[[Cost item]:[Cost item]],0),MATCH($D$244,Inputs!$H$8:$Q$8,0)))/1000,"-")</f>
        <v>3.7379020979020976E-4</v>
      </c>
      <c r="J413" s="56" cm="1">
        <f t="array" ref="J413">IFERROR(
(IFERROR(INDEX(Calc_CPI_2[[CPI uplift factor]:[CPI uplift factor]],MATCH($C413,Calc_CPI_2[[Cost item]:[Cost item]],0),1),0)+
INDEX(Input_ForRateCalc[[F-CurrentVDO_InputDate]:[F-NextVDO_Input]],MATCH(Calc_OtherCosts_2[[#This Row],[Cost item]:[Cost item]],Input_ForRateCalc[[Cost item]:[Cost item]],0),MATCH($D$244,Inputs!$H$8:$Q$8,0)))/1000,"-")</f>
        <v>3.7379020979020976E-4</v>
      </c>
      <c r="K413" s="56" cm="1">
        <f t="array" ref="K413">IFERROR(
(IFERROR(INDEX(Calc_CPI_2[[CPI uplift factor]:[CPI uplift factor]],MATCH($C413,Calc_CPI_2[[Cost item]:[Cost item]],0),1),0)+
INDEX(Input_ForRateCalc[[F-CurrentVDO_InputDate]:[F-NextVDO_Input]],MATCH(Calc_OtherCosts_2[[#This Row],[Cost item]:[Cost item]],Input_ForRateCalc[[Cost item]:[Cost item]],0),MATCH($D$244,Inputs!$H$8:$Q$8,0)))/1000,"-")</f>
        <v>3.7379020979020976E-4</v>
      </c>
    </row>
    <row r="414" spans="1:11" outlineLevel="2" x14ac:dyDescent="0.35">
      <c r="C414" s="21" t="s">
        <v>156</v>
      </c>
      <c r="D414" s="21" t="s">
        <v>124</v>
      </c>
      <c r="E414" s="21" t="s">
        <v>284</v>
      </c>
      <c r="F414" s="21" t="s">
        <v>103</v>
      </c>
      <c r="G414" s="56" cm="1">
        <f t="array" ref="G414">IFERROR(
(IFERROR(INDEX(Calc_CPI_2[[CPI uplift factor]:[CPI uplift factor]],MATCH($C414,Calc_CPI_2[[Cost item]:[Cost item]],0),1),0)+
INDEX(Input_ForRateCalc[[F-CurrentVDO_InputDate]:[F-NextVDO_Input]],MATCH(Calc_OtherCosts_2[[#This Row],[Cost item]:[Cost item]],Input_ForRateCalc[[Cost item]:[Cost item]],0),MATCH($D$244,Inputs!$H$8:$Q$8,0)))/1000,"-")</f>
        <v>0</v>
      </c>
      <c r="H414" s="56" cm="1">
        <f t="array" ref="H414">IFERROR(
(IFERROR(INDEX(Calc_CPI_2[[CPI uplift factor]:[CPI uplift factor]],MATCH($C414,Calc_CPI_2[[Cost item]:[Cost item]],0),1),0)+
INDEX(Input_ForRateCalc[[F-CurrentVDO_InputDate]:[F-NextVDO_Input]],MATCH(Calc_OtherCosts_2[[#This Row],[Cost item]:[Cost item]],Input_ForRateCalc[[Cost item]:[Cost item]],0),MATCH($D$244,Inputs!$H$8:$Q$8,0)))/1000,"-")</f>
        <v>0</v>
      </c>
      <c r="I414" s="56" cm="1">
        <f t="array" ref="I414">IFERROR(
(IFERROR(INDEX(Calc_CPI_2[[CPI uplift factor]:[CPI uplift factor]],MATCH($C414,Calc_CPI_2[[Cost item]:[Cost item]],0),1),0)+
INDEX(Input_ForRateCalc[[F-CurrentVDO_InputDate]:[F-NextVDO_Input]],MATCH(Calc_OtherCosts_2[[#This Row],[Cost item]:[Cost item]],Input_ForRateCalc[[Cost item]:[Cost item]],0),MATCH($D$244,Inputs!$H$8:$Q$8,0)))/1000,"-")</f>
        <v>0</v>
      </c>
      <c r="J414" s="56" cm="1">
        <f t="array" ref="J414">IFERROR(
(IFERROR(INDEX(Calc_CPI_2[[CPI uplift factor]:[CPI uplift factor]],MATCH($C414,Calc_CPI_2[[Cost item]:[Cost item]],0),1),0)+
INDEX(Input_ForRateCalc[[F-CurrentVDO_InputDate]:[F-NextVDO_Input]],MATCH(Calc_OtherCosts_2[[#This Row],[Cost item]:[Cost item]],Input_ForRateCalc[[Cost item]:[Cost item]],0),MATCH($D$244,Inputs!$H$8:$Q$8,0)))/1000,"-")</f>
        <v>0</v>
      </c>
      <c r="K414" s="56" cm="1">
        <f t="array" ref="K414">IFERROR(
(IFERROR(INDEX(Calc_CPI_2[[CPI uplift factor]:[CPI uplift factor]],MATCH($C414,Calc_CPI_2[[Cost item]:[Cost item]],0),1),0)+
INDEX(Input_ForRateCalc[[F-CurrentVDO_InputDate]:[F-NextVDO_Input]],MATCH(Calc_OtherCosts_2[[#This Row],[Cost item]:[Cost item]],Input_ForRateCalc[[Cost item]:[Cost item]],0),MATCH($D$244,Inputs!$H$8:$Q$8,0)))/1000,"-")</f>
        <v>0</v>
      </c>
    </row>
    <row r="415" spans="1:11" outlineLevel="2" x14ac:dyDescent="0.35">
      <c r="C415" s="40" t="s">
        <v>157</v>
      </c>
      <c r="D415" s="40" t="s">
        <v>124</v>
      </c>
      <c r="E415" s="21" t="s">
        <v>284</v>
      </c>
      <c r="F415" s="21" t="s">
        <v>103</v>
      </c>
      <c r="G415" s="56" cm="1">
        <f t="array" ref="G415">IFERROR(
(IFERROR(INDEX(Calc_CPI_2[[CPI uplift factor]:[CPI uplift factor]],MATCH($C415,Calc_CPI_2[[Cost item]:[Cost item]],0),1),0)+
INDEX(Input_ForRateCalc[[F-CurrentVDO_InputDate]:[F-NextVDO_Input]],MATCH(Calc_OtherCosts_2[[#This Row],[Cost item]:[Cost item]],Input_ForRateCalc[[Cost item]:[Cost item]],0),MATCH($D$244,Inputs!$H$8:$Q$8,0)))/1000,"-")</f>
        <v>3.602961684772472E-4</v>
      </c>
      <c r="H415" s="56" cm="1">
        <f t="array" ref="H415">IFERROR(
(IFERROR(INDEX(Calc_CPI_2[[CPI uplift factor]:[CPI uplift factor]],MATCH($C415,Calc_CPI_2[[Cost item]:[Cost item]],0),1),0)+
INDEX(Input_ForRateCalc[[F-CurrentVDO_InputDate]:[F-NextVDO_Input]],MATCH(Calc_OtherCosts_2[[#This Row],[Cost item]:[Cost item]],Input_ForRateCalc[[Cost item]:[Cost item]],0),MATCH($D$244,Inputs!$H$8:$Q$8,0)))/1000,"-")</f>
        <v>3.602961684772472E-4</v>
      </c>
      <c r="I415" s="56" cm="1">
        <f t="array" ref="I415">IFERROR(
(IFERROR(INDEX(Calc_CPI_2[[CPI uplift factor]:[CPI uplift factor]],MATCH($C415,Calc_CPI_2[[Cost item]:[Cost item]],0),1),0)+
INDEX(Input_ForRateCalc[[F-CurrentVDO_InputDate]:[F-NextVDO_Input]],MATCH(Calc_OtherCosts_2[[#This Row],[Cost item]:[Cost item]],Input_ForRateCalc[[Cost item]:[Cost item]],0),MATCH($D$244,Inputs!$H$8:$Q$8,0)))/1000,"-")</f>
        <v>3.602961684772472E-4</v>
      </c>
      <c r="J415" s="56" cm="1">
        <f t="array" ref="J415">IFERROR(
(IFERROR(INDEX(Calc_CPI_2[[CPI uplift factor]:[CPI uplift factor]],MATCH($C415,Calc_CPI_2[[Cost item]:[Cost item]],0),1),0)+
INDEX(Input_ForRateCalc[[F-CurrentVDO_InputDate]:[F-NextVDO_Input]],MATCH(Calc_OtherCosts_2[[#This Row],[Cost item]:[Cost item]],Input_ForRateCalc[[Cost item]:[Cost item]],0),MATCH($D$244,Inputs!$H$8:$Q$8,0)))/1000,"-")</f>
        <v>3.602961684772472E-4</v>
      </c>
      <c r="K415" s="56" cm="1">
        <f t="array" ref="K415">IFERROR(
(IFERROR(INDEX(Calc_CPI_2[[CPI uplift factor]:[CPI uplift factor]],MATCH($C415,Calc_CPI_2[[Cost item]:[Cost item]],0),1),0)+
INDEX(Input_ForRateCalc[[F-CurrentVDO_InputDate]:[F-NextVDO_Input]],MATCH(Calc_OtherCosts_2[[#This Row],[Cost item]:[Cost item]],Input_ForRateCalc[[Cost item]:[Cost item]],0),MATCH($D$244,Inputs!$H$8:$Q$8,0)))/1000,"-")</f>
        <v>3.602961684772472E-4</v>
      </c>
    </row>
    <row r="416" spans="1:11" outlineLevel="2" x14ac:dyDescent="0.35"/>
    <row r="417" spans="1:11" ht="16" outlineLevel="1" collapsed="1" thickBot="1" x14ac:dyDescent="0.4">
      <c r="A417" s="2" t="s">
        <v>22</v>
      </c>
      <c r="B417" s="8">
        <f ca="1">MAX(B$3:B416)+0.1</f>
        <v>10.199999999999996</v>
      </c>
      <c r="C417" s="25" t="s">
        <v>115</v>
      </c>
      <c r="D417" s="25"/>
      <c r="E417" s="25"/>
      <c r="F417" s="25"/>
      <c r="G417" s="25"/>
      <c r="H417" s="25"/>
      <c r="I417" s="25"/>
      <c r="J417" s="25"/>
      <c r="K417" s="25"/>
    </row>
    <row r="418" spans="1:11" outlineLevel="1" x14ac:dyDescent="0.35"/>
    <row r="419" spans="1:11" ht="15.5" outlineLevel="2" x14ac:dyDescent="0.35">
      <c r="C419" s="26" t="s">
        <v>304</v>
      </c>
    </row>
    <row r="420" spans="1:11" ht="15.5" outlineLevel="2" x14ac:dyDescent="0.35">
      <c r="C420" s="39" t="s">
        <v>42</v>
      </c>
      <c r="D420" s="39" t="s">
        <v>94</v>
      </c>
      <c r="E420" s="39" t="s">
        <v>95</v>
      </c>
      <c r="F420" s="39" t="s">
        <v>87</v>
      </c>
      <c r="G420" s="55" t="s">
        <v>270</v>
      </c>
      <c r="H420" s="55" t="s">
        <v>271</v>
      </c>
      <c r="I420" s="55" t="s">
        <v>272</v>
      </c>
      <c r="J420" s="55" t="s">
        <v>273</v>
      </c>
      <c r="K420" s="55" t="s">
        <v>274</v>
      </c>
    </row>
    <row r="421" spans="1:11" outlineLevel="2" x14ac:dyDescent="0.35">
      <c r="C421" s="21" t="s">
        <v>380</v>
      </c>
      <c r="D421" s="21" t="s">
        <v>101</v>
      </c>
      <c r="E421" s="21" t="s">
        <v>117</v>
      </c>
      <c r="F421" s="21" t="s">
        <v>88</v>
      </c>
      <c r="G421" s="56" cm="1">
        <f t="array" ref="G421">IFERROR(
IFERROR(INDEX(Calc_CPI_2[CPI uplift factor],MATCH($C421,Calc_CPI_2[Cost item],0),1),0)+
INDEX(Input_ForRateCalc[[F-CurrentVDO_InputDate]:[F-NextVDO_Input]],MATCH(Calc_NetworkF_2[[#This Row],[Cost item]]&amp;" - "&amp;IF(Calc_NetworkF_2[[#This Row],[Customer type]]="Residential","RES - ","SME - ")&amp;Calc_NetworkF_2[[#Headers],[Ausnet]],Input_ForRateCalc[Cost item],0),MATCH($D$244,Inputs!$H$8:$Q$8,0)),"-")</f>
        <v>111.11</v>
      </c>
      <c r="H421" s="56" cm="1">
        <f t="array" ref="H421">IFERROR(
IFERROR(INDEX(Calc_CPI_2[[CPI uplift factor]:[CPI uplift factor]],MATCH($C421,Calc_CPI_2[[Cost item]:[Cost item]],0),1),0)+
INDEX(Input_ForRateCalc[[F-CurrentVDO_InputDate]:[F-NextVDO_Input]],MATCH(Calc_NetworkF_2[[#This Row],[Cost item]:[Cost item]]&amp;" - "&amp;IF(Calc_NetworkF_2[[#This Row],[Customer type]:[Customer type]]="Residential","RES - ","SME - ")&amp;Calc_NetworkF_2[[#Headers],[Citipower]],Input_ForRateCalc[[Cost item]:[Cost item]],0),MATCH($D$244,Inputs!$H$8:$Q$8,0)),"-")</f>
        <v>90.009</v>
      </c>
      <c r="I421" s="56" cm="1">
        <f t="array" ref="I421">IFERROR(
IFERROR(INDEX(Calc_CPI_2[[CPI uplift factor]:[CPI uplift factor]],MATCH($C421,Calc_CPI_2[[Cost item]:[Cost item]],0),1),0)+
INDEX(Input_ForRateCalc[[F-CurrentVDO_InputDate]:[F-NextVDO_Input]],MATCH(Calc_NetworkF_2[[#This Row],[Cost item]:[Cost item]]&amp;" - "&amp;IF(Calc_NetworkF_2[[#This Row],[Customer type]:[Customer type]]="Residential","RES - ","SME - ")&amp;Calc_NetworkF_2[[#Headers],[Jemena]],Input_ForRateCalc[[Cost item]:[Cost item]],0),MATCH($D$244,Inputs!$H$8:$Q$8,0)),"-")</f>
        <v>82.195999999999998</v>
      </c>
      <c r="J421" s="56" cm="1">
        <f t="array" ref="J421">IFERROR(
IFERROR(INDEX(Calc_CPI_2[[CPI uplift factor]:[CPI uplift factor]],MATCH($C421,Calc_CPI_2[[Cost item]:[Cost item]],0),1),0)+
INDEX(Input_ForRateCalc[[F-CurrentVDO_InputDate]:[F-NextVDO_Input]],MATCH(Calc_NetworkF_2[[#This Row],[Cost item]:[Cost item]]&amp;" - "&amp;IF(Calc_NetworkF_2[[#This Row],[Customer type]:[Customer type]]="Residential","RES - ","SME - ")&amp;Calc_NetworkF_2[[#Headers],[Powercor]],Input_ForRateCalc[[Cost item]:[Cost item]],0),MATCH($D$244,Inputs!$H$8:$Q$8,0)),"-")</f>
        <v>139.97749999999999</v>
      </c>
      <c r="K421" s="56" cm="1">
        <f t="array" ref="K421">IFERROR(
IFERROR(INDEX(Calc_CPI_2[[CPI uplift factor]:[CPI uplift factor]],MATCH($C421,Calc_CPI_2[[Cost item]:[Cost item]],0),1),0)+
INDEX(Input_ForRateCalc[[F-CurrentVDO_InputDate]:[F-NextVDO_Input]],MATCH(Calc_NetworkF_2[[#This Row],[Cost item]:[Cost item]]&amp;" - "&amp;IF(Calc_NetworkF_2[[#This Row],[Customer type]:[Customer type]]="Residential","RES - ","SME - ")&amp;Calc_NetworkF_2[[#Headers],[United Energy]],Input_ForRateCalc[[Cost item]:[Cost item]],0),MATCH($D$244,Inputs!$H$8:$Q$8,0)),"-")</f>
        <v>80.007999999999996</v>
      </c>
    </row>
    <row r="422" spans="1:11" outlineLevel="2" x14ac:dyDescent="0.35">
      <c r="C422" s="21" t="s">
        <v>380</v>
      </c>
      <c r="D422" s="21" t="s">
        <v>101</v>
      </c>
      <c r="E422" s="21" t="s">
        <v>117</v>
      </c>
      <c r="F422" s="21" t="s">
        <v>89</v>
      </c>
      <c r="G422" s="56" cm="1">
        <f t="array" ref="G422">IFERROR(
IFERROR(INDEX(Calc_CPI_2[[CPI uplift factor]:[CPI uplift factor]],MATCH($C422,Calc_CPI_2[[Cost item]:[Cost item]],0),1),0)+
INDEX(Input_ForRateCalc[[F-CurrentVDO_InputDate]:[F-NextVDO_Input]],MATCH(Calc_NetworkF_2[[#This Row],[Cost item]:[Cost item]]&amp;" - "&amp;IF(Calc_NetworkF_2[[#This Row],[Customer type]:[Customer type]]="Residential","RES - ","SME - ")&amp;Calc_NetworkF_2[[#Headers],[Ausnet]],Input_ForRateCalc[[Cost item]:[Cost item]],0),MATCH($D$244,Inputs!$H$8:$Q$8,0)),"-")</f>
        <v>111.11</v>
      </c>
      <c r="H422" s="56" cm="1">
        <f t="array" ref="H422">IFERROR(
IFERROR(INDEX(Calc_CPI_2[[CPI uplift factor]:[CPI uplift factor]],MATCH($C422,Calc_CPI_2[[Cost item]:[Cost item]],0),1),0)+
INDEX(Input_ForRateCalc[[F-CurrentVDO_InputDate]:[F-NextVDO_Input]],MATCH(Calc_NetworkF_2[[#This Row],[Cost item]:[Cost item]]&amp;" - "&amp;IF(Calc_NetworkF_2[[#This Row],[Customer type]:[Customer type]]="Residential","RES - ","SME - ")&amp;Calc_NetworkF_2[[#Headers],[Citipower]],Input_ForRateCalc[[Cost item]:[Cost item]],0),MATCH($D$244,Inputs!$H$8:$Q$8,0)),"-")</f>
        <v>160.01599999999999</v>
      </c>
      <c r="I422" s="56" cm="1">
        <f t="array" ref="I422">IFERROR(
IFERROR(INDEX(Calc_CPI_2[[CPI uplift factor]:[CPI uplift factor]],MATCH($C422,Calc_CPI_2[[Cost item]:[Cost item]],0),1),0)+
INDEX(Input_ForRateCalc[[F-CurrentVDO_InputDate]:[F-NextVDO_Input]],MATCH(Calc_NetworkF_2[[#This Row],[Cost item]:[Cost item]]&amp;" - "&amp;IF(Calc_NetworkF_2[[#This Row],[Customer type]:[Customer type]]="Residential","RES - ","SME - ")&amp;Calc_NetworkF_2[[#Headers],[Jemena]],Input_ForRateCalc[[Cost item]:[Cost item]],0),MATCH($D$244,Inputs!$H$8:$Q$8,0)),"-")</f>
        <v>134.46600000000001</v>
      </c>
      <c r="J422" s="56" cm="1">
        <f t="array" ref="J422">IFERROR(
IFERROR(INDEX(Calc_CPI_2[[CPI uplift factor]:[CPI uplift factor]],MATCH($C422,Calc_CPI_2[[Cost item]:[Cost item]],0),1),0)+
INDEX(Input_ForRateCalc[[F-CurrentVDO_InputDate]:[F-NextVDO_Input]],MATCH(Calc_NetworkF_2[[#This Row],[Cost item]:[Cost item]]&amp;" - "&amp;IF(Calc_NetworkF_2[[#This Row],[Customer type]:[Customer type]]="Residential","RES - ","SME - ")&amp;Calc_NetworkF_2[[#Headers],[Powercor]],Input_ForRateCalc[[Cost item]:[Cost item]],0),MATCH($D$244,Inputs!$H$8:$Q$8,0)),"-")</f>
        <v>179.98150000000001</v>
      </c>
      <c r="K422" s="56" cm="1">
        <f t="array" ref="K422">IFERROR(
IFERROR(INDEX(Calc_CPI_2[[CPI uplift factor]:[CPI uplift factor]],MATCH($C422,Calc_CPI_2[[Cost item]:[Cost item]],0),1),0)+
INDEX(Input_ForRateCalc[[F-CurrentVDO_InputDate]:[F-NextVDO_Input]],MATCH(Calc_NetworkF_2[[#This Row],[Cost item]:[Cost item]]&amp;" - "&amp;IF(Calc_NetworkF_2[[#This Row],[Customer type]:[Customer type]]="Residential","RES - ","SME - ")&amp;Calc_NetworkF_2[[#Headers],[United Energy]],Input_ForRateCalc[[Cost item]:[Cost item]],0),MATCH($D$244,Inputs!$H$8:$Q$8,0)),"-")</f>
        <v>120.01199999999999</v>
      </c>
    </row>
    <row r="423" spans="1:11" outlineLevel="2" x14ac:dyDescent="0.35">
      <c r="C423" s="21" t="s">
        <v>381</v>
      </c>
      <c r="D423" s="21" t="s">
        <v>101</v>
      </c>
      <c r="E423" s="21" t="s">
        <v>117</v>
      </c>
      <c r="F423" s="21" t="s">
        <v>88</v>
      </c>
      <c r="G423" s="56" cm="1">
        <f t="array" ref="G423">IFERROR(
IFERROR(INDEX(Calc_CPI_2[[CPI uplift factor]:[CPI uplift factor]],MATCH($C423,Calc_CPI_2[[Cost item]:[Cost item]],0),1),0)+
INDEX(Input_ForRateCalc[[F-CurrentVDO_InputDate]:[F-NextVDO_Input]],MATCH(Calc_NetworkF_2[[#This Row],[Cost item]:[Cost item]]&amp;" - "&amp;IF(Calc_NetworkF_2[[#This Row],[Customer type]:[Customer type]]="Residential","RES - ","SME - ")&amp;Calc_NetworkF_2[[#Headers],[Ausnet]],Input_ForRateCalc[[Cost item]:[Cost item]],0),MATCH($D$244,Inputs!$H$8:$Q$8,0)),"-")</f>
        <v>111.11</v>
      </c>
      <c r="H423" s="56" cm="1">
        <f t="array" ref="H423">IFERROR(
IFERROR(INDEX(Calc_CPI_2[[CPI uplift factor]:[CPI uplift factor]],MATCH($C423,Calc_CPI_2[[Cost item]:[Cost item]],0),1),0)+
INDEX(Input_ForRateCalc[[F-CurrentVDO_InputDate]:[F-NextVDO_Input]],MATCH(Calc_NetworkF_2[[#This Row],[Cost item]:[Cost item]]&amp;" - "&amp;IF(Calc_NetworkF_2[[#This Row],[Customer type]:[Customer type]]="Residential","RES - ","SME - ")&amp;Calc_NetworkF_2[[#Headers],[Citipower]],Input_ForRateCalc[[Cost item]:[Cost item]],0),MATCH($D$244,Inputs!$H$8:$Q$8,0)),"-")</f>
        <v>90.009</v>
      </c>
      <c r="I423" s="56" cm="1">
        <f t="array" ref="I423">IFERROR(
IFERROR(INDEX(Calc_CPI_2[[CPI uplift factor]:[CPI uplift factor]],MATCH($C423,Calc_CPI_2[[Cost item]:[Cost item]],0),1),0)+
INDEX(Input_ForRateCalc[[F-CurrentVDO_InputDate]:[F-NextVDO_Input]],MATCH(Calc_NetworkF_2[[#This Row],[Cost item]:[Cost item]]&amp;" - "&amp;IF(Calc_NetworkF_2[[#This Row],[Customer type]:[Customer type]]="Residential","RES - ","SME - ")&amp;Calc_NetworkF_2[[#Headers],[Jemena]],Input_ForRateCalc[[Cost item]:[Cost item]],0),MATCH($D$244,Inputs!$H$8:$Q$8,0)),"-")</f>
        <v>82.195999999999998</v>
      </c>
      <c r="J423" s="56" cm="1">
        <f t="array" ref="J423">IFERROR(
IFERROR(INDEX(Calc_CPI_2[[CPI uplift factor]:[CPI uplift factor]],MATCH($C423,Calc_CPI_2[[Cost item]:[Cost item]],0),1),0)+
INDEX(Input_ForRateCalc[[F-CurrentVDO_InputDate]:[F-NextVDO_Input]],MATCH(Calc_NetworkF_2[[#This Row],[Cost item]:[Cost item]]&amp;" - "&amp;IF(Calc_NetworkF_2[[#This Row],[Customer type]:[Customer type]]="Residential","RES - ","SME - ")&amp;Calc_NetworkF_2[[#Headers],[Powercor]],Input_ForRateCalc[[Cost item]:[Cost item]],0),MATCH($D$244,Inputs!$H$8:$Q$8,0)),"-")</f>
        <v>139.97749999999999</v>
      </c>
      <c r="K423" s="56" cm="1">
        <f t="array" ref="K423">IFERROR(
IFERROR(INDEX(Calc_CPI_2[[CPI uplift factor]:[CPI uplift factor]],MATCH($C423,Calc_CPI_2[[Cost item]:[Cost item]],0),1),0)+
INDEX(Input_ForRateCalc[[F-CurrentVDO_InputDate]:[F-NextVDO_Input]],MATCH(Calc_NetworkF_2[[#This Row],[Cost item]:[Cost item]]&amp;" - "&amp;IF(Calc_NetworkF_2[[#This Row],[Customer type]:[Customer type]]="Residential","RES - ","SME - ")&amp;Calc_NetworkF_2[[#Headers],[United Energy]],Input_ForRateCalc[[Cost item]:[Cost item]],0),MATCH($D$244,Inputs!$H$8:$Q$8,0)),"-")</f>
        <v>80.007999999999996</v>
      </c>
    </row>
    <row r="424" spans="1:11" outlineLevel="2" x14ac:dyDescent="0.35">
      <c r="C424" s="21" t="s">
        <v>381</v>
      </c>
      <c r="D424" s="21" t="s">
        <v>101</v>
      </c>
      <c r="E424" s="21" t="s">
        <v>117</v>
      </c>
      <c r="F424" s="21" t="s">
        <v>89</v>
      </c>
      <c r="G424" s="56" cm="1">
        <f t="array" ref="G424">IFERROR(
IFERROR(INDEX(Calc_CPI_2[[CPI uplift factor]:[CPI uplift factor]],MATCH($C424,Calc_CPI_2[[Cost item]:[Cost item]],0),1),0)+
INDEX(Input_ForRateCalc[[F-CurrentVDO_InputDate]:[F-NextVDO_Input]],MATCH(Calc_NetworkF_2[[#This Row],[Cost item]:[Cost item]]&amp;" - "&amp;IF(Calc_NetworkF_2[[#This Row],[Customer type]:[Customer type]]="Residential","RES - ","SME - ")&amp;Calc_NetworkF_2[[#Headers],[Ausnet]],Input_ForRateCalc[[Cost item]:[Cost item]],0),MATCH($D$244,Inputs!$H$8:$Q$8,0)),"-")</f>
        <v>111.11</v>
      </c>
      <c r="H424" s="56" cm="1">
        <f t="array" ref="H424">IFERROR(
IFERROR(INDEX(Calc_CPI_2[[CPI uplift factor]:[CPI uplift factor]],MATCH($C424,Calc_CPI_2[[Cost item]:[Cost item]],0),1),0)+
INDEX(Input_ForRateCalc[[F-CurrentVDO_InputDate]:[F-NextVDO_Input]],MATCH(Calc_NetworkF_2[[#This Row],[Cost item]:[Cost item]]&amp;" - "&amp;IF(Calc_NetworkF_2[[#This Row],[Customer type]:[Customer type]]="Residential","RES - ","SME - ")&amp;Calc_NetworkF_2[[#Headers],[Citipower]],Input_ForRateCalc[[Cost item]:[Cost item]],0),MATCH($D$244,Inputs!$H$8:$Q$8,0)),"-")</f>
        <v>160.01599999999999</v>
      </c>
      <c r="I424" s="56" cm="1">
        <f t="array" ref="I424">IFERROR(
IFERROR(INDEX(Calc_CPI_2[[CPI uplift factor]:[CPI uplift factor]],MATCH($C424,Calc_CPI_2[[Cost item]:[Cost item]],0),1),0)+
INDEX(Input_ForRateCalc[[F-CurrentVDO_InputDate]:[F-NextVDO_Input]],MATCH(Calc_NetworkF_2[[#This Row],[Cost item]:[Cost item]]&amp;" - "&amp;IF(Calc_NetworkF_2[[#This Row],[Customer type]:[Customer type]]="Residential","RES - ","SME - ")&amp;Calc_NetworkF_2[[#Headers],[Jemena]],Input_ForRateCalc[[Cost item]:[Cost item]],0),MATCH($D$244,Inputs!$H$8:$Q$8,0)),"-")</f>
        <v>242.124</v>
      </c>
      <c r="J424" s="56" cm="1">
        <f t="array" ref="J424">IFERROR(
IFERROR(INDEX(Calc_CPI_2[[CPI uplift factor]:[CPI uplift factor]],MATCH($C424,Calc_CPI_2[[Cost item]:[Cost item]],0),1),0)+
INDEX(Input_ForRateCalc[[F-CurrentVDO_InputDate]:[F-NextVDO_Input]],MATCH(Calc_NetworkF_2[[#This Row],[Cost item]:[Cost item]]&amp;" - "&amp;IF(Calc_NetworkF_2[[#This Row],[Customer type]:[Customer type]]="Residential","RES - ","SME - ")&amp;Calc_NetworkF_2[[#Headers],[Powercor]],Input_ForRateCalc[[Cost item]:[Cost item]],0),MATCH($D$244,Inputs!$H$8:$Q$8,0)),"-")</f>
        <v>179.98150000000001</v>
      </c>
      <c r="K424" s="56" cm="1">
        <f t="array" ref="K424">IFERROR(
IFERROR(INDEX(Calc_CPI_2[[CPI uplift factor]:[CPI uplift factor]],MATCH($C424,Calc_CPI_2[[Cost item]:[Cost item]],0),1),0)+
INDEX(Input_ForRateCalc[[F-CurrentVDO_InputDate]:[F-NextVDO_Input]],MATCH(Calc_NetworkF_2[[#This Row],[Cost item]:[Cost item]]&amp;" - "&amp;IF(Calc_NetworkF_2[[#This Row],[Customer type]:[Customer type]]="Residential","RES - ","SME - ")&amp;Calc_NetworkF_2[[#Headers],[United Energy]],Input_ForRateCalc[[Cost item]:[Cost item]],0),MATCH($D$244,Inputs!$H$8:$Q$8,0)),"-")</f>
        <v>120.01199999999999</v>
      </c>
    </row>
    <row r="425" spans="1:11" outlineLevel="2" x14ac:dyDescent="0.35">
      <c r="C425" s="40" t="s">
        <v>277</v>
      </c>
      <c r="D425" s="40" t="s">
        <v>101</v>
      </c>
      <c r="E425" s="21" t="s">
        <v>117</v>
      </c>
      <c r="F425" s="21" t="s">
        <v>103</v>
      </c>
      <c r="G425" s="56" cm="1">
        <f t="array" ref="G425">IFERROR(
IFERROR(INDEX(Calc_CPI_2[[CPI uplift factor]:[CPI uplift factor]],MATCH($C425,Calc_CPI_2[[Cost item]:[Cost item]],0),1),0)+
INDEX(Input_ForRateCalc[[F-CurrentVDO_InputDate]:[F-NextVDO_Input]],MATCH(Calc_NetworkF_2[[#This Row],[Cost item]:[Cost item]]&amp;" - "&amp;Calc_NetworkF_2[[#Headers],[Ausnet]],Input_ForRateCalc[[Cost item]:[Cost item]],0),MATCH($D$244,Inputs!$H$8:$Q$8,0)),"-")</f>
        <v>63.7</v>
      </c>
      <c r="H425" s="56" cm="1">
        <f t="array" ref="H425">IFERROR(
IFERROR(INDEX(Calc_CPI_2[[CPI uplift factor]:[CPI uplift factor]],MATCH($C425,Calc_CPI_2[[Cost item]:[Cost item]],0),1),0)+
INDEX(Input_ForRateCalc[[F-CurrentVDO_InputDate]:[F-NextVDO_Input]],MATCH(Calc_NetworkF_2[[#This Row],[Cost item]:[Cost item]]&amp;" - "&amp;Calc_NetworkF_2[[#Headers],[Citipower]],Input_ForRateCalc[[Cost item]:[Cost item]],0),MATCH($D$244,Inputs!$H$8:$Q$8,0)),"-")</f>
        <v>59.4</v>
      </c>
      <c r="I425" s="56" cm="1">
        <f t="array" ref="I425">IFERROR(
IFERROR(INDEX(Calc_CPI_2[[CPI uplift factor]:[CPI uplift factor]],MATCH($C425,Calc_CPI_2[[Cost item]:[Cost item]],0),1),0)+
INDEX(Input_ForRateCalc[[F-CurrentVDO_InputDate]:[F-NextVDO_Input]],MATCH(Calc_NetworkF_2[[#This Row],[Cost item]:[Cost item]]&amp;" - "&amp;Calc_NetworkF_2[[#Headers],[Jemena]],Input_ForRateCalc[[Cost item]:[Cost item]],0),MATCH($D$244,Inputs!$H$8:$Q$8,0)),"-")</f>
        <v>54.19</v>
      </c>
      <c r="J425" s="56" cm="1">
        <f t="array" ref="J425">IFERROR(
IFERROR(INDEX(Calc_CPI_2[[CPI uplift factor]:[CPI uplift factor]],MATCH($C425,Calc_CPI_2[[Cost item]:[Cost item]],0),1),0)+
INDEX(Input_ForRateCalc[[F-CurrentVDO_InputDate]:[F-NextVDO_Input]],MATCH(Calc_NetworkF_2[[#This Row],[Cost item]:[Cost item]]&amp;" - "&amp;Calc_NetworkF_2[[#Headers],[Powercor]],Input_ForRateCalc[[Cost item]:[Cost item]],0),MATCH($D$244,Inputs!$H$8:$Q$8,0)),"-")</f>
        <v>58</v>
      </c>
      <c r="K425" s="56" cm="1">
        <f t="array" ref="K425">IFERROR(
IFERROR(INDEX(Calc_CPI_2[[CPI uplift factor]:[CPI uplift factor]],MATCH($C425,Calc_CPI_2[[Cost item]:[Cost item]],0),1),0)+
INDEX(Input_ForRateCalc[[F-CurrentVDO_InputDate]:[F-NextVDO_Input]],MATCH(Calc_NetworkF_2[[#This Row],[Cost item]:[Cost item]]&amp;" - "&amp;Calc_NetworkF_2[[#Headers],[United Energy]],Input_ForRateCalc[[Cost item]:[Cost item]],0),MATCH($D$244,Inputs!$H$8:$Q$8,0)),"-")</f>
        <v>42.92</v>
      </c>
    </row>
    <row r="426" spans="1:11" outlineLevel="2" x14ac:dyDescent="0.35"/>
    <row r="427" spans="1:11" ht="15.5" outlineLevel="2" x14ac:dyDescent="0.35">
      <c r="C427" s="26" t="s">
        <v>305</v>
      </c>
    </row>
    <row r="428" spans="1:11" ht="15.5" outlineLevel="2" x14ac:dyDescent="0.35">
      <c r="C428" s="39" t="s">
        <v>42</v>
      </c>
      <c r="D428" s="39" t="s">
        <v>94</v>
      </c>
      <c r="E428" s="39" t="s">
        <v>95</v>
      </c>
      <c r="F428" s="39" t="s">
        <v>87</v>
      </c>
      <c r="G428" s="55" t="s">
        <v>270</v>
      </c>
      <c r="H428" s="55" t="s">
        <v>271</v>
      </c>
      <c r="I428" s="55" t="s">
        <v>272</v>
      </c>
      <c r="J428" s="55" t="s">
        <v>273</v>
      </c>
      <c r="K428" s="55" t="s">
        <v>274</v>
      </c>
    </row>
    <row r="429" spans="1:11" outlineLevel="2" x14ac:dyDescent="0.35">
      <c r="C429" s="21" t="s">
        <v>288</v>
      </c>
      <c r="D429" s="21" t="s">
        <v>124</v>
      </c>
      <c r="E429" s="21" t="s">
        <v>284</v>
      </c>
      <c r="F429" s="21" t="s">
        <v>88</v>
      </c>
      <c r="G429" s="56" cm="1">
        <f t="array" ref="G429">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0.11450300000000001</v>
      </c>
      <c r="H429" s="56" t="str" cm="1">
        <f t="array" ref="H429">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v>
      </c>
      <c r="I429" s="56" t="str" cm="1">
        <f t="array" ref="I429">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v>
      </c>
      <c r="J429" s="56" t="str" cm="1">
        <f t="array" ref="J429">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v>
      </c>
      <c r="K429" s="56" t="str" cm="1">
        <f t="array" ref="K429">IFERROR(
(IFERROR(INDEX(Calc_CPI_2[[CPI uplift factor]:[CPI uplift factor]],MATCH($C429,Calc_CPI_2[[Cost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v>
      </c>
    </row>
    <row r="430" spans="1:11" outlineLevel="2" x14ac:dyDescent="0.35">
      <c r="C430" s="21" t="s">
        <v>290</v>
      </c>
      <c r="D430" s="21" t="s">
        <v>124</v>
      </c>
      <c r="E430" s="21" t="s">
        <v>284</v>
      </c>
      <c r="F430" s="21" t="s">
        <v>88</v>
      </c>
      <c r="G430" s="56" cm="1">
        <f t="array" ref="G430">IFERROR(
(IFERROR(INDEX(Calc_CPI_2[[CPI uplift factor]:[CPI uplift factor]],MATCH($C430,Calc_CPI_2[[Cost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0.128382</v>
      </c>
      <c r="H430" s="56" t="str" cm="1">
        <f t="array" ref="H430">IFERROR(
(IFERROR(INDEX(Calc_CPI_2[[CPI uplift factor]:[CPI uplift factor]],MATCH($C430,Calc_CPI_2[[Cost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v>
      </c>
      <c r="I430" s="56" t="str" cm="1">
        <f t="array" ref="I430">IFERROR(
(IFERROR(INDEX(Calc_CPI_2[[CPI uplift factor]:[CPI uplift factor]],MATCH($C430,Calc_CPI_2[[Cost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v>
      </c>
      <c r="J430" s="56" t="str" cm="1">
        <f t="array" ref="J430">IFERROR(
(IFERROR(INDEX(Calc_CPI_2[[CPI uplift factor]:[CPI uplift factor]],MATCH($C430,Calc_CPI_2[[Cost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v>
      </c>
      <c r="K430" s="56" t="str" cm="1">
        <f t="array" ref="K430">IFERROR(
(IFERROR(INDEX(Calc_CPI_2[[CPI uplift factor]:[CPI uplift factor]],MATCH($C430,Calc_CPI_2[[Cost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v>
      </c>
    </row>
    <row r="431" spans="1:11" outlineLevel="2" x14ac:dyDescent="0.35">
      <c r="C431" s="21" t="s">
        <v>291</v>
      </c>
      <c r="D431" s="21" t="s">
        <v>124</v>
      </c>
      <c r="E431" s="21" t="s">
        <v>284</v>
      </c>
      <c r="F431" s="21" t="s">
        <v>88</v>
      </c>
      <c r="G431" s="56" t="str" cm="1">
        <f t="array" ref="G431">IFERROR(
(IFERROR(INDEX(Calc_CPI_2[[CPI uplift factor]:[CPI uplift factor]],MATCH($C431,Calc_CPI_2[[Cost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v>
      </c>
      <c r="H431" s="56" cm="1">
        <f t="array" ref="H431">IFERROR(
(IFERROR(INDEX(Calc_CPI_2[[CPI uplift factor]:[CPI uplift factor]],MATCH($C431,Calc_CPI_2[[Cost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8.0500000000000002E-2</v>
      </c>
      <c r="I431" s="56" cm="1">
        <f t="array" ref="I431">IFERROR(
(IFERROR(INDEX(Calc_CPI_2[[CPI uplift factor]:[CPI uplift factor]],MATCH($C431,Calc_CPI_2[[Cost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8.6699999999999999E-2</v>
      </c>
      <c r="J431" s="56" cm="1">
        <f t="array" ref="J431">IFERROR(
(IFERROR(INDEX(Calc_CPI_2[[CPI uplift factor]:[CPI uplift factor]],MATCH($C431,Calc_CPI_2[[Cost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8.1500000000000003E-2</v>
      </c>
      <c r="K431" s="56" cm="1">
        <f t="array" ref="K431">IFERROR(
(IFERROR(INDEX(Calc_CPI_2[[CPI uplift factor]:[CPI uplift factor]],MATCH($C431,Calc_CPI_2[[Cost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7.9899999999999999E-2</v>
      </c>
    </row>
    <row r="432" spans="1:11" outlineLevel="2" x14ac:dyDescent="0.35">
      <c r="C432" s="21" t="s">
        <v>292</v>
      </c>
      <c r="D432" s="21" t="s">
        <v>124</v>
      </c>
      <c r="E432" s="21" t="s">
        <v>284</v>
      </c>
      <c r="F432" s="21" t="s">
        <v>88</v>
      </c>
      <c r="G432" s="56" cm="1">
        <f t="array" ref="G432">IFERROR(
(IFERROR(INDEX(Calc_CPI_2[[CPI uplift factor]:[CPI uplift factor]],MATCH($C432,Calc_CPI_2[[Cost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0.20853200000000002</v>
      </c>
      <c r="H432" s="56" cm="1">
        <f t="array" ref="H432">IFERROR(
(IFERROR(INDEX(Calc_CPI_2[[CPI uplift factor]:[CPI uplift factor]],MATCH($C432,Calc_CPI_2[[Cost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0.15939999999999999</v>
      </c>
      <c r="I432" s="56" cm="1">
        <f t="array" ref="I432">IFERROR(
(IFERROR(INDEX(Calc_CPI_2[[CPI uplift factor]:[CPI uplift factor]],MATCH($C432,Calc_CPI_2[[Cost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0.13492000000000001</v>
      </c>
      <c r="J432" s="56" cm="1">
        <f t="array" ref="J432">IFERROR(
(IFERROR(INDEX(Calc_CPI_2[[CPI uplift factor]:[CPI uplift factor]],MATCH($C432,Calc_CPI_2[[Cost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0.15869999999999998</v>
      </c>
      <c r="K432" s="56" cm="1">
        <f t="array" ref="K432">IFERROR(
(IFERROR(INDEX(Calc_CPI_2[[CPI uplift factor]:[CPI uplift factor]],MATCH($C432,Calc_CPI_2[[Cost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0.15789999999999998</v>
      </c>
    </row>
    <row r="433" spans="1:11" outlineLevel="2" x14ac:dyDescent="0.35">
      <c r="C433" s="21" t="s">
        <v>293</v>
      </c>
      <c r="D433" s="21" t="s">
        <v>124</v>
      </c>
      <c r="E433" s="21" t="s">
        <v>284</v>
      </c>
      <c r="F433" s="21" t="s">
        <v>88</v>
      </c>
      <c r="G433" s="56" cm="1">
        <f t="array" ref="G433">IFERROR(
(IFERROR(INDEX(Calc_CPI_2[[CPI uplift factor]:[CPI uplift factor]],MATCH($C433,Calc_CPI_2[[Cost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4.3418999999999999E-2</v>
      </c>
      <c r="H433" s="56" cm="1">
        <f t="array" ref="H433">IFERROR(
(IFERROR(INDEX(Calc_CPI_2[[CPI uplift factor]:[CPI uplift factor]],MATCH($C433,Calc_CPI_2[[Cost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3.9800000000000002E-2</v>
      </c>
      <c r="I433" s="56" cm="1">
        <f t="array" ref="I433">IFERROR(
(IFERROR(INDEX(Calc_CPI_2[[CPI uplift factor]:[CPI uplift factor]],MATCH($C433,Calc_CPI_2[[Cost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3.8900000000000004E-2</v>
      </c>
      <c r="J433" s="56" cm="1">
        <f t="array" ref="J433">IFERROR(
(IFERROR(INDEX(Calc_CPI_2[[CPI uplift factor]:[CPI uplift factor]],MATCH($C433,Calc_CPI_2[[Cost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3.9599999999999996E-2</v>
      </c>
      <c r="K433" s="56" cm="1">
        <f t="array" ref="K433">IFERROR(
(IFERROR(INDEX(Calc_CPI_2[[CPI uplift factor]:[CPI uplift factor]],MATCH($C433,Calc_CPI_2[[Cost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3.95E-2</v>
      </c>
    </row>
    <row r="434" spans="1:11" outlineLevel="2" x14ac:dyDescent="0.35">
      <c r="C434" s="21" t="s">
        <v>294</v>
      </c>
      <c r="D434" s="21" t="s">
        <v>124</v>
      </c>
      <c r="E434" s="21" t="s">
        <v>284</v>
      </c>
      <c r="F434" s="21" t="s">
        <v>88</v>
      </c>
      <c r="G434" s="56" cm="1">
        <f t="array" ref="G434">IFERROR(
(IFERROR(INDEX(Calc_CPI_2[[CPI uplift factor]:[CPI uplift factor]],MATCH($C434,Calc_CPI_2[[Cost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4.2622999999999994E-2</v>
      </c>
      <c r="H434" s="56" cm="1">
        <f t="array" ref="H434">IFERROR(
(IFERROR(INDEX(Calc_CPI_2[[CPI uplift factor]:[CPI uplift factor]],MATCH($C434,Calc_CPI_2[[Cost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2.4700000000000003E-2</v>
      </c>
      <c r="I434" s="56" cm="1">
        <f t="array" ref="I434">IFERROR(
(IFERROR(INDEX(Calc_CPI_2[[CPI uplift factor]:[CPI uplift factor]],MATCH($C434,Calc_CPI_2[[Cost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3.5990000000000001E-2</v>
      </c>
      <c r="J434" s="56" cm="1">
        <f t="array" ref="J434">IFERROR(
(IFERROR(INDEX(Calc_CPI_2[[CPI uplift factor]:[CPI uplift factor]],MATCH($C434,Calc_CPI_2[[Cost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2.3900000000000001E-2</v>
      </c>
      <c r="K434" s="56" cm="1">
        <f t="array" ref="K434">IFERROR(
(IFERROR(INDEX(Calc_CPI_2[[CPI uplift factor]:[CPI uplift factor]],MATCH($C434,Calc_CPI_2[[Cost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2.1700000000000001E-2</v>
      </c>
    </row>
    <row r="435" spans="1:11" outlineLevel="2" x14ac:dyDescent="0.35">
      <c r="C435" s="21" t="s">
        <v>288</v>
      </c>
      <c r="D435" s="21" t="s">
        <v>124</v>
      </c>
      <c r="E435" s="21" t="s">
        <v>284</v>
      </c>
      <c r="F435" s="21" t="s">
        <v>89</v>
      </c>
      <c r="G435" s="56" cm="1">
        <f t="array" ref="G435">IFERROR(
(IFERROR(INDEX(Calc_CPI_2[[CPI uplift factor]:[CPI uplift factor]],MATCH($C435,Calc_CPI_2[[Cost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0.155386</v>
      </c>
      <c r="H435" s="56" t="str" cm="1">
        <f t="array" ref="H435">IFERROR(
(IFERROR(INDEX(Calc_CPI_2[[CPI uplift factor]:[CPI uplift factor]],MATCH($C435,Calc_CPI_2[[Cost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v>
      </c>
      <c r="I435" s="56" t="str" cm="1">
        <f t="array" ref="I435">IFERROR(
(IFERROR(INDEX(Calc_CPI_2[[CPI uplift factor]:[CPI uplift factor]],MATCH($C435,Calc_CPI_2[[Cost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v>
      </c>
      <c r="J435" s="56" t="str" cm="1">
        <f t="array" ref="J435">IFERROR(
(IFERROR(INDEX(Calc_CPI_2[[CPI uplift factor]:[CPI uplift factor]],MATCH($C435,Calc_CPI_2[[Cost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v>
      </c>
      <c r="K435" s="56" t="str" cm="1">
        <f t="array" ref="K435">IFERROR(
(IFERROR(INDEX(Calc_CPI_2[[CPI uplift factor]:[CPI uplift factor]],MATCH($C435,Calc_CPI_2[[Cost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v>
      </c>
    </row>
    <row r="436" spans="1:11" outlineLevel="2" x14ac:dyDescent="0.35">
      <c r="C436" s="21" t="s">
        <v>290</v>
      </c>
      <c r="D436" s="21" t="s">
        <v>124</v>
      </c>
      <c r="E436" s="21" t="s">
        <v>284</v>
      </c>
      <c r="F436" s="21" t="s">
        <v>89</v>
      </c>
      <c r="G436" s="56" cm="1">
        <f t="array" ref="G436">IFERROR(
(IFERROR(INDEX(Calc_CPI_2[[CPI uplift factor]:[CPI uplift factor]],MATCH($C436,Calc_CPI_2[[Cost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0.182667</v>
      </c>
      <c r="H436" s="56" t="str" cm="1">
        <f t="array" ref="H436">IFERROR(
(IFERROR(INDEX(Calc_CPI_2[[CPI uplift factor]:[CPI uplift factor]],MATCH($C436,Calc_CPI_2[[Cost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v>
      </c>
      <c r="I436" s="56" t="str" cm="1">
        <f t="array" ref="I436">IFERROR(
(IFERROR(INDEX(Calc_CPI_2[[CPI uplift factor]:[CPI uplift factor]],MATCH($C436,Calc_CPI_2[[Cost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v>
      </c>
      <c r="J436" s="56" t="str" cm="1">
        <f t="array" ref="J436">IFERROR(
(IFERROR(INDEX(Calc_CPI_2[[CPI uplift factor]:[CPI uplift factor]],MATCH($C436,Calc_CPI_2[[Cost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v>
      </c>
      <c r="K436" s="56" t="str" cm="1">
        <f t="array" ref="K436">IFERROR(
(IFERROR(INDEX(Calc_CPI_2[[CPI uplift factor]:[CPI uplift factor]],MATCH($C436,Calc_CPI_2[[Cost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v>
      </c>
    </row>
    <row r="437" spans="1:11" outlineLevel="2" x14ac:dyDescent="0.35">
      <c r="C437" s="21" t="s">
        <v>291</v>
      </c>
      <c r="D437" s="21" t="s">
        <v>124</v>
      </c>
      <c r="E437" s="21" t="s">
        <v>284</v>
      </c>
      <c r="F437" s="21" t="s">
        <v>89</v>
      </c>
      <c r="G437" s="56" t="str" cm="1">
        <f t="array" ref="G437">IFERROR(
(IFERROR(INDEX(Calc_CPI_2[[CPI uplift factor]:[CPI uplift factor]],MATCH($C437,Calc_CPI_2[[Cost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v>
      </c>
      <c r="H437" s="56" cm="1">
        <f t="array" ref="H437">IFERROR(
(IFERROR(INDEX(Calc_CPI_2[[CPI uplift factor]:[CPI uplift factor]],MATCH($C437,Calc_CPI_2[[Cost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8.2100000000000006E-2</v>
      </c>
      <c r="I437" s="56" cm="1">
        <f t="array" ref="I437">IFERROR(
(IFERROR(INDEX(Calc_CPI_2[[CPI uplift factor]:[CPI uplift factor]],MATCH($C437,Calc_CPI_2[[Cost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0.10973000000000001</v>
      </c>
      <c r="J437" s="56" cm="1">
        <f t="array" ref="J437">IFERROR(
(IFERROR(INDEX(Calc_CPI_2[[CPI uplift factor]:[CPI uplift factor]],MATCH($C437,Calc_CPI_2[[Cost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9.2899999999999996E-2</v>
      </c>
      <c r="K437" s="56" cm="1">
        <f t="array" ref="K437">IFERROR(
(IFERROR(INDEX(Calc_CPI_2[[CPI uplift factor]:[CPI uplift factor]],MATCH($C437,Calc_CPI_2[[Cost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8.7899999999999992E-2</v>
      </c>
    </row>
    <row r="438" spans="1:11" outlineLevel="2" x14ac:dyDescent="0.35">
      <c r="C438" s="21" t="s">
        <v>292</v>
      </c>
      <c r="D438" s="21" t="s">
        <v>124</v>
      </c>
      <c r="E438" s="21" t="s">
        <v>284</v>
      </c>
      <c r="F438" s="21" t="s">
        <v>89</v>
      </c>
      <c r="G438" s="56" cm="1">
        <f t="array" ref="G438">IFERROR(
(IFERROR(INDEX(Calc_CPI_2[[CPI uplift factor]:[CPI uplift factor]],MATCH($C438,Calc_CPI_2[[Cost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0.17508700000000002</v>
      </c>
      <c r="H438" s="56" cm="1">
        <f t="array" ref="H438">IFERROR(
(IFERROR(INDEX(Calc_CPI_2[[CPI uplift factor]:[CPI uplift factor]],MATCH($C438,Calc_CPI_2[[Cost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0.13019999999999998</v>
      </c>
      <c r="I438" s="56" cm="1">
        <f t="array" ref="I438">IFERROR(
(IFERROR(INDEX(Calc_CPI_2[[CPI uplift factor]:[CPI uplift factor]],MATCH($C438,Calc_CPI_2[[Cost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0.14330999999999999</v>
      </c>
      <c r="J438" s="56" cm="1">
        <f t="array" ref="J438">IFERROR(
(IFERROR(INDEX(Calc_CPI_2[[CPI uplift factor]:[CPI uplift factor]],MATCH($C438,Calc_CPI_2[[Cost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0.14749999999999999</v>
      </c>
      <c r="K438" s="56" cm="1">
        <f t="array" ref="K438">IFERROR(
(IFERROR(INDEX(Calc_CPI_2[[CPI uplift factor]:[CPI uplift factor]],MATCH($C438,Calc_CPI_2[[Cost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0.1399</v>
      </c>
    </row>
    <row r="439" spans="1:11" outlineLevel="2" x14ac:dyDescent="0.35">
      <c r="C439" s="21" t="s">
        <v>293</v>
      </c>
      <c r="D439" s="40" t="s">
        <v>124</v>
      </c>
      <c r="E439" s="21" t="s">
        <v>284</v>
      </c>
      <c r="F439" s="21" t="s">
        <v>89</v>
      </c>
      <c r="G439" s="56" cm="1">
        <f t="array" ref="G439">IFERROR(
(IFERROR(INDEX(Calc_CPI_2[[CPI uplift factor]:[CPI uplift factor]],MATCH($C439,Calc_CPI_2[[Cost item]:[Cost item]],0),1),0)+
INDEX(Input_ForRateCalc[[F-CurrentVDO_InputDate]:[F-NextVDO_Input]],MATCH(Calc_NetworkV_2[[#This Row],[Cost item]:[Cost item]]&amp;" - "&amp;IF(Calc_NetworkV_2[[#This Row],[Customer type]:[Customer type]]="Residential","RES - ","SME - ")&amp;Calc_NetworkV_2[[#Headers],[Ausnet]],Input_ForRateCalc[[Cost item]:[Cost item]],0),MATCH($D$244,Inputs!$H$8:$Q$8,0)))/100,"-")</f>
        <v>4.2655999999999999E-2</v>
      </c>
      <c r="H439" s="56" cm="1">
        <f t="array" ref="H439">IFERROR(
(IFERROR(INDEX(Calc_CPI_2[[CPI uplift factor]:[CPI uplift factor]],MATCH($C439,Calc_CPI_2[[Cost item]:[Cost item]],0),1),0)+
INDEX(Input_ForRateCalc[[F-CurrentVDO_InputDate]:[F-NextVDO_Input]],MATCH(Calc_NetworkV_2[[#This Row],[Cost item]:[Cost item]]&amp;" - "&amp;IF(Calc_NetworkV_2[[#This Row],[Customer type]:[Customer type]]="Residential","RES - ","SME - ")&amp;Calc_NetworkV_2[[#Headers],[Citipower]],Input_ForRateCalc[[Cost item]:[Cost item]],0),MATCH($D$244,Inputs!$H$8:$Q$8,0)))/100,"-")</f>
        <v>2.8900000000000002E-2</v>
      </c>
      <c r="I439" s="56" cm="1">
        <f t="array" ref="I439">IFERROR(
(IFERROR(INDEX(Calc_CPI_2[[CPI uplift factor]:[CPI uplift factor]],MATCH($C439,Calc_CPI_2[[Cost item]:[Cost item]],0),1),0)+
INDEX(Input_ForRateCalc[[F-CurrentVDO_InputDate]:[F-NextVDO_Input]],MATCH(Calc_NetworkV_2[[#This Row],[Cost item]:[Cost item]]&amp;" - "&amp;IF(Calc_NetworkV_2[[#This Row],[Customer type]:[Customer type]]="Residential","RES - ","SME - ")&amp;Calc_NetworkV_2[[#Headers],[Jemena]],Input_ForRateCalc[[Cost item]:[Cost item]],0),MATCH($D$244,Inputs!$H$8:$Q$8,0)))/100,"-")</f>
        <v>3.0520000000000002E-2</v>
      </c>
      <c r="J439" s="56" cm="1">
        <f t="array" ref="J439">IFERROR(
(IFERROR(INDEX(Calc_CPI_2[[CPI uplift factor]:[CPI uplift factor]],MATCH($C439,Calc_CPI_2[[Cost item]:[Cost item]],0),1),0)+
INDEX(Input_ForRateCalc[[F-CurrentVDO_InputDate]:[F-NextVDO_Input]],MATCH(Calc_NetworkV_2[[#This Row],[Cost item]:[Cost item]]&amp;" - "&amp;IF(Calc_NetworkV_2[[#This Row],[Customer type]:[Customer type]]="Residential","RES - ","SME - ")&amp;Calc_NetworkV_2[[#Headers],[Powercor]],Input_ForRateCalc[[Cost item]:[Cost item]],0),MATCH($D$244,Inputs!$H$8:$Q$8,0)))/100,"-")</f>
        <v>3.2799999999999996E-2</v>
      </c>
      <c r="K439" s="56" cm="1">
        <f t="array" ref="K439">IFERROR(
(IFERROR(INDEX(Calc_CPI_2[[CPI uplift factor]:[CPI uplift factor]],MATCH($C439,Calc_CPI_2[[Cost item]:[Cost item]],0),1),0)+
INDEX(Input_ForRateCalc[[F-CurrentVDO_InputDate]:[F-NextVDO_Input]],MATCH(Calc_NetworkV_2[[#This Row],[Cost item]:[Cost item]]&amp;" - "&amp;IF(Calc_NetworkV_2[[#This Row],[Customer type]:[Customer type]]="Residential","RES - ","SME - ")&amp;Calc_NetworkV_2[[#Headers],[United Energy]],Input_ForRateCalc[[Cost item]:[Cost item]],0),MATCH($D$244,Inputs!$H$8:$Q$8,0)))/100,"-")</f>
        <v>3.1099999999999999E-2</v>
      </c>
    </row>
    <row r="440" spans="1:11" outlineLevel="2" x14ac:dyDescent="0.35"/>
    <row r="441" spans="1:11" ht="16" outlineLevel="1" collapsed="1" thickBot="1" x14ac:dyDescent="0.4">
      <c r="A441" s="2" t="s">
        <v>22</v>
      </c>
      <c r="B441" s="8">
        <f ca="1">MAX(B$3:B440)+0.1</f>
        <v>10.299999999999995</v>
      </c>
      <c r="C441" s="25" t="s">
        <v>122</v>
      </c>
      <c r="D441" s="25"/>
      <c r="E441" s="25"/>
      <c r="F441" s="25"/>
      <c r="G441" s="25"/>
      <c r="H441" s="25"/>
      <c r="I441" s="25"/>
      <c r="J441" s="25"/>
      <c r="K441" s="25"/>
    </row>
    <row r="442" spans="1:11" outlineLevel="1" x14ac:dyDescent="0.35"/>
    <row r="443" spans="1:11" ht="15.5" outlineLevel="2" x14ac:dyDescent="0.35">
      <c r="C443" s="26" t="s">
        <v>306</v>
      </c>
    </row>
    <row r="444" spans="1:11" ht="15.5" outlineLevel="2" x14ac:dyDescent="0.35">
      <c r="C444" s="39" t="s">
        <v>42</v>
      </c>
      <c r="D444" s="39" t="s">
        <v>94</v>
      </c>
      <c r="E444" s="39" t="s">
        <v>95</v>
      </c>
      <c r="F444" s="39" t="s">
        <v>87</v>
      </c>
      <c r="G444" s="55" t="s">
        <v>270</v>
      </c>
      <c r="H444" s="55" t="s">
        <v>271</v>
      </c>
      <c r="I444" s="55" t="s">
        <v>272</v>
      </c>
      <c r="J444" s="55" t="s">
        <v>273</v>
      </c>
      <c r="K444" s="55" t="s">
        <v>274</v>
      </c>
    </row>
    <row r="445" spans="1:11" outlineLevel="2" x14ac:dyDescent="0.35">
      <c r="C445" s="21" t="s">
        <v>307</v>
      </c>
      <c r="D445" s="21" t="s">
        <v>124</v>
      </c>
      <c r="E445" s="21" t="s">
        <v>284</v>
      </c>
      <c r="F445" s="21" t="s">
        <v>88</v>
      </c>
      <c r="G445" s="56" cm="1">
        <f t="array" ref="G445">IFERROR(
(IFERROR(INDEX(Calc_CPI_2[[CPI uplift factor]:[CPI uplift factor]],MATCH($C445,Calc_CPI_2[[Cost item]:[Cost item]],0),1),0)+
INDEX(Input_ForRateCalc[[F-CurrentVDO_InputDate]:[F-NextVDO_Input]],MATCH(Calc_WholesaleRES_2[[#This Row],[Cost item]:[Cost item]]&amp;" - "&amp;Calc_WholesaleRES_2[[#Headers],[Ausnet]],Input_ForRateCalc[[Cost item]:[Cost item]],0),MATCH($D$244,Inputs!$H$8:$Q$8,0)))/1000,"-")</f>
        <v>9.4019999999999992E-2</v>
      </c>
      <c r="H445" s="56" cm="1">
        <f t="array" ref="H445">IFERROR(
(IFERROR(INDEX(Calc_CPI_2[[CPI uplift factor]:[CPI uplift factor]],MATCH($C445,Calc_CPI_2[[Cost item]:[Cost item]],0),1),0)+
INDEX(Input_ForRateCalc[[F-CurrentVDO_InputDate]:[F-NextVDO_Input]],MATCH(Calc_WholesaleRES_2[[#This Row],[Cost item]:[Cost item]]&amp;" - "&amp;Calc_WholesaleRES_2[[#Headers],[Citipower]],Input_ForRateCalc[[Cost item]:[Cost item]],0),MATCH($D$244,Inputs!$H$8:$Q$8,0)))/1000,"-")</f>
        <v>8.8840000000000002E-2</v>
      </c>
      <c r="I445" s="56" cm="1">
        <f t="array" ref="I445">IFERROR(
(IFERROR(INDEX(Calc_CPI_2[[CPI uplift factor]:[CPI uplift factor]],MATCH($C445,Calc_CPI_2[[Cost item]:[Cost item]],0),1),0)+
INDEX(Input_ForRateCalc[[F-CurrentVDO_InputDate]:[F-NextVDO_Input]],MATCH(Calc_WholesaleRES_2[[#This Row],[Cost item]:[Cost item]]&amp;" - "&amp;Calc_WholesaleRES_2[[#Headers],[Jemena]],Input_ForRateCalc[[Cost item]:[Cost item]],0),MATCH($D$244,Inputs!$H$8:$Q$8,0)))/1000,"-")</f>
        <v>9.7799999999999998E-2</v>
      </c>
      <c r="J445" s="56" cm="1">
        <f t="array" ref="J445">IFERROR(
(IFERROR(INDEX(Calc_CPI_2[[CPI uplift factor]:[CPI uplift factor]],MATCH($C445,Calc_CPI_2[[Cost item]:[Cost item]],0),1),0)+
INDEX(Input_ForRateCalc[[F-CurrentVDO_InputDate]:[F-NextVDO_Input]],MATCH(Calc_WholesaleRES_2[[#This Row],[Cost item]:[Cost item]]&amp;" - "&amp;Calc_WholesaleRES_2[[#Headers],[Powercor]],Input_ForRateCalc[[Cost item]:[Cost item]],0),MATCH($D$244,Inputs!$H$8:$Q$8,0)))/1000,"-")</f>
        <v>9.2030000000000001E-2</v>
      </c>
      <c r="K445" s="56" cm="1">
        <f t="array" ref="K445">IFERROR(
(IFERROR(INDEX(Calc_CPI_2[[CPI uplift factor]:[CPI uplift factor]],MATCH($C445,Calc_CPI_2[[Cost item]:[Cost item]],0),1),0)+
INDEX(Input_ForRateCalc[[F-CurrentVDO_InputDate]:[F-NextVDO_Input]],MATCH(Calc_WholesaleRES_2[[#This Row],[Cost item]:[Cost item]]&amp;" - "&amp;Calc_WholesaleRES_2[[#Headers],[United Energy]],Input_ForRateCalc[[Cost item]:[Cost item]],0),MATCH($D$244,Inputs!$H$8:$Q$8,0)))/1000,"-")</f>
        <v>9.8180000000000003E-2</v>
      </c>
    </row>
    <row r="446" spans="1:11" outlineLevel="2" x14ac:dyDescent="0.35">
      <c r="C446" s="21" t="s">
        <v>308</v>
      </c>
      <c r="D446" s="21" t="s">
        <v>124</v>
      </c>
      <c r="E446" s="21" t="s">
        <v>284</v>
      </c>
      <c r="F446" s="21" t="s">
        <v>88</v>
      </c>
      <c r="G446" s="56" cm="1">
        <f t="array" ref="G446">IFERROR(
(IFERROR(INDEX(Calc_CPI_2[[CPI uplift factor]:[CPI uplift factor]],MATCH($C446,Calc_CPI_2[[Cost item]:[Cost item]],0),1),0)+
INDEX(Input_ForRateCalc[[F-CurrentVDO_InputDate]:[F-NextVDO_Input]],MATCH(Calc_WholesaleRES_2[[#This Row],[Cost item]:[Cost item]]&amp;" - "&amp;Calc_WholesaleRES_2[[#Headers],[Ausnet]],Input_ForRateCalc[[Cost item]:[Cost item]],0),MATCH($D$244,Inputs!$H$8:$Q$8,0)))/1000,"-")</f>
        <v>4.7999999999999996E-4</v>
      </c>
      <c r="H446" s="56" cm="1">
        <f t="array" ref="H446">IFERROR(
(IFERROR(INDEX(Calc_CPI_2[[CPI uplift factor]:[CPI uplift factor]],MATCH($C446,Calc_CPI_2[[Cost item]:[Cost item]],0),1),0)+
INDEX(Input_ForRateCalc[[F-CurrentVDO_InputDate]:[F-NextVDO_Input]],MATCH(Calc_WholesaleRES_2[[#This Row],[Cost item]:[Cost item]]&amp;" - "&amp;Calc_WholesaleRES_2[[#Headers],[Citipower]],Input_ForRateCalc[[Cost item]:[Cost item]],0),MATCH($D$244,Inputs!$H$8:$Q$8,0)))/1000,"-")</f>
        <v>4.6999999999999999E-4</v>
      </c>
      <c r="I446" s="56" cm="1">
        <f t="array" ref="I446">IFERROR(
(IFERROR(INDEX(Calc_CPI_2[[CPI uplift factor]:[CPI uplift factor]],MATCH($C446,Calc_CPI_2[[Cost item]:[Cost item]],0),1),0)+
INDEX(Input_ForRateCalc[[F-CurrentVDO_InputDate]:[F-NextVDO_Input]],MATCH(Calc_WholesaleRES_2[[#This Row],[Cost item]:[Cost item]]&amp;" - "&amp;Calc_WholesaleRES_2[[#Headers],[Jemena]],Input_ForRateCalc[[Cost item]:[Cost item]],0),MATCH($D$244,Inputs!$H$8:$Q$8,0)))/1000,"-")</f>
        <v>4.4999999999999999E-4</v>
      </c>
      <c r="J446" s="56" cm="1">
        <f t="array" ref="J446">IFERROR(
(IFERROR(INDEX(Calc_CPI_2[[CPI uplift factor]:[CPI uplift factor]],MATCH($C446,Calc_CPI_2[[Cost item]:[Cost item]],0),1),0)+
INDEX(Input_ForRateCalc[[F-CurrentVDO_InputDate]:[F-NextVDO_Input]],MATCH(Calc_WholesaleRES_2[[#This Row],[Cost item]:[Cost item]]&amp;" - "&amp;Calc_WholesaleRES_2[[#Headers],[Powercor]],Input_ForRateCalc[[Cost item]:[Cost item]],0),MATCH($D$244,Inputs!$H$8:$Q$8,0)))/1000,"-")</f>
        <v>4.1999999999999996E-4</v>
      </c>
      <c r="K446" s="56" cm="1">
        <f t="array" ref="K446">IFERROR(
(IFERROR(INDEX(Calc_CPI_2[[CPI uplift factor]:[CPI uplift factor]],MATCH($C446,Calc_CPI_2[[Cost item]:[Cost item]],0),1),0)+
INDEX(Input_ForRateCalc[[F-CurrentVDO_InputDate]:[F-NextVDO_Input]],MATCH(Calc_WholesaleRES_2[[#This Row],[Cost item]:[Cost item]]&amp;" - "&amp;Calc_WholesaleRES_2[[#Headers],[United Energy]],Input_ForRateCalc[[Cost item]:[Cost item]],0),MATCH($D$244,Inputs!$H$8:$Q$8,0)))/1000,"-")</f>
        <v>4.8999999999999998E-4</v>
      </c>
    </row>
    <row r="447" spans="1:11" outlineLevel="2" x14ac:dyDescent="0.35">
      <c r="C447" s="40" t="s">
        <v>285</v>
      </c>
      <c r="D447" s="40" t="s">
        <v>124</v>
      </c>
      <c r="E447" s="40" t="s">
        <v>284</v>
      </c>
      <c r="F447" s="21" t="s">
        <v>88</v>
      </c>
      <c r="G447" s="61">
        <f>IFERROR(G445+G446,"-")</f>
        <v>9.4499999999999987E-2</v>
      </c>
      <c r="H447" s="61">
        <f t="shared" ref="H447:K447" si="104">IFERROR(H445+H446,"-")</f>
        <v>8.931E-2</v>
      </c>
      <c r="I447" s="61">
        <f t="shared" si="104"/>
        <v>9.8250000000000004E-2</v>
      </c>
      <c r="J447" s="61">
        <f t="shared" si="104"/>
        <v>9.2450000000000004E-2</v>
      </c>
      <c r="K447" s="61">
        <f t="shared" si="104"/>
        <v>9.8670000000000008E-2</v>
      </c>
    </row>
    <row r="448" spans="1:11" outlineLevel="2" x14ac:dyDescent="0.35"/>
    <row r="449" spans="1:11" ht="15.5" outlineLevel="2" x14ac:dyDescent="0.35">
      <c r="C449" s="26" t="s">
        <v>309</v>
      </c>
    </row>
    <row r="450" spans="1:11" ht="15.5" outlineLevel="2" x14ac:dyDescent="0.35">
      <c r="C450" s="39" t="s">
        <v>42</v>
      </c>
      <c r="D450" s="39" t="s">
        <v>94</v>
      </c>
      <c r="E450" s="39" t="s">
        <v>95</v>
      </c>
      <c r="F450" s="39" t="s">
        <v>87</v>
      </c>
      <c r="G450" s="55" t="s">
        <v>270</v>
      </c>
      <c r="H450" s="55" t="s">
        <v>271</v>
      </c>
      <c r="I450" s="55" t="s">
        <v>272</v>
      </c>
      <c r="J450" s="55" t="s">
        <v>273</v>
      </c>
      <c r="K450" s="55" t="s">
        <v>274</v>
      </c>
    </row>
    <row r="451" spans="1:11" outlineLevel="2" x14ac:dyDescent="0.35">
      <c r="C451" s="21" t="s">
        <v>310</v>
      </c>
      <c r="D451" s="21" t="s">
        <v>124</v>
      </c>
      <c r="E451" s="21" t="s">
        <v>284</v>
      </c>
      <c r="F451" s="21" t="s">
        <v>89</v>
      </c>
      <c r="G451" s="56" cm="1">
        <f t="array" ref="G451">IFERROR(
(IFERROR(INDEX(Calc_CPI_2[[CPI uplift factor]:[CPI uplift factor]],MATCH($C451,Calc_CPI_2[[Cost item]:[Cost item]],0),1),0)+
INDEX(Input_ForRateCalc[[F-CurrentVDO_InputDate]:[F-NextVDO_Input]],MATCH(Calc_WholesaleSME_2[[#This Row],[Cost item]:[Cost item]]&amp;" - "&amp;Calc_WholesaleSME_2[[#Headers],[Ausnet]],Input_ForRateCalc[[Cost item]:[Cost item]],0),MATCH($D$244,Inputs!$H$8:$Q$8,0)))/1000,"-")</f>
        <v>8.2280000000000006E-2</v>
      </c>
      <c r="H451" s="56" cm="1">
        <f t="array" ref="H451">IFERROR(
(IFERROR(INDEX(Calc_CPI_2[[CPI uplift factor]:[CPI uplift factor]],MATCH($C451,Calc_CPI_2[[Cost item]:[Cost item]],0),1),0)+
INDEX(Input_ForRateCalc[[F-CurrentVDO_InputDate]:[F-NextVDO_Input]],MATCH(Calc_WholesaleSME_2[[#This Row],[Cost item]:[Cost item]]&amp;" - "&amp;Calc_WholesaleSME_2[[#Headers],[Citipower]],Input_ForRateCalc[[Cost item]:[Cost item]],0),MATCH($D$244,Inputs!$H$8:$Q$8,0)))/1000,"-")</f>
        <v>8.5080000000000003E-2</v>
      </c>
      <c r="I451" s="56" cm="1">
        <f t="array" ref="I451">IFERROR(
(IFERROR(INDEX(Calc_CPI_2[[CPI uplift factor]:[CPI uplift factor]],MATCH($C451,Calc_CPI_2[[Cost item]:[Cost item]],0),1),0)+
INDEX(Input_ForRateCalc[[F-CurrentVDO_InputDate]:[F-NextVDO_Input]],MATCH(Calc_WholesaleSME_2[[#This Row],[Cost item]:[Cost item]]&amp;" - "&amp;Calc_WholesaleSME_2[[#Headers],[Jemena]],Input_ForRateCalc[[Cost item]:[Cost item]],0),MATCH($D$244,Inputs!$H$8:$Q$8,0)))/1000,"-")</f>
        <v>8.4510000000000002E-2</v>
      </c>
      <c r="J451" s="56" cm="1">
        <f t="array" ref="J451">IFERROR(
(IFERROR(INDEX(Calc_CPI_2[[CPI uplift factor]:[CPI uplift factor]],MATCH($C451,Calc_CPI_2[[Cost item]:[Cost item]],0),1),0)+
INDEX(Input_ForRateCalc[[F-CurrentVDO_InputDate]:[F-NextVDO_Input]],MATCH(Calc_WholesaleSME_2[[#This Row],[Cost item]:[Cost item]]&amp;" - "&amp;Calc_WholesaleSME_2[[#Headers],[Powercor]],Input_ForRateCalc[[Cost item]:[Cost item]],0),MATCH($D$244,Inputs!$H$8:$Q$8,0)))/1000,"-")</f>
        <v>8.0110000000000001E-2</v>
      </c>
      <c r="K451" s="56" cm="1">
        <f t="array" ref="K451">IFERROR(
(IFERROR(INDEX(Calc_CPI_2[[CPI uplift factor]:[CPI uplift factor]],MATCH($C451,Calc_CPI_2[[Cost item]:[Cost item]],0),1),0)+
INDEX(Input_ForRateCalc[[F-CurrentVDO_InputDate]:[F-NextVDO_Input]],MATCH(Calc_WholesaleSME_2[[#This Row],[Cost item]:[Cost item]]&amp;" - "&amp;Calc_WholesaleSME_2[[#Headers],[United Energy]],Input_ForRateCalc[[Cost item]:[Cost item]],0),MATCH($D$244,Inputs!$H$8:$Q$8,0)))/1000,"-")</f>
        <v>8.6629999999999999E-2</v>
      </c>
    </row>
    <row r="452" spans="1:11" outlineLevel="2" x14ac:dyDescent="0.35">
      <c r="C452" s="21" t="s">
        <v>311</v>
      </c>
      <c r="D452" s="21" t="s">
        <v>124</v>
      </c>
      <c r="E452" s="21" t="s">
        <v>284</v>
      </c>
      <c r="F452" s="21" t="s">
        <v>89</v>
      </c>
      <c r="G452" s="56" cm="1">
        <f t="array" ref="G452">IFERROR(
(IFERROR(INDEX(Calc_CPI_2[[CPI uplift factor]:[CPI uplift factor]],MATCH($C452,Calc_CPI_2[[Cost item]:[Cost item]],0),1),0)+
INDEX(Input_ForRateCalc[[F-CurrentVDO_InputDate]:[F-NextVDO_Input]],MATCH(Calc_WholesaleSME_2[[#This Row],[Cost item]:[Cost item]]&amp;" - "&amp;Calc_WholesaleSME_2[[#Headers],[Ausnet]],Input_ForRateCalc[[Cost item]:[Cost item]],0),MATCH($D$244,Inputs!$H$8:$Q$8,0)))/1000,"-")</f>
        <v>3.4000000000000002E-4</v>
      </c>
      <c r="H452" s="56" cm="1">
        <f t="array" ref="H452">IFERROR(
(IFERROR(INDEX(Calc_CPI_2[[CPI uplift factor]:[CPI uplift factor]],MATCH($C452,Calc_CPI_2[[Cost item]:[Cost item]],0),1),0)+
INDEX(Input_ForRateCalc[[F-CurrentVDO_InputDate]:[F-NextVDO_Input]],MATCH(Calc_WholesaleSME_2[[#This Row],[Cost item]:[Cost item]]&amp;" - "&amp;Calc_WholesaleSME_2[[#Headers],[Citipower]],Input_ForRateCalc[[Cost item]:[Cost item]],0),MATCH($D$244,Inputs!$H$8:$Q$8,0)))/1000,"-")</f>
        <v>4.0000000000000002E-4</v>
      </c>
      <c r="I452" s="56" cm="1">
        <f t="array" ref="I452">IFERROR(
(IFERROR(INDEX(Calc_CPI_2[[CPI uplift factor]:[CPI uplift factor]],MATCH($C452,Calc_CPI_2[[Cost item]:[Cost item]],0),1),0)+
INDEX(Input_ForRateCalc[[F-CurrentVDO_InputDate]:[F-NextVDO_Input]],MATCH(Calc_WholesaleSME_2[[#This Row],[Cost item]:[Cost item]]&amp;" - "&amp;Calc_WholesaleSME_2[[#Headers],[Jemena]],Input_ForRateCalc[[Cost item]:[Cost item]],0),MATCH($D$244,Inputs!$H$8:$Q$8,0)))/1000,"-")</f>
        <v>3.5999999999999997E-4</v>
      </c>
      <c r="J452" s="56" cm="1">
        <f t="array" ref="J452">IFERROR(
(IFERROR(INDEX(Calc_CPI_2[[CPI uplift factor]:[CPI uplift factor]],MATCH($C452,Calc_CPI_2[[Cost item]:[Cost item]],0),1),0)+
INDEX(Input_ForRateCalc[[F-CurrentVDO_InputDate]:[F-NextVDO_Input]],MATCH(Calc_WholesaleSME_2[[#This Row],[Cost item]:[Cost item]]&amp;" - "&amp;Calc_WholesaleSME_2[[#Headers],[Powercor]],Input_ForRateCalc[[Cost item]:[Cost item]],0),MATCH($D$244,Inputs!$H$8:$Q$8,0)))/1000,"-")</f>
        <v>3.1E-4</v>
      </c>
      <c r="K452" s="56" cm="1">
        <f t="array" ref="K452">IFERROR(
(IFERROR(INDEX(Calc_CPI_2[[CPI uplift factor]:[CPI uplift factor]],MATCH($C452,Calc_CPI_2[[Cost item]:[Cost item]],0),1),0)+
INDEX(Input_ForRateCalc[[F-CurrentVDO_InputDate]:[F-NextVDO_Input]],MATCH(Calc_WholesaleSME_2[[#This Row],[Cost item]:[Cost item]]&amp;" - "&amp;Calc_WholesaleSME_2[[#Headers],[United Energy]],Input_ForRateCalc[[Cost item]:[Cost item]],0),MATCH($D$244,Inputs!$H$8:$Q$8,0)))/1000,"-")</f>
        <v>4.0999999999999999E-4</v>
      </c>
    </row>
    <row r="453" spans="1:11" outlineLevel="2" x14ac:dyDescent="0.35">
      <c r="C453" s="40" t="s">
        <v>285</v>
      </c>
      <c r="D453" s="40" t="s">
        <v>124</v>
      </c>
      <c r="E453" s="40" t="s">
        <v>284</v>
      </c>
      <c r="F453" s="21" t="s">
        <v>89</v>
      </c>
      <c r="G453" s="61">
        <f>IFERROR(G451+G452,"-")</f>
        <v>8.2619999999999999E-2</v>
      </c>
      <c r="H453" s="61">
        <f t="shared" ref="H453:K453" si="105">IFERROR(H451+H452,"-")</f>
        <v>8.548E-2</v>
      </c>
      <c r="I453" s="61">
        <f t="shared" si="105"/>
        <v>8.4870000000000001E-2</v>
      </c>
      <c r="J453" s="61">
        <f t="shared" si="105"/>
        <v>8.0420000000000005E-2</v>
      </c>
      <c r="K453" s="61">
        <f t="shared" si="105"/>
        <v>8.7039999999999992E-2</v>
      </c>
    </row>
    <row r="454" spans="1:11" outlineLevel="2" x14ac:dyDescent="0.35"/>
    <row r="455" spans="1:11" ht="16" outlineLevel="1" collapsed="1" thickBot="1" x14ac:dyDescent="0.4">
      <c r="A455" s="2" t="s">
        <v>22</v>
      </c>
      <c r="B455" s="8">
        <f ca="1">MAX(B$3:B454)+0.1</f>
        <v>10.399999999999995</v>
      </c>
      <c r="C455" s="25" t="s">
        <v>312</v>
      </c>
      <c r="D455" s="25"/>
      <c r="E455" s="25"/>
      <c r="F455" s="25"/>
      <c r="G455" s="25"/>
      <c r="H455" s="25"/>
      <c r="I455" s="25"/>
      <c r="J455" s="25"/>
      <c r="K455" s="25"/>
    </row>
    <row r="456" spans="1:11" outlineLevel="1" x14ac:dyDescent="0.35"/>
    <row r="457" spans="1:11" ht="15.5" outlineLevel="2" x14ac:dyDescent="0.35">
      <c r="C457" s="26" t="s">
        <v>313</v>
      </c>
    </row>
    <row r="458" spans="1:11" ht="15.5" outlineLevel="2" x14ac:dyDescent="0.35">
      <c r="C458" s="39" t="s">
        <v>42</v>
      </c>
      <c r="D458" s="39" t="s">
        <v>94</v>
      </c>
      <c r="E458" s="39" t="s">
        <v>95</v>
      </c>
      <c r="F458" s="39" t="s">
        <v>87</v>
      </c>
      <c r="G458" s="55" t="s">
        <v>270</v>
      </c>
      <c r="H458" s="55" t="s">
        <v>271</v>
      </c>
      <c r="I458" s="55" t="s">
        <v>272</v>
      </c>
      <c r="J458" s="55" t="s">
        <v>273</v>
      </c>
      <c r="K458" s="55" t="s">
        <v>274</v>
      </c>
    </row>
    <row r="459" spans="1:11" outlineLevel="2" x14ac:dyDescent="0.35">
      <c r="C459" s="21" t="s">
        <v>146</v>
      </c>
      <c r="D459" s="21" t="s">
        <v>124</v>
      </c>
      <c r="E459" s="21" t="s">
        <v>147</v>
      </c>
      <c r="F459" s="21" t="s">
        <v>103</v>
      </c>
      <c r="G459" s="56" cm="1">
        <f t="array" ref="G459">IFERROR(
(IFERROR(INDEX(Calc_CPI_2[[CPI uplift factor]:[CPI uplift factor]],MATCH($C459,Calc_CPI_2[[Cost item]:[Cost item]],0),1),0)+
INDEX(Input_ForRateCalc[[F-CurrentVDO_InputDate]:[F-NextVDO_Input]],MATCH(Calc_EnviroVEU_2[[#This Row],[Cost item]:[Cost item]],Input_ForRateCalc[[Cost item]:[Cost item]],0),MATCH($D$244,Inputs!$H$8:$Q$8,0))),"-")</f>
        <v>32.379354863483861</v>
      </c>
      <c r="H459" s="56" cm="1">
        <f t="array" ref="H459">IFERROR(
(IFERROR(INDEX(Calc_CPI_2[[CPI uplift factor]:[CPI uplift factor]],MATCH($C459,Calc_CPI_2[[Cost item]:[Cost item]],0),1),0)+
INDEX(Input_ForRateCalc[[F-CurrentVDO_InputDate]:[F-NextVDO_Input]],MATCH(Calc_EnviroVEU_2[[#This Row],[Cost item]:[Cost item]],Input_ForRateCalc[[Cost item]:[Cost item]],0),MATCH($D$244,Inputs!$H$8:$Q$8,0))),"-")</f>
        <v>32.379354863483861</v>
      </c>
      <c r="I459" s="56" cm="1">
        <f t="array" ref="I459">IFERROR(
(IFERROR(INDEX(Calc_CPI_2[[CPI uplift factor]:[CPI uplift factor]],MATCH($C459,Calc_CPI_2[[Cost item]:[Cost item]],0),1),0)+
INDEX(Input_ForRateCalc[[F-CurrentVDO_InputDate]:[F-NextVDO_Input]],MATCH(Calc_EnviroVEU_2[[#This Row],[Cost item]:[Cost item]],Input_ForRateCalc[[Cost item]:[Cost item]],0),MATCH($D$244,Inputs!$H$8:$Q$8,0))),"-")</f>
        <v>32.379354863483861</v>
      </c>
      <c r="J459" s="56" cm="1">
        <f t="array" ref="J459">IFERROR(
(IFERROR(INDEX(Calc_CPI_2[[CPI uplift factor]:[CPI uplift factor]],MATCH($C459,Calc_CPI_2[[Cost item]:[Cost item]],0),1),0)+
INDEX(Input_ForRateCalc[[F-CurrentVDO_InputDate]:[F-NextVDO_Input]],MATCH(Calc_EnviroVEU_2[[#This Row],[Cost item]:[Cost item]],Input_ForRateCalc[[Cost item]:[Cost item]],0),MATCH($D$244,Inputs!$H$8:$Q$8,0))),"-")</f>
        <v>32.379354863483861</v>
      </c>
      <c r="K459" s="56" cm="1">
        <f t="array" ref="K459">IFERROR(
(IFERROR(INDEX(Calc_CPI_2[[CPI uplift factor]:[CPI uplift factor]],MATCH($C459,Calc_CPI_2[[Cost item]:[Cost item]],0),1),0)+
INDEX(Input_ForRateCalc[[F-CurrentVDO_InputDate]:[F-NextVDO_Input]],MATCH(Calc_EnviroVEU_2[[#This Row],[Cost item]:[Cost item]],Input_ForRateCalc[[Cost item]:[Cost item]],0),MATCH($D$244,Inputs!$H$8:$Q$8,0))),"-")</f>
        <v>32.379354863483861</v>
      </c>
    </row>
    <row r="460" spans="1:11" outlineLevel="2" x14ac:dyDescent="0.35">
      <c r="C460" s="21" t="s">
        <v>150</v>
      </c>
      <c r="D460" s="21" t="s">
        <v>124</v>
      </c>
      <c r="E460" s="21" t="s">
        <v>151</v>
      </c>
      <c r="F460" s="21" t="s">
        <v>103</v>
      </c>
      <c r="G460" s="53" cm="1">
        <f t="array" ref="G460">IFERROR(
(IFERROR(INDEX(Calc_CPI_2[[CPI uplift factor]:[CPI uplift factor]],MATCH($C460,Calc_CPI_2[[Cost item]:[Cost item]],0),1),0)+
INDEX(Input_ForRateCalc[[F-CurrentVDO_InputDate]:[F-NextVDO_Input]],MATCH(Calc_EnviroVEU_2[[#This Row],[Cost item]:[Cost item]],Input_ForRateCalc[[Cost item]:[Cost item]],0),MATCH($D$244,Inputs!$H$8:$Q$8,0))),"-")</f>
        <v>0.17255000000000001</v>
      </c>
      <c r="H460" s="53" cm="1">
        <f t="array" ref="H460">IFERROR(
(IFERROR(INDEX(Calc_CPI_2[[CPI uplift factor]:[CPI uplift factor]],MATCH($C460,Calc_CPI_2[[Cost item]:[Cost item]],0),1),0)+
INDEX(Input_ForRateCalc[[F-CurrentVDO_InputDate]:[F-NextVDO_Input]],MATCH(Calc_EnviroVEU_2[[#This Row],[Cost item]:[Cost item]],Input_ForRateCalc[[Cost item]:[Cost item]],0),MATCH($D$244,Inputs!$H$8:$Q$8,0))),"-")</f>
        <v>0.17255000000000001</v>
      </c>
      <c r="I460" s="53" cm="1">
        <f t="array" ref="I460">IFERROR(
(IFERROR(INDEX(Calc_CPI_2[[CPI uplift factor]:[CPI uplift factor]],MATCH($C460,Calc_CPI_2[[Cost item]:[Cost item]],0),1),0)+
INDEX(Input_ForRateCalc[[F-CurrentVDO_InputDate]:[F-NextVDO_Input]],MATCH(Calc_EnviroVEU_2[[#This Row],[Cost item]:[Cost item]],Input_ForRateCalc[[Cost item]:[Cost item]],0),MATCH($D$244,Inputs!$H$8:$Q$8,0))),"-")</f>
        <v>0.17255000000000001</v>
      </c>
      <c r="J460" s="53" cm="1">
        <f t="array" ref="J460">IFERROR(
(IFERROR(INDEX(Calc_CPI_2[[CPI uplift factor]:[CPI uplift factor]],MATCH($C460,Calc_CPI_2[[Cost item]:[Cost item]],0),1),0)+
INDEX(Input_ForRateCalc[[F-CurrentVDO_InputDate]:[F-NextVDO_Input]],MATCH(Calc_EnviroVEU_2[[#This Row],[Cost item]:[Cost item]],Input_ForRateCalc[[Cost item]:[Cost item]],0),MATCH($D$244,Inputs!$H$8:$Q$8,0))),"-")</f>
        <v>0.17255000000000001</v>
      </c>
      <c r="K460" s="53" cm="1">
        <f t="array" ref="K460">IFERROR(
(IFERROR(INDEX(Calc_CPI_2[[CPI uplift factor]:[CPI uplift factor]],MATCH($C460,Calc_CPI_2[[Cost item]:[Cost item]],0),1),0)+
INDEX(Input_ForRateCalc[[F-CurrentVDO_InputDate]:[F-NextVDO_Input]],MATCH(Calc_EnviroVEU_2[[#This Row],[Cost item]:[Cost item]],Input_ForRateCalc[[Cost item]:[Cost item]],0),MATCH($D$244,Inputs!$H$8:$Q$8,0))),"-")</f>
        <v>0.17255000000000001</v>
      </c>
    </row>
    <row r="461" spans="1:11" outlineLevel="2" x14ac:dyDescent="0.35">
      <c r="C461" s="40" t="s">
        <v>314</v>
      </c>
      <c r="D461" s="40" t="s">
        <v>124</v>
      </c>
      <c r="E461" s="40" t="s">
        <v>284</v>
      </c>
      <c r="F461" s="21" t="s">
        <v>103</v>
      </c>
      <c r="G461" s="61">
        <f>IFERROR(
IFERROR(INDEX(Calc_CPI_2[CPI uplift factor],MATCH($C461,Calc_CPI_2[Cost item],0),1),0)+(G459*G460)/1000,"-")</f>
        <v>5.5870576816941407E-3</v>
      </c>
      <c r="H461" s="61">
        <f>IFERROR(
IFERROR(INDEX(Calc_CPI_2[CPI uplift factor],MATCH($C461,Calc_CPI_2[Cost item],0),1),0)+(H459*H460)/1000,"-")</f>
        <v>5.5870576816941407E-3</v>
      </c>
      <c r="I461" s="61">
        <f>IFERROR(
IFERROR(INDEX(Calc_CPI_2[CPI uplift factor],MATCH($C461,Calc_CPI_2[Cost item],0),1),0)+(I459*I460)/1000,"-")</f>
        <v>5.5870576816941407E-3</v>
      </c>
      <c r="J461" s="61">
        <f>IFERROR(
IFERROR(INDEX(Calc_CPI_2[CPI uplift factor],MATCH($C461,Calc_CPI_2[Cost item],0),1),0)+(J459*J460)/1000,"-")</f>
        <v>5.5870576816941407E-3</v>
      </c>
      <c r="K461" s="61">
        <f>IFERROR(
IFERROR(INDEX(Calc_CPI_2[CPI uplift factor],MATCH($C461,Calc_CPI_2[Cost item],0),1),0)+(K459*K460)/1000,"-")</f>
        <v>5.5870576816941407E-3</v>
      </c>
    </row>
    <row r="462" spans="1:11" outlineLevel="2" x14ac:dyDescent="0.35"/>
    <row r="463" spans="1:11" ht="15.5" outlineLevel="2" x14ac:dyDescent="0.35">
      <c r="C463" s="26" t="s">
        <v>315</v>
      </c>
    </row>
    <row r="464" spans="1:11" ht="15.5" outlineLevel="2" x14ac:dyDescent="0.35">
      <c r="C464" s="39" t="s">
        <v>42</v>
      </c>
      <c r="D464" s="39" t="s">
        <v>94</v>
      </c>
      <c r="E464" s="39" t="s">
        <v>95</v>
      </c>
      <c r="F464" s="39" t="s">
        <v>87</v>
      </c>
      <c r="G464" s="55" t="s">
        <v>270</v>
      </c>
      <c r="H464" s="55" t="s">
        <v>271</v>
      </c>
      <c r="I464" s="55" t="s">
        <v>272</v>
      </c>
      <c r="J464" s="55" t="s">
        <v>273</v>
      </c>
      <c r="K464" s="55" t="s">
        <v>274</v>
      </c>
    </row>
    <row r="465" spans="3:11" outlineLevel="2" x14ac:dyDescent="0.35">
      <c r="C465" s="21" t="s">
        <v>148</v>
      </c>
      <c r="D465" s="21" t="s">
        <v>124</v>
      </c>
      <c r="E465" s="21" t="s">
        <v>147</v>
      </c>
      <c r="F465" s="21" t="s">
        <v>103</v>
      </c>
      <c r="G465" s="56" cm="1">
        <f t="array" ref="G465">IFERROR(
(IFERROR(INDEX(Calc_CPI_2[[CPI uplift factor]:[CPI uplift factor]],MATCH($C465,Calc_CPI_2[[Cost item]:[Cost item]],0),1),0)+
INDEX(Input_ForRateCalc[[F-CurrentVDO_InputDate]:[F-NextVDO_Input]],MATCH(Calc_EnviroLRET_2[[#This Row],[Cost item]:[Cost item]],Input_ForRateCalc[[Cost item]:[Cost item]],0),MATCH($D$244,Inputs!$H$8:$Q$8,0))),"-")</f>
        <v>35.75</v>
      </c>
      <c r="H465" s="56" cm="1">
        <f t="array" ref="H465">IFERROR(
(IFERROR(INDEX(Calc_CPI_2[[CPI uplift factor]:[CPI uplift factor]],MATCH($C465,Calc_CPI_2[[Cost item]:[Cost item]],0),1),0)+
INDEX(Input_ForRateCalc[[F-CurrentVDO_InputDate]:[F-NextVDO_Input]],MATCH(Calc_EnviroLRET_2[[#This Row],[Cost item]:[Cost item]],Input_ForRateCalc[[Cost item]:[Cost item]],0),MATCH($D$244,Inputs!$H$8:$Q$8,0))),"-")</f>
        <v>35.75</v>
      </c>
      <c r="I465" s="56" cm="1">
        <f t="array" ref="I465">IFERROR(
(IFERROR(INDEX(Calc_CPI_2[[CPI uplift factor]:[CPI uplift factor]],MATCH($C465,Calc_CPI_2[[Cost item]:[Cost item]],0),1),0)+
INDEX(Input_ForRateCalc[[F-CurrentVDO_InputDate]:[F-NextVDO_Input]],MATCH(Calc_EnviroLRET_2[[#This Row],[Cost item]:[Cost item]],Input_ForRateCalc[[Cost item]:[Cost item]],0),MATCH($D$244,Inputs!$H$8:$Q$8,0))),"-")</f>
        <v>35.75</v>
      </c>
      <c r="J465" s="56" cm="1">
        <f t="array" ref="J465">IFERROR(
(IFERROR(INDEX(Calc_CPI_2[[CPI uplift factor]:[CPI uplift factor]],MATCH($C465,Calc_CPI_2[[Cost item]:[Cost item]],0),1),0)+
INDEX(Input_ForRateCalc[[F-CurrentVDO_InputDate]:[F-NextVDO_Input]],MATCH(Calc_EnviroLRET_2[[#This Row],[Cost item]:[Cost item]],Input_ForRateCalc[[Cost item]:[Cost item]],0),MATCH($D$244,Inputs!$H$8:$Q$8,0))),"-")</f>
        <v>35.75</v>
      </c>
      <c r="K465" s="56" cm="1">
        <f t="array" ref="K465">IFERROR(
(IFERROR(INDEX(Calc_CPI_2[[CPI uplift factor]:[CPI uplift factor]],MATCH($C465,Calc_CPI_2[[Cost item]:[Cost item]],0),1),0)+
INDEX(Input_ForRateCalc[[F-CurrentVDO_InputDate]:[F-NextVDO_Input]],MATCH(Calc_EnviroLRET_2[[#This Row],[Cost item]:[Cost item]],Input_ForRateCalc[[Cost item]:[Cost item]],0),MATCH($D$244,Inputs!$H$8:$Q$8,0))),"-")</f>
        <v>35.75</v>
      </c>
    </row>
    <row r="466" spans="3:11" outlineLevel="2" x14ac:dyDescent="0.35">
      <c r="C466" s="21" t="s">
        <v>152</v>
      </c>
      <c r="D466" s="21" t="s">
        <v>124</v>
      </c>
      <c r="E466" s="21" t="s">
        <v>151</v>
      </c>
      <c r="F466" s="21" t="s">
        <v>103</v>
      </c>
      <c r="G466" s="53" cm="1">
        <f t="array" ref="G466">IFERROR(
(IFERROR(INDEX(Calc_CPI_2[[CPI uplift factor]:[CPI uplift factor]],MATCH($C466,Calc_CPI_2[[Cost item]:[Cost item]],0),1),0)+
INDEX(Input_ForRateCalc[[F-CurrentVDO_InputDate]:[F-NextVDO_Input]],MATCH(Calc_EnviroLRET_2[[#This Row],[Cost item]:[Cost item]],Input_ForRateCalc[[Cost item]:[Cost item]],0),MATCH($D$244,Inputs!$H$8:$Q$8,0))),"-")</f>
        <v>0.17764411838867972</v>
      </c>
      <c r="H466" s="53" cm="1">
        <f t="array" ref="H466">IFERROR(
(IFERROR(INDEX(Calc_CPI_2[[CPI uplift factor]:[CPI uplift factor]],MATCH($C466,Calc_CPI_2[[Cost item]:[Cost item]],0),1),0)+
INDEX(Input_ForRateCalc[[F-CurrentVDO_InputDate]:[F-NextVDO_Input]],MATCH(Calc_EnviroLRET_2[[#This Row],[Cost item]:[Cost item]],Input_ForRateCalc[[Cost item]:[Cost item]],0),MATCH($D$244,Inputs!$H$8:$Q$8,0))),"-")</f>
        <v>0.17764411838867972</v>
      </c>
      <c r="I466" s="53" cm="1">
        <f t="array" ref="I466">IFERROR(
(IFERROR(INDEX(Calc_CPI_2[[CPI uplift factor]:[CPI uplift factor]],MATCH($C466,Calc_CPI_2[[Cost item]:[Cost item]],0),1),0)+
INDEX(Input_ForRateCalc[[F-CurrentVDO_InputDate]:[F-NextVDO_Input]],MATCH(Calc_EnviroLRET_2[[#This Row],[Cost item]:[Cost item]],Input_ForRateCalc[[Cost item]:[Cost item]],0),MATCH($D$244,Inputs!$H$8:$Q$8,0))),"-")</f>
        <v>0.17764411838867972</v>
      </c>
      <c r="J466" s="53" cm="1">
        <f t="array" ref="J466">IFERROR(
(IFERROR(INDEX(Calc_CPI_2[[CPI uplift factor]:[CPI uplift factor]],MATCH($C466,Calc_CPI_2[[Cost item]:[Cost item]],0),1),0)+
INDEX(Input_ForRateCalc[[F-CurrentVDO_InputDate]:[F-NextVDO_Input]],MATCH(Calc_EnviroLRET_2[[#This Row],[Cost item]:[Cost item]],Input_ForRateCalc[[Cost item]:[Cost item]],0),MATCH($D$244,Inputs!$H$8:$Q$8,0))),"-")</f>
        <v>0.17764411838867972</v>
      </c>
      <c r="K466" s="53" cm="1">
        <f t="array" ref="K466">IFERROR(
(IFERROR(INDEX(Calc_CPI_2[[CPI uplift factor]:[CPI uplift factor]],MATCH($C466,Calc_CPI_2[[Cost item]:[Cost item]],0),1),0)+
INDEX(Input_ForRateCalc[[F-CurrentVDO_InputDate]:[F-NextVDO_Input]],MATCH(Calc_EnviroLRET_2[[#This Row],[Cost item]:[Cost item]],Input_ForRateCalc[[Cost item]:[Cost item]],0),MATCH($D$244,Inputs!$H$8:$Q$8,0))),"-")</f>
        <v>0.17764411838867972</v>
      </c>
    </row>
    <row r="467" spans="3:11" outlineLevel="2" x14ac:dyDescent="0.35">
      <c r="C467" s="40" t="s">
        <v>316</v>
      </c>
      <c r="D467" s="40" t="s">
        <v>124</v>
      </c>
      <c r="E467" s="40" t="s">
        <v>284</v>
      </c>
      <c r="F467" s="21" t="s">
        <v>103</v>
      </c>
      <c r="G467" s="61">
        <f>IFERROR(
IFERROR(INDEX(Calc_CPI_2[CPI uplift factor],MATCH($C467,Calc_CPI_2[Cost item],0),1),0)+(G465*G466)/1000,"-")</f>
        <v>6.3507772323953002E-3</v>
      </c>
      <c r="H467" s="61">
        <f>IFERROR(
IFERROR(INDEX(Calc_CPI_2[CPI uplift factor],MATCH($C467,Calc_CPI_2[Cost item],0),1),0)+(H465*H466)/1000,"-")</f>
        <v>6.3507772323953002E-3</v>
      </c>
      <c r="I467" s="61">
        <f>IFERROR(
IFERROR(INDEX(Calc_CPI_2[CPI uplift factor],MATCH($C467,Calc_CPI_2[Cost item],0),1),0)+(I465*I466)/1000,"-")</f>
        <v>6.3507772323953002E-3</v>
      </c>
      <c r="J467" s="61">
        <f>IFERROR(
IFERROR(INDEX(Calc_CPI_2[CPI uplift factor],MATCH($C467,Calc_CPI_2[Cost item],0),1),0)+(J465*J466)/1000,"-")</f>
        <v>6.3507772323953002E-3</v>
      </c>
      <c r="K467" s="61">
        <f>IFERROR(
IFERROR(INDEX(Calc_CPI_2[CPI uplift factor],MATCH($C467,Calc_CPI_2[Cost item],0),1),0)+(K465*K466)/1000,"-")</f>
        <v>6.3507772323953002E-3</v>
      </c>
    </row>
    <row r="468" spans="3:11" outlineLevel="2" x14ac:dyDescent="0.35"/>
    <row r="469" spans="3:11" ht="15.5" outlineLevel="2" x14ac:dyDescent="0.35">
      <c r="C469" s="26" t="s">
        <v>317</v>
      </c>
    </row>
    <row r="470" spans="3:11" ht="15.5" outlineLevel="2" x14ac:dyDescent="0.35">
      <c r="C470" s="39" t="s">
        <v>42</v>
      </c>
      <c r="D470" s="39" t="s">
        <v>94</v>
      </c>
      <c r="E470" s="39" t="s">
        <v>95</v>
      </c>
      <c r="F470" s="39" t="s">
        <v>87</v>
      </c>
      <c r="G470" s="55" t="s">
        <v>270</v>
      </c>
      <c r="H470" s="55" t="s">
        <v>271</v>
      </c>
      <c r="I470" s="55" t="s">
        <v>272</v>
      </c>
      <c r="J470" s="55" t="s">
        <v>273</v>
      </c>
      <c r="K470" s="55" t="s">
        <v>274</v>
      </c>
    </row>
    <row r="471" spans="3:11" outlineLevel="2" x14ac:dyDescent="0.35">
      <c r="C471" s="21" t="s">
        <v>149</v>
      </c>
      <c r="D471" s="21" t="s">
        <v>124</v>
      </c>
      <c r="E471" s="21" t="s">
        <v>147</v>
      </c>
      <c r="F471" s="21" t="s">
        <v>103</v>
      </c>
      <c r="G471" s="56" cm="1">
        <f t="array" ref="G471">IFERROR(
(IFERROR(INDEX(Calc_CPI_2[[CPI uplift factor]:[CPI uplift factor]],MATCH($C471,Calc_CPI_2[[Cost item]:[Cost item]],0),1),0)+
INDEX(Input_ForRateCalc[[F-CurrentVDO_InputDate]:[F-NextVDO_Input]],MATCH(Calc_EnviroSRES_2[[#This Row],[Cost item]:[Cost item]],Input_ForRateCalc[[Cost item]:[Cost item]],0),MATCH($D$244,Inputs!$H$8:$Q$8,0))),"-")</f>
        <v>40</v>
      </c>
      <c r="H471" s="56" cm="1">
        <f t="array" ref="H471">IFERROR(
(IFERROR(INDEX(Calc_CPI_2[[CPI uplift factor]:[CPI uplift factor]],MATCH($C471,Calc_CPI_2[[Cost item]:[Cost item]],0),1),0)+
INDEX(Input_ForRateCalc[[F-CurrentVDO_InputDate]:[F-NextVDO_Input]],MATCH(Calc_EnviroSRES_2[[#This Row],[Cost item]:[Cost item]],Input_ForRateCalc[[Cost item]:[Cost item]],0),MATCH($D$244,Inputs!$H$8:$Q$8,0))),"-")</f>
        <v>40</v>
      </c>
      <c r="I471" s="56" cm="1">
        <f t="array" ref="I471">IFERROR(
(IFERROR(INDEX(Calc_CPI_2[[CPI uplift factor]:[CPI uplift factor]],MATCH($C471,Calc_CPI_2[[Cost item]:[Cost item]],0),1),0)+
INDEX(Input_ForRateCalc[[F-CurrentVDO_InputDate]:[F-NextVDO_Input]],MATCH(Calc_EnviroSRES_2[[#This Row],[Cost item]:[Cost item]],Input_ForRateCalc[[Cost item]:[Cost item]],0),MATCH($D$244,Inputs!$H$8:$Q$8,0))),"-")</f>
        <v>40</v>
      </c>
      <c r="J471" s="56" cm="1">
        <f t="array" ref="J471">IFERROR(
(IFERROR(INDEX(Calc_CPI_2[[CPI uplift factor]:[CPI uplift factor]],MATCH($C471,Calc_CPI_2[[Cost item]:[Cost item]],0),1),0)+
INDEX(Input_ForRateCalc[[F-CurrentVDO_InputDate]:[F-NextVDO_Input]],MATCH(Calc_EnviroSRES_2[[#This Row],[Cost item]:[Cost item]],Input_ForRateCalc[[Cost item]:[Cost item]],0),MATCH($D$244,Inputs!$H$8:$Q$8,0))),"-")</f>
        <v>40</v>
      </c>
      <c r="K471" s="56" cm="1">
        <f t="array" ref="K471">IFERROR(
(IFERROR(INDEX(Calc_CPI_2[[CPI uplift factor]:[CPI uplift factor]],MATCH($C471,Calc_CPI_2[[Cost item]:[Cost item]],0),1),0)+
INDEX(Input_ForRateCalc[[F-CurrentVDO_InputDate]:[F-NextVDO_Input]],MATCH(Calc_EnviroSRES_2[[#This Row],[Cost item]:[Cost item]],Input_ForRateCalc[[Cost item]:[Cost item]],0),MATCH($D$244,Inputs!$H$8:$Q$8,0))),"-")</f>
        <v>40</v>
      </c>
    </row>
    <row r="472" spans="3:11" outlineLevel="2" x14ac:dyDescent="0.35">
      <c r="C472" s="21" t="s">
        <v>153</v>
      </c>
      <c r="D472" s="21" t="s">
        <v>124</v>
      </c>
      <c r="E472" s="21" t="s">
        <v>151</v>
      </c>
      <c r="F472" s="21" t="s">
        <v>103</v>
      </c>
      <c r="G472" s="53" cm="1">
        <f t="array" ref="G472">IFERROR(
(IFERROR(INDEX(Calc_CPI_2[[CPI uplift factor]:[CPI uplift factor]],MATCH($C472,Calc_CPI_2[[Cost item]:[Cost item]],0),1),0)+
INDEX(Input_ForRateCalc[[F-CurrentVDO_InputDate]:[F-NextVDO_Input]],MATCH(Calc_EnviroSRES_2[[#This Row],[Cost item]:[Cost item]],Input_ForRateCalc[[Cost item]:[Cost item]],0),MATCH($D$244,Inputs!$H$8:$Q$8,0))),"-")</f>
        <v>0.28149999999999997</v>
      </c>
      <c r="H472" s="53" cm="1">
        <f t="array" ref="H472">IFERROR(
(IFERROR(INDEX(Calc_CPI_2[[CPI uplift factor]:[CPI uplift factor]],MATCH($C472,Calc_CPI_2[[Cost item]:[Cost item]],0),1),0)+
INDEX(Input_ForRateCalc[[F-CurrentVDO_InputDate]:[F-NextVDO_Input]],MATCH(Calc_EnviroSRES_2[[#This Row],[Cost item]:[Cost item]],Input_ForRateCalc[[Cost item]:[Cost item]],0),MATCH($D$244,Inputs!$H$8:$Q$8,0))),"-")</f>
        <v>0.28149999999999997</v>
      </c>
      <c r="I472" s="53" cm="1">
        <f t="array" ref="I472">IFERROR(
(IFERROR(INDEX(Calc_CPI_2[[CPI uplift factor]:[CPI uplift factor]],MATCH($C472,Calc_CPI_2[[Cost item]:[Cost item]],0),1),0)+
INDEX(Input_ForRateCalc[[F-CurrentVDO_InputDate]:[F-NextVDO_Input]],MATCH(Calc_EnviroSRES_2[[#This Row],[Cost item]:[Cost item]],Input_ForRateCalc[[Cost item]:[Cost item]],0),MATCH($D$244,Inputs!$H$8:$Q$8,0))),"-")</f>
        <v>0.28149999999999997</v>
      </c>
      <c r="J472" s="53" cm="1">
        <f t="array" ref="J472">IFERROR(
(IFERROR(INDEX(Calc_CPI_2[[CPI uplift factor]:[CPI uplift factor]],MATCH($C472,Calc_CPI_2[[Cost item]:[Cost item]],0),1),0)+
INDEX(Input_ForRateCalc[[F-CurrentVDO_InputDate]:[F-NextVDO_Input]],MATCH(Calc_EnviroSRES_2[[#This Row],[Cost item]:[Cost item]],Input_ForRateCalc[[Cost item]:[Cost item]],0),MATCH($D$244,Inputs!$H$8:$Q$8,0))),"-")</f>
        <v>0.28149999999999997</v>
      </c>
      <c r="K472" s="53" cm="1">
        <f t="array" ref="K472">IFERROR(
(IFERROR(INDEX(Calc_CPI_2[[CPI uplift factor]:[CPI uplift factor]],MATCH($C472,Calc_CPI_2[[Cost item]:[Cost item]],0),1),0)+
INDEX(Input_ForRateCalc[[F-CurrentVDO_InputDate]:[F-NextVDO_Input]],MATCH(Calc_EnviroSRES_2[[#This Row],[Cost item]:[Cost item]],Input_ForRateCalc[[Cost item]:[Cost item]],0),MATCH($D$244,Inputs!$H$8:$Q$8,0))),"-")</f>
        <v>0.28149999999999997</v>
      </c>
    </row>
    <row r="473" spans="3:11" outlineLevel="2" x14ac:dyDescent="0.35">
      <c r="C473" s="40" t="s">
        <v>318</v>
      </c>
      <c r="D473" s="40" t="s">
        <v>124</v>
      </c>
      <c r="E473" s="40" t="s">
        <v>284</v>
      </c>
      <c r="F473" s="21" t="s">
        <v>103</v>
      </c>
      <c r="G473" s="61">
        <f>IFERROR(
IFERROR(INDEX(Calc_CPI_2[CPI uplift factor],MATCH($C473,Calc_CPI_2[Cost item],0),1),0)+(G471*G472)/1000,"-")</f>
        <v>1.1259999999999997E-2</v>
      </c>
      <c r="H473" s="61">
        <f>IFERROR(
IFERROR(INDEX(Calc_CPI_2[CPI uplift factor],MATCH($C473,Calc_CPI_2[Cost item],0),1),0)+(H471*H472)/1000,"-")</f>
        <v>1.1259999999999997E-2</v>
      </c>
      <c r="I473" s="61">
        <f>IFERROR(
IFERROR(INDEX(Calc_CPI_2[CPI uplift factor],MATCH($C473,Calc_CPI_2[Cost item],0),1),0)+(I471*I472)/1000,"-")</f>
        <v>1.1259999999999997E-2</v>
      </c>
      <c r="J473" s="61">
        <f>IFERROR(
IFERROR(INDEX(Calc_CPI_2[CPI uplift factor],MATCH($C473,Calc_CPI_2[Cost item],0),1),0)+(J471*J472)/1000,"-")</f>
        <v>1.1259999999999997E-2</v>
      </c>
      <c r="K473" s="61">
        <f>IFERROR(
IFERROR(INDEX(Calc_CPI_2[CPI uplift factor],MATCH($C473,Calc_CPI_2[Cost item],0),1),0)+(K471*K472)/1000,"-")</f>
        <v>1.1259999999999997E-2</v>
      </c>
    </row>
    <row r="474" spans="3:11" outlineLevel="2" x14ac:dyDescent="0.35"/>
    <row r="475" spans="3:11" ht="15.5" outlineLevel="2" x14ac:dyDescent="0.35">
      <c r="C475" s="26" t="s">
        <v>319</v>
      </c>
    </row>
    <row r="476" spans="3:11" ht="15.5" outlineLevel="2" x14ac:dyDescent="0.35">
      <c r="C476" s="39" t="s">
        <v>42</v>
      </c>
      <c r="D476" s="39" t="s">
        <v>94</v>
      </c>
      <c r="E476" s="39" t="s">
        <v>95</v>
      </c>
      <c r="F476" s="39" t="s">
        <v>87</v>
      </c>
      <c r="G476" s="55" t="s">
        <v>270</v>
      </c>
      <c r="H476" s="55" t="s">
        <v>271</v>
      </c>
      <c r="I476" s="55" t="s">
        <v>272</v>
      </c>
      <c r="J476" s="55" t="s">
        <v>273</v>
      </c>
      <c r="K476" s="55" t="s">
        <v>274</v>
      </c>
    </row>
    <row r="477" spans="3:11" outlineLevel="2" x14ac:dyDescent="0.35">
      <c r="C477" s="40" t="s">
        <v>109</v>
      </c>
      <c r="D477" s="40" t="s">
        <v>101</v>
      </c>
      <c r="E477" s="21" t="s">
        <v>102</v>
      </c>
      <c r="F477" s="21" t="s">
        <v>103</v>
      </c>
      <c r="G477" s="56" cm="1">
        <f t="array" ref="G477">IFERROR(
(IFERROR(INDEX(Calc_CPI_2[[CPI uplift factor]:[CPI uplift factor]],MATCH($C477,Calc_CPI_2[[Cost item]:[Cost item]],0),1),0)+
INDEX(Input_ForRateCalc[[F-CurrentVDO_InputDate]:[F-NextVDO_Input]],MATCH(Calc_FiT_2[[#This Row],[Cost item]:[Cost item]],Input_ForRateCalc[[Cost item]:[Cost item]],0),MATCH($D$244,Inputs!$H$8:$Q$8,0))),"-")</f>
        <v>10.849248189087444</v>
      </c>
      <c r="H477" s="56" cm="1">
        <f t="array" ref="H477">IFERROR(
(IFERROR(INDEX(Calc_CPI_2[[CPI uplift factor]:[CPI uplift factor]],MATCH($C477,Calc_CPI_2[[Cost item]:[Cost item]],0),1),0)+
INDEX(Input_ForRateCalc[[F-CurrentVDO_InputDate]:[F-NextVDO_Input]],MATCH(Calc_FiT_2[[#This Row],[Cost item]:[Cost item]],Input_ForRateCalc[[Cost item]:[Cost item]],0),MATCH($D$244,Inputs!$H$8:$Q$8,0))),"-")</f>
        <v>10.849248189087444</v>
      </c>
      <c r="I477" s="56" cm="1">
        <f t="array" ref="I477">IFERROR(
(IFERROR(INDEX(Calc_CPI_2[[CPI uplift factor]:[CPI uplift factor]],MATCH($C477,Calc_CPI_2[[Cost item]:[Cost item]],0),1),0)+
INDEX(Input_ForRateCalc[[F-CurrentVDO_InputDate]:[F-NextVDO_Input]],MATCH(Calc_FiT_2[[#This Row],[Cost item]:[Cost item]],Input_ForRateCalc[[Cost item]:[Cost item]],0),MATCH($D$244,Inputs!$H$8:$Q$8,0))),"-")</f>
        <v>10.849248189087444</v>
      </c>
      <c r="J477" s="56" cm="1">
        <f t="array" ref="J477">IFERROR(
(IFERROR(INDEX(Calc_CPI_2[[CPI uplift factor]:[CPI uplift factor]],MATCH($C477,Calc_CPI_2[[Cost item]:[Cost item]],0),1),0)+
INDEX(Input_ForRateCalc[[F-CurrentVDO_InputDate]:[F-NextVDO_Input]],MATCH(Calc_FiT_2[[#This Row],[Cost item]:[Cost item]],Input_ForRateCalc[[Cost item]:[Cost item]],0),MATCH($D$244,Inputs!$H$8:$Q$8,0))),"-")</f>
        <v>10.849248189087444</v>
      </c>
      <c r="K477" s="56" cm="1">
        <f t="array" ref="K477">IFERROR(
(IFERROR(INDEX(Calc_CPI_2[[CPI uplift factor]:[CPI uplift factor]],MATCH($C477,Calc_CPI_2[[Cost item]:[Cost item]],0),1),0)+
INDEX(Input_ForRateCalc[[F-CurrentVDO_InputDate]:[F-NextVDO_Input]],MATCH(Calc_FiT_2[[#This Row],[Cost item]:[Cost item]],Input_ForRateCalc[[Cost item]:[Cost item]],0),MATCH($D$244,Inputs!$H$8:$Q$8,0))),"-")</f>
        <v>10.849248189087444</v>
      </c>
    </row>
    <row r="478" spans="3:11" outlineLevel="2" x14ac:dyDescent="0.35"/>
    <row r="479" spans="3:11" outlineLevel="1" collapsed="1" x14ac:dyDescent="0.35"/>
  </sheetData>
  <sheetProtection algorithmName="SHA-512" hashValue="paqVH6Dy5Ook1vrqzpSTiCn6V3RPFEpi0jTK32TxK5+MrmM2bLExi7OMQivpYhxj2EJAnPeE5VU+oKnEf2r+dQ==" saltValue="6yd/+HtrB+Ifuv5QuZMzHA==" spinCount="100000" sheet="1" objects="1" scenarios="1"/>
  <mergeCells count="1">
    <mergeCell ref="A2:A3"/>
  </mergeCells>
  <phoneticPr fontId="30" type="noConversion"/>
  <pageMargins left="0.7" right="0.7" top="0.75" bottom="0.75" header="0.3" footer="0.3"/>
  <pageSetup paperSize="9"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4">
        <x14:dataValidation type="list" allowBlank="1" showInputMessage="1" showErrorMessage="1" xr:uid="{C269C7C9-C23E-4503-AA68-2E4DCB6653BB}">
          <x14:formula1>
            <xm:f>'Lookup refs'!$C$8:$C$10</xm:f>
          </x14:formula1>
          <xm:sqref>D164:D165 D143:D148 D206:D208 D190:D201 E201 D159 D80:D85 E215 D212:D215 D238 D24:D30 D58:D64 D170:D176 D51:D56 D153:D155 D66:D71 D87:D92 D94:D99 D101:D107 D109:D114 D116:D121 D123:D128 D73:D78 D403:D404 D382:D387 D445:D447 D429:D440 E440 D398 D319:D324 E454 D451:D454 D41:D47 D477 D421:D427 D263:D269 D297:D303 D409:D415 D290:D295 D392:D394 D305:D310 D326:D331 D333:D338 D340:D346 D348:D353 D355:D360 D362:D367 D312:D317 D130:D135 D369:D374 D182:D188 D10:D22 D32:D39 D249:D261 D271:D278 D280:D286 D459:D463 D465:D469 D471:D473 D220:D224 D226:D230 D232:D234</xm:sqref>
        </x14:dataValidation>
        <x14:dataValidation type="list" allowBlank="1" showInputMessage="1" showErrorMessage="1" xr:uid="{33FF5899-A62D-484E-AA27-47145712B4A0}">
          <x14:formula1>
            <xm:f>'Lookup refs'!$E$8:$E$18</xm:f>
          </x14:formula1>
          <xm:sqref>E222:E224 E238 E228:E230 E369:E374 E153:E155 E159 E164:E165 E206:E208 E66:E71 E170:E176 E24:E30 E234 E355:E360 E190:E200 E51:E56 E212:E214 E73:E78 E80:E85 E87:E92 E94:E99 E101:E107 E109:E114 E58:E64 E116:E121 E41:E47 E297:E303 E477 E362:E367 E392:E394 E398 E403:E404 E445:E447 E305:E310 E409:E415 E263:E269 E421:E427 E123:E128 E429:E439 E290:E295 E451:E453 E130:E135 E312:E317 E319:E324 E326:E331 E333:E338 E340:E346 E348:E353 E459:E463 E465:E469 E471:E473 E220:E221 E226:E227 E232:E233 E182:E188 E10:E22 E32:E39 E249:E261 E271:E278 E280:E286</xm:sqref>
        </x14:dataValidation>
        <x14:dataValidation type="list" allowBlank="1" showInputMessage="1" showErrorMessage="1" xr:uid="{DAD79D20-6C02-417F-980C-C7F87801265D}">
          <x14:formula1>
            <xm:f>'Lookup refs'!$G$8:$G$10</xm:f>
          </x14:formula1>
          <xm:sqref>F170:F176 F153:F155 F159 F164:F165 F190:F200 F238 F206:F208 F24:F30 F212:F214 F305:F310 F340:F346 F51:F56 F73:F78 F58:F64 F80:F85 F101:F107 F87:F92 F116:F121 F123:F128 F109:F114 F66:F71 F94:F99 F409:F415 F392:F394 F398 F403:F404 F429:F439 F477 F445:F447 F41:F47 F263:F269 F451:F453 F421:F425 F130:F135 F333:F338 F290:F295 F312:F317 F297:F303 F319:F324 F348:F353 F326:F331 F362:F367 F355:F360 F369:F374 F182:F186 F10:F22 F32:F39 F249:F261 F271:F278 F280:F286 F459:F461 F465:F467 F471:F473 F220:F222 F226:F228 F232:F234</xm:sqref>
        </x14:dataValidation>
        <x14:dataValidation type="list" allowBlank="1" showInputMessage="1" showErrorMessage="1" xr:uid="{56A8F8AC-D35F-4FA4-B420-2499072F1B02}">
          <x14:formula1>
            <xm:f>Inputs!$I$129:$M$129</xm:f>
          </x14:formula1>
          <xm:sqref>D5 D244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sheetPr>
  <dimension ref="A1:X63"/>
  <sheetViews>
    <sheetView showGridLines="0" topLeftCell="B1" zoomScale="85" zoomScaleNormal="85" workbookViewId="0">
      <pane ySplit="3" topLeftCell="A4" activePane="bottomLeft" state="frozen"/>
      <selection pane="bottomLeft" activeCell="I60" sqref="I60"/>
    </sheetView>
  </sheetViews>
  <sheetFormatPr defaultColWidth="9.1796875" defaultRowHeight="14.5" outlineLevelCol="1" x14ac:dyDescent="0.35"/>
  <cols>
    <col min="1" max="1" width="100.7265625" hidden="1" customWidth="1" outlineLevel="1"/>
    <col min="2" max="2" width="10.7265625" style="7" customWidth="1" collapsed="1"/>
    <col min="3" max="3" width="28.7265625" customWidth="1"/>
    <col min="4" max="10" width="20.54296875" customWidth="1"/>
    <col min="11" max="11" width="5.54296875" customWidth="1"/>
    <col min="12" max="12" width="23.81640625" customWidth="1"/>
    <col min="13" max="24" width="20.54296875" customWidth="1"/>
  </cols>
  <sheetData>
    <row r="1" spans="1:24" ht="15" customHeight="1" x14ac:dyDescent="0.35">
      <c r="A1" s="2" t="s">
        <v>19</v>
      </c>
      <c r="B1" s="19"/>
      <c r="C1" s="20"/>
      <c r="D1" s="20"/>
      <c r="E1" s="20"/>
      <c r="F1" s="96" t="s">
        <v>385</v>
      </c>
      <c r="G1" s="83"/>
      <c r="H1" s="20"/>
      <c r="I1" s="20"/>
      <c r="J1" s="20"/>
      <c r="K1" s="20"/>
      <c r="L1" s="20"/>
      <c r="M1" s="20"/>
      <c r="N1" s="20"/>
      <c r="O1" s="20"/>
      <c r="P1" s="20"/>
      <c r="Q1" s="20"/>
      <c r="R1" s="20"/>
      <c r="S1" s="20"/>
      <c r="T1" s="20"/>
      <c r="U1" s="20"/>
      <c r="V1" s="20"/>
      <c r="W1" s="20"/>
      <c r="X1" s="20"/>
    </row>
    <row r="2" spans="1:24" s="5" customFormat="1" ht="50.15" customHeight="1" x14ac:dyDescent="0.35">
      <c r="A2" s="110" t="s">
        <v>20</v>
      </c>
      <c r="B2" s="22"/>
      <c r="C2" s="22" t="str">
        <f>Disclaimer!$B$1</f>
        <v>VDO calculation model</v>
      </c>
      <c r="D2" s="22"/>
      <c r="E2" s="22"/>
      <c r="F2" s="107" t="str">
        <f>Calc_Rates!$D$5</f>
        <v>VDO 2021 - Final</v>
      </c>
      <c r="G2" s="107" t="str">
        <f>Calc_Rates!$D$244</f>
        <v>VDO 2021 - Variation draft</v>
      </c>
      <c r="H2" s="22"/>
      <c r="I2" s="22"/>
      <c r="J2" s="22"/>
      <c r="K2" s="22"/>
      <c r="L2" s="22"/>
      <c r="M2" s="22"/>
      <c r="N2" s="22"/>
      <c r="O2" s="22"/>
      <c r="P2" s="22"/>
      <c r="Q2" s="22"/>
      <c r="R2" s="22"/>
      <c r="S2" s="22"/>
      <c r="T2" s="22"/>
      <c r="U2" s="22"/>
      <c r="V2" s="22"/>
      <c r="W2" s="22"/>
      <c r="X2" s="22"/>
    </row>
    <row r="3" spans="1:24" s="5" customFormat="1" ht="30" customHeight="1" x14ac:dyDescent="0.35">
      <c r="A3" s="111"/>
      <c r="B3" s="24">
        <f ca="1">_xlfn.SHEET()</f>
        <v>10</v>
      </c>
      <c r="C3" s="23" t="str">
        <f>"VDO rates"</f>
        <v>VDO rates</v>
      </c>
      <c r="D3" s="23"/>
      <c r="E3" s="23"/>
      <c r="F3" s="82">
        <f>SUM(F20:J27)+SUM(O20:S27)</f>
        <v>0</v>
      </c>
      <c r="G3" s="82">
        <f>SUM(F46:J53)+SUM(O46:S53)</f>
        <v>0</v>
      </c>
      <c r="H3" s="23"/>
      <c r="I3" s="23"/>
      <c r="J3" s="23"/>
      <c r="K3" s="23"/>
      <c r="L3" s="23"/>
      <c r="M3" s="23"/>
      <c r="N3" s="23"/>
      <c r="O3" s="23"/>
      <c r="P3" s="23"/>
      <c r="Q3" s="23"/>
      <c r="R3" s="23"/>
      <c r="S3" s="23"/>
      <c r="T3" s="23"/>
      <c r="U3" s="23"/>
      <c r="V3" s="23"/>
      <c r="W3" s="23"/>
      <c r="X3" s="23"/>
    </row>
    <row r="4" spans="1:24" x14ac:dyDescent="0.35">
      <c r="B4"/>
    </row>
    <row r="5" spans="1:24" ht="16" thickBot="1" x14ac:dyDescent="0.4">
      <c r="A5" s="2" t="s">
        <v>22</v>
      </c>
      <c r="B5" s="8">
        <f ca="1">MAX(B$3:B4)+0.1</f>
        <v>10.1</v>
      </c>
      <c r="C5" s="25" t="str">
        <f>"VDO rates - "&amp;Calc_Rates!$D$5</f>
        <v>VDO rates - VDO 2021 - Final</v>
      </c>
      <c r="D5" s="25"/>
      <c r="E5" s="25"/>
      <c r="F5" s="25"/>
      <c r="G5" s="25"/>
      <c r="H5" s="25"/>
      <c r="I5" s="25"/>
      <c r="J5" s="25"/>
      <c r="K5" s="25"/>
      <c r="L5" s="25"/>
      <c r="M5" s="25"/>
      <c r="N5" s="25"/>
      <c r="O5" s="25"/>
      <c r="P5" s="25"/>
      <c r="Q5" s="25"/>
      <c r="R5" s="25"/>
      <c r="S5" s="25"/>
      <c r="T5" s="25"/>
      <c r="U5" s="25"/>
      <c r="V5" s="25"/>
      <c r="W5" s="25"/>
      <c r="X5" s="25"/>
    </row>
    <row r="7" spans="1:24" ht="15.5" x14ac:dyDescent="0.35">
      <c r="C7" s="26" t="s">
        <v>320</v>
      </c>
      <c r="H7" s="75"/>
      <c r="L7" s="26" t="s">
        <v>321</v>
      </c>
      <c r="Q7" s="75"/>
    </row>
    <row r="8" spans="1:24" ht="15.5" x14ac:dyDescent="0.35">
      <c r="C8" s="39" t="s">
        <v>322</v>
      </c>
      <c r="D8" s="39" t="s">
        <v>95</v>
      </c>
      <c r="E8" s="39" t="s">
        <v>87</v>
      </c>
      <c r="F8" s="55" t="s">
        <v>270</v>
      </c>
      <c r="G8" s="55" t="s">
        <v>271</v>
      </c>
      <c r="H8" s="55" t="s">
        <v>272</v>
      </c>
      <c r="I8" s="55" t="s">
        <v>273</v>
      </c>
      <c r="J8" s="73" t="s">
        <v>274</v>
      </c>
      <c r="L8" s="39" t="s">
        <v>322</v>
      </c>
      <c r="M8" s="39" t="s">
        <v>95</v>
      </c>
      <c r="N8" s="39" t="s">
        <v>87</v>
      </c>
      <c r="O8" s="55" t="s">
        <v>270</v>
      </c>
      <c r="P8" s="55" t="s">
        <v>271</v>
      </c>
      <c r="Q8" s="55" t="s">
        <v>272</v>
      </c>
      <c r="R8" s="55" t="s">
        <v>273</v>
      </c>
      <c r="S8" s="73" t="s">
        <v>274</v>
      </c>
    </row>
    <row r="9" spans="1:24" x14ac:dyDescent="0.35">
      <c r="C9" s="21" t="s">
        <v>380</v>
      </c>
      <c r="D9" s="21" t="s">
        <v>102</v>
      </c>
      <c r="E9" s="21" t="s">
        <v>88</v>
      </c>
      <c r="F9" s="57">
        <f>SUMIFS(Calc_Rates!G$17:G$47,Calc_Rates!$C$17:$C$47,OP_Rates!$C9,Calc_Rates!$F$17:$F$47,OP_Rates!$E9)</f>
        <v>1.1643139530913376</v>
      </c>
      <c r="G9" s="57">
        <f>SUMIFS(Calc_Rates!H$17:H$47,Calc_Rates!$C$17:$C$47,OP_Rates!$C9,Calc_Rates!$F$17:$F$47,OP_Rates!$E9)</f>
        <v>1.1329958380228442</v>
      </c>
      <c r="H9" s="57">
        <f>SUMIFS(Calc_Rates!I$17:I$47,Calc_Rates!$C$17:$C$47,OP_Rates!$C9,Calc_Rates!$F$17:$F$47,OP_Rates!$E9)</f>
        <v>1.0675154117214742</v>
      </c>
      <c r="I9" s="57">
        <f>SUMIFS(Calc_Rates!J$17:J$47,Calc_Rates!$C$17:$C$47,OP_Rates!$C9,Calc_Rates!$F$17:$F$47,OP_Rates!$E9)</f>
        <v>1.2918234215844884</v>
      </c>
      <c r="J9" s="81">
        <f>SUMIFS(Calc_Rates!K$17:K$47,Calc_Rates!$C$17:$C$47,OP_Rates!$C9,Calc_Rates!$F$17:$F$47,OP_Rates!$E9)</f>
        <v>0.98241322761188532</v>
      </c>
      <c r="L9" s="21" t="s">
        <v>380</v>
      </c>
      <c r="M9" s="21" t="s">
        <v>102</v>
      </c>
      <c r="N9" s="21" t="s">
        <v>89</v>
      </c>
      <c r="O9" s="57">
        <f>IF(SUMIFS(Calc_Rates!G$17:G$47,Calc_Rates!$C$17:$C$47,OP_Rates!$L9,Calc_Rates!$F$17:$F$47,OP_Rates!$N9)=0,"-",SUMIFS(Calc_Rates!G$17:G$47,Calc_Rates!$C$17:$C$47,OP_Rates!$L9,Calc_Rates!$F$17:$F$47,OP_Rates!$N9))</f>
        <v>1.1643139530913376</v>
      </c>
      <c r="P9" s="57">
        <f>IF(SUMIFS(Calc_Rates!H$17:H$47,Calc_Rates!$C$17:$C$47,OP_Rates!$L9,Calc_Rates!$F$17:$F$47,OP_Rates!$N9)=0,"-",SUMIFS(Calc_Rates!H$17:H$47,Calc_Rates!$C$17:$C$47,OP_Rates!$L9,Calc_Rates!$F$17:$F$47,OP_Rates!$N9))</f>
        <v>1.3566966599406525</v>
      </c>
      <c r="Q9" s="57">
        <f>IF(SUMIFS(Calc_Rates!I$17:I$47,Calc_Rates!$C$17:$C$47,OP_Rates!$L9,Calc_Rates!$F$17:$F$47,OP_Rates!$N9)=0,"-",SUMIFS(Calc_Rates!I$17:I$47,Calc_Rates!$C$17:$C$47,OP_Rates!$L9,Calc_Rates!$F$17:$F$47,OP_Rates!$N9))</f>
        <v>1.2263781482694198</v>
      </c>
      <c r="R9" s="57">
        <f>IF(SUMIFS(Calc_Rates!J$17:J$47,Calc_Rates!$C$17:$C$47,OP_Rates!$L9,Calc_Rates!$F$17:$F$47,OP_Rates!$N9)=0,"-",SUMIFS(Calc_Rates!J$17:J$47,Calc_Rates!$C$17:$C$47,OP_Rates!$L9,Calc_Rates!$F$17:$F$47,OP_Rates!$N9))</f>
        <v>1.4196524626803786</v>
      </c>
      <c r="S9" s="57">
        <f>IF(SUMIFS(Calc_Rates!K$17:K$47,Calc_Rates!$C$17:$C$47,OP_Rates!$L9,Calc_Rates!$F$17:$F$47,OP_Rates!$N9)=0,"-",SUMIFS(Calc_Rates!K$17:K$47,Calc_Rates!$C$17:$C$47,OP_Rates!$L9,Calc_Rates!$F$17:$F$47,OP_Rates!$N9))</f>
        <v>1.0463341396118855</v>
      </c>
    </row>
    <row r="10" spans="1:24" x14ac:dyDescent="0.35">
      <c r="C10" s="21" t="s">
        <v>323</v>
      </c>
      <c r="D10" s="21" t="s">
        <v>284</v>
      </c>
      <c r="E10" s="21" t="s">
        <v>88</v>
      </c>
      <c r="F10" s="57">
        <f>IF(SUMIFS(Calc_Rates!G$60:G$135,Calc_Rates!$C$60:$C$135,OP_Rates!$C10,Calc_Rates!$F$60:$F$135,OP_Rates!$E10)=0,"-",SUMIFS(Calc_Rates!G$60:G$135,Calc_Rates!$C$60:$C$135,OP_Rates!$C10,Calc_Rates!$F$60:$F$135,OP_Rates!$E10))</f>
        <v>0.27028964973702396</v>
      </c>
      <c r="G10" s="57" t="str">
        <f>IF(SUMIFS(Calc_Rates!H$60:H$135,Calc_Rates!$C$60:$C$135,OP_Rates!$C10,Calc_Rates!$F$60:$F$135,OP_Rates!$E10)=0,"-",SUMIFS(Calc_Rates!H$60:H$135,Calc_Rates!$C$60:$C$135,OP_Rates!$C10,Calc_Rates!$F$60:$F$135,OP_Rates!$E10))</f>
        <v>-</v>
      </c>
      <c r="H10" s="57" t="str">
        <f>IF(SUMIFS(Calc_Rates!I$60:I$135,Calc_Rates!$C$60:$C$135,OP_Rates!$C10,Calc_Rates!$F$60:$F$135,OP_Rates!$E10)=0,"-",SUMIFS(Calc_Rates!I$60:I$135,Calc_Rates!$C$60:$C$135,OP_Rates!$C10,Calc_Rates!$F$60:$F$135,OP_Rates!$E10))</f>
        <v>-</v>
      </c>
      <c r="I10" s="57" t="str">
        <f>IF(SUMIFS(Calc_Rates!J$60:J$135,Calc_Rates!$C$60:$C$135,OP_Rates!$C10,Calc_Rates!$F$60:$F$135,OP_Rates!$E10)=0,"-",SUMIFS(Calc_Rates!J$60:J$135,Calc_Rates!$C$60:$C$135,OP_Rates!$C10,Calc_Rates!$F$60:$F$135,OP_Rates!$E10))</f>
        <v>-</v>
      </c>
      <c r="J10" s="57" t="str">
        <f>IF(SUMIFS(Calc_Rates!K$60:K$135,Calc_Rates!$C$60:$C$135,OP_Rates!$C10,Calc_Rates!$F$60:$F$135,OP_Rates!$E10)=0,"-",SUMIFS(Calc_Rates!K$60:K$135,Calc_Rates!$C$60:$C$135,OP_Rates!$C10,Calc_Rates!$F$60:$F$135,OP_Rates!$E10))</f>
        <v>-</v>
      </c>
      <c r="L10" s="21" t="s">
        <v>323</v>
      </c>
      <c r="M10" s="21" t="s">
        <v>284</v>
      </c>
      <c r="N10" s="21" t="s">
        <v>89</v>
      </c>
      <c r="O10" s="57">
        <f>IF(SUMIFS(Calc_Rates!G$60:G$135,Calc_Rates!$C$60:$C$135,OP_Rates!$L10,Calc_Rates!$F$60:$F$135,OP_Rates!$N10)=0,"-",SUMIFS(Calc_Rates!G$60:G$135,Calc_Rates!$C$60:$C$135,OP_Rates!$L10,Calc_Rates!$F$60:$F$135,OP_Rates!$N10))</f>
        <v>0.29545622046732462</v>
      </c>
      <c r="P10" s="57" t="str">
        <f>IF(SUMIFS(Calc_Rates!H$60:H$135,Calc_Rates!$C$60:$C$135,OP_Rates!$L10,Calc_Rates!$F$60:$F$135,OP_Rates!$N10)=0,"-",SUMIFS(Calc_Rates!H$60:H$135,Calc_Rates!$C$60:$C$135,OP_Rates!$L10,Calc_Rates!$F$60:$F$135,OP_Rates!$N10))</f>
        <v>-</v>
      </c>
      <c r="Q10" s="57" t="str">
        <f>IF(SUMIFS(Calc_Rates!I$60:I$135,Calc_Rates!$C$60:$C$135,OP_Rates!$L10,Calc_Rates!$F$60:$F$135,OP_Rates!$N10)=0,"-",SUMIFS(Calc_Rates!I$60:I$135,Calc_Rates!$C$60:$C$135,OP_Rates!$L10,Calc_Rates!$F$60:$F$135,OP_Rates!$N10))</f>
        <v>-</v>
      </c>
      <c r="R10" s="57" t="str">
        <f>IF(SUMIFS(Calc_Rates!J$60:J$135,Calc_Rates!$C$60:$C$135,OP_Rates!$L10,Calc_Rates!$F$60:$F$135,OP_Rates!$N10)=0,"-",SUMIFS(Calc_Rates!J$60:J$135,Calc_Rates!$C$60:$C$135,OP_Rates!$L10,Calc_Rates!$F$60:$F$135,OP_Rates!$N10))</f>
        <v>-</v>
      </c>
      <c r="S10" s="57" t="str">
        <f>IF(SUMIFS(Calc_Rates!K$60:K$135,Calc_Rates!$C$60:$C$135,OP_Rates!$L10,Calc_Rates!$F$60:$F$135,OP_Rates!$N10)=0,"-",SUMIFS(Calc_Rates!K$60:K$135,Calc_Rates!$C$60:$C$135,OP_Rates!$L10,Calc_Rates!$F$60:$F$135,OP_Rates!$N10))</f>
        <v>-</v>
      </c>
    </row>
    <row r="11" spans="1:24" x14ac:dyDescent="0.35">
      <c r="C11" s="21" t="s">
        <v>324</v>
      </c>
      <c r="D11" s="21" t="s">
        <v>284</v>
      </c>
      <c r="E11" s="21" t="s">
        <v>88</v>
      </c>
      <c r="F11" s="57">
        <f>IF(SUMIFS(Calc_Rates!G$60:G$135,Calc_Rates!$C$60:$C$135,OP_Rates!$C11,Calc_Rates!$F$60:$F$135,OP_Rates!$E11)=0,"-",SUMIFS(Calc_Rates!G$60:G$135,Calc_Rates!$C$60:$C$135,OP_Rates!$C11,Calc_Rates!$F$60:$F$135,OP_Rates!$E11))</f>
        <v>0.288237662017024</v>
      </c>
      <c r="G11" s="57" t="str">
        <f>IF(SUMIFS(Calc_Rates!H$60:H$135,Calc_Rates!$C$60:$C$135,OP_Rates!$C11,Calc_Rates!$F$60:$F$135,OP_Rates!$E11)=0,"-",SUMIFS(Calc_Rates!H$60:H$135,Calc_Rates!$C$60:$C$135,OP_Rates!$C11,Calc_Rates!$F$60:$F$135,OP_Rates!$E11))</f>
        <v>-</v>
      </c>
      <c r="H11" s="57" t="str">
        <f>IF(SUMIFS(Calc_Rates!I$60:I$135,Calc_Rates!$C$60:$C$135,OP_Rates!$C11,Calc_Rates!$F$60:$F$135,OP_Rates!$E11)=0,"-",SUMIFS(Calc_Rates!I$60:I$135,Calc_Rates!$C$60:$C$135,OP_Rates!$C11,Calc_Rates!$F$60:$F$135,OP_Rates!$E11))</f>
        <v>-</v>
      </c>
      <c r="I11" s="57" t="str">
        <f>IF(SUMIFS(Calc_Rates!J$60:J$135,Calc_Rates!$C$60:$C$135,OP_Rates!$C11,Calc_Rates!$F$60:$F$135,OP_Rates!$E11)=0,"-",SUMIFS(Calc_Rates!J$60:J$135,Calc_Rates!$C$60:$C$135,OP_Rates!$C11,Calc_Rates!$F$60:$F$135,OP_Rates!$E11))</f>
        <v>-</v>
      </c>
      <c r="J11" s="57" t="str">
        <f>IF(SUMIFS(Calc_Rates!K$60:K$135,Calc_Rates!$C$60:$C$135,OP_Rates!$C11,Calc_Rates!$F$60:$F$135,OP_Rates!$E11)=0,"-",SUMIFS(Calc_Rates!K$60:K$135,Calc_Rates!$C$60:$C$135,OP_Rates!$C11,Calc_Rates!$F$60:$F$135,OP_Rates!$E11))</f>
        <v>-</v>
      </c>
      <c r="L11" s="21" t="s">
        <v>324</v>
      </c>
      <c r="M11" s="21" t="s">
        <v>284</v>
      </c>
      <c r="N11" s="21" t="s">
        <v>89</v>
      </c>
      <c r="O11" s="57">
        <f>IF(SUMIFS(Calc_Rates!G$60:G$135,Calc_Rates!$C$60:$C$135,OP_Rates!$L11,Calc_Rates!$F$60:$F$135,OP_Rates!$N11)=0,"-",SUMIFS(Calc_Rates!G$60:G$135,Calc_Rates!$C$60:$C$135,OP_Rates!$L11,Calc_Rates!$F$60:$F$135,OP_Rates!$N11))</f>
        <v>0.33015431114732463</v>
      </c>
      <c r="P11" s="57" t="str">
        <f>IF(SUMIFS(Calc_Rates!H$60:H$135,Calc_Rates!$C$60:$C$135,OP_Rates!$L11,Calc_Rates!$F$60:$F$135,OP_Rates!$N11)=0,"-",SUMIFS(Calc_Rates!H$60:H$135,Calc_Rates!$C$60:$C$135,OP_Rates!$L11,Calc_Rates!$F$60:$F$135,OP_Rates!$N11))</f>
        <v>-</v>
      </c>
      <c r="Q11" s="57" t="str">
        <f>IF(SUMIFS(Calc_Rates!I$60:I$135,Calc_Rates!$C$60:$C$135,OP_Rates!$L11,Calc_Rates!$F$60:$F$135,OP_Rates!$N11)=0,"-",SUMIFS(Calc_Rates!I$60:I$135,Calc_Rates!$C$60:$C$135,OP_Rates!$L11,Calc_Rates!$F$60:$F$135,OP_Rates!$N11))</f>
        <v>-</v>
      </c>
      <c r="R11" s="57" t="str">
        <f>IF(SUMIFS(Calc_Rates!J$60:J$135,Calc_Rates!$C$60:$C$135,OP_Rates!$L11,Calc_Rates!$F$60:$F$135,OP_Rates!$N11)=0,"-",SUMIFS(Calc_Rates!J$60:J$135,Calc_Rates!$C$60:$C$135,OP_Rates!$L11,Calc_Rates!$F$60:$F$135,OP_Rates!$N11))</f>
        <v>-</v>
      </c>
      <c r="S11" s="57" t="str">
        <f>IF(SUMIFS(Calc_Rates!K$60:K$135,Calc_Rates!$C$60:$C$135,OP_Rates!$L11,Calc_Rates!$F$60:$F$135,OP_Rates!$N11)=0,"-",SUMIFS(Calc_Rates!K$60:K$135,Calc_Rates!$C$60:$C$135,OP_Rates!$L11,Calc_Rates!$F$60:$F$135,OP_Rates!$N11))</f>
        <v>-</v>
      </c>
    </row>
    <row r="12" spans="1:24" x14ac:dyDescent="0.35">
      <c r="C12" s="21" t="s">
        <v>325</v>
      </c>
      <c r="D12" s="21" t="s">
        <v>284</v>
      </c>
      <c r="E12" s="21" t="s">
        <v>88</v>
      </c>
      <c r="F12" s="57" t="str">
        <f>IF(SUMIFS(Calc_Rates!G$60:G$135,Calc_Rates!$C$60:$C$135,OP_Rates!$C12,Calc_Rates!$F$60:$F$135,OP_Rates!$E12)=0,"-",SUMIFS(Calc_Rates!G$60:G$135,Calc_Rates!$C$60:$C$135,OP_Rates!$C12,Calc_Rates!$F$60:$F$135,OP_Rates!$E12))</f>
        <v>-</v>
      </c>
      <c r="G12" s="57">
        <f>IF(SUMIFS(Calc_Rates!H$60:H$135,Calc_Rates!$C$60:$C$135,OP_Rates!$C12,Calc_Rates!$F$60:$F$135,OP_Rates!$E12)=0,"-",SUMIFS(Calc_Rates!H$60:H$135,Calc_Rates!$C$60:$C$135,OP_Rates!$C12,Calc_Rates!$F$60:$F$135,OP_Rates!$E12))</f>
        <v>0.21397794983227575</v>
      </c>
      <c r="H12" s="57">
        <f>IF(SUMIFS(Calc_Rates!I$60:I$135,Calc_Rates!$C$60:$C$135,OP_Rates!$C12,Calc_Rates!$F$60:$F$135,OP_Rates!$E12)=0,"-",SUMIFS(Calc_Rates!I$60:I$135,Calc_Rates!$C$60:$C$135,OP_Rates!$C12,Calc_Rates!$F$60:$F$135,OP_Rates!$E12))</f>
        <v>0.23436276603406417</v>
      </c>
      <c r="I12" s="57">
        <f>IF(SUMIFS(Calc_Rates!J$60:J$135,Calc_Rates!$C$60:$C$135,OP_Rates!$C12,Calc_Rates!$F$60:$F$135,OP_Rates!$E12)=0,"-",SUMIFS(Calc_Rates!J$60:J$135,Calc_Rates!$C$60:$C$135,OP_Rates!$C12,Calc_Rates!$F$60:$F$135,OP_Rates!$E12))</f>
        <v>0.22402012546340738</v>
      </c>
      <c r="J12" s="57">
        <f>IF(SUMIFS(Calc_Rates!K$60:K$135,Calc_Rates!$C$60:$C$135,OP_Rates!$C12,Calc_Rates!$F$60:$F$135,OP_Rates!$E12)=0,"-",SUMIFS(Calc_Rates!K$60:K$135,Calc_Rates!$C$60:$C$135,OP_Rates!$C12,Calc_Rates!$F$60:$F$135,OP_Rates!$E12))</f>
        <v>0.23997068438905023</v>
      </c>
      <c r="L12" s="21" t="s">
        <v>325</v>
      </c>
      <c r="M12" s="21" t="s">
        <v>284</v>
      </c>
      <c r="N12" s="21" t="s">
        <v>89</v>
      </c>
      <c r="O12" s="57" t="str">
        <f>IF(SUMIFS(Calc_Rates!G$60:G$135,Calc_Rates!$C$60:$C$135,OP_Rates!$L12,Calc_Rates!$F$60:$F$135,OP_Rates!$N12)=0,"-",SUMIFS(Calc_Rates!G$60:G$135,Calc_Rates!$C$60:$C$135,OP_Rates!$L12,Calc_Rates!$F$60:$F$135,OP_Rates!$N12))</f>
        <v>-</v>
      </c>
      <c r="P12" s="57">
        <f>IF(SUMIFS(Calc_Rates!H$60:H$135,Calc_Rates!$C$60:$C$135,OP_Rates!$L12,Calc_Rates!$F$60:$F$135,OP_Rates!$N12)=0,"-",SUMIFS(Calc_Rates!H$60:H$135,Calc_Rates!$C$60:$C$135,OP_Rates!$L12,Calc_Rates!$F$60:$F$135,OP_Rates!$N12))</f>
        <v>0.22177428039519703</v>
      </c>
      <c r="Q12" s="57">
        <f>IF(SUMIFS(Calc_Rates!I$60:I$135,Calc_Rates!$C$60:$C$135,OP_Rates!$L12,Calc_Rates!$F$60:$F$135,OP_Rates!$N12)=0,"-",SUMIFS(Calc_Rates!I$60:I$135,Calc_Rates!$C$60:$C$135,OP_Rates!$L12,Calc_Rates!$F$60:$F$135,OP_Rates!$N12))</f>
        <v>0.2404706140821572</v>
      </c>
      <c r="R12" s="57">
        <f>IF(SUMIFS(Calc_Rates!J$60:J$135,Calc_Rates!$C$60:$C$135,OP_Rates!$L12,Calc_Rates!$F$60:$F$135,OP_Rates!$N12)=0,"-",SUMIFS(Calc_Rates!J$60:J$135,Calc_Rates!$C$60:$C$135,OP_Rates!$L12,Calc_Rates!$F$60:$F$135,OP_Rates!$N12))</f>
        <v>0.22881989228956526</v>
      </c>
      <c r="S12" s="57">
        <f>IF(SUMIFS(Calc_Rates!K$60:K$135,Calc_Rates!$C$60:$C$135,OP_Rates!$L12,Calc_Rates!$F$60:$F$135,OP_Rates!$N12)=0,"-",SUMIFS(Calc_Rates!K$60:K$135,Calc_Rates!$C$60:$C$135,OP_Rates!$L12,Calc_Rates!$F$60:$F$135,OP_Rates!$N12))</f>
        <v>0.24435686750333538</v>
      </c>
    </row>
    <row r="13" spans="1:24" hidden="1" x14ac:dyDescent="0.35">
      <c r="C13" s="21" t="s">
        <v>381</v>
      </c>
      <c r="D13" s="21" t="s">
        <v>102</v>
      </c>
      <c r="E13" s="21" t="s">
        <v>88</v>
      </c>
      <c r="F13" s="57" t="str">
        <f>IF(SUMIFS(Calc_Rates!G$17:G$47,Calc_Rates!$C$17:$C$47,OP_Rates!$C13,Calc_Rates!$F$17:$F$47,OP_Rates!$E13)=0,"-",SUMIFS(Calc_Rates!G$17:G$47,Calc_Rates!$C$17:$C$47,OP_Rates!$C13,Calc_Rates!$F$17:$F$47,OP_Rates!$E13))</f>
        <v>-</v>
      </c>
      <c r="G13" s="57" t="str">
        <f>IF(SUMIFS(Calc_Rates!H$17:H$47,Calc_Rates!$C$17:$C$47,OP_Rates!$C13,Calc_Rates!$F$17:$F$47,OP_Rates!$E13)=0,"-",SUMIFS(Calc_Rates!H$17:H$47,Calc_Rates!$C$17:$C$47,OP_Rates!$C13,Calc_Rates!$F$17:$F$47,OP_Rates!$E13))</f>
        <v>-</v>
      </c>
      <c r="H13" s="57" t="str">
        <f>IF(SUMIFS(Calc_Rates!I$17:I$47,Calc_Rates!$C$17:$C$47,OP_Rates!$C13,Calc_Rates!$F$17:$F$47,OP_Rates!$E13)=0,"-",SUMIFS(Calc_Rates!I$17:I$47,Calc_Rates!$C$17:$C$47,OP_Rates!$C13,Calc_Rates!$F$17:$F$47,OP_Rates!$E13))</f>
        <v>-</v>
      </c>
      <c r="I13" s="57" t="str">
        <f>IF(SUMIFS(Calc_Rates!J$17:J$47,Calc_Rates!$C$17:$C$47,OP_Rates!$C13,Calc_Rates!$F$17:$F$47,OP_Rates!$E13)=0,"-",SUMIFS(Calc_Rates!J$17:J$47,Calc_Rates!$C$17:$C$47,OP_Rates!$C13,Calc_Rates!$F$17:$F$47,OP_Rates!$E13))</f>
        <v>-</v>
      </c>
      <c r="J13" s="57" t="str">
        <f>IF(SUMIFS(Calc_Rates!K$17:K$47,Calc_Rates!$C$17:$C$47,OP_Rates!$C13,Calc_Rates!$F$17:$F$47,OP_Rates!$E13)=0,"-",SUMIFS(Calc_Rates!K$17:K$47,Calc_Rates!$C$17:$C$47,OP_Rates!$C13,Calc_Rates!$F$17:$F$47,OP_Rates!$E13))</f>
        <v>-</v>
      </c>
      <c r="L13" s="21" t="s">
        <v>381</v>
      </c>
      <c r="M13" s="21" t="s">
        <v>284</v>
      </c>
      <c r="N13" s="21" t="s">
        <v>89</v>
      </c>
      <c r="O13" s="57" t="str">
        <f>IF(SUMIFS(Calc_Rates!G$17:G$47,Calc_Rates!$C$17:$C$47,OP_Rates!$L13,Calc_Rates!$F$17:$F$47,OP_Rates!$N13)=0,"-",SUMIFS(Calc_Rates!G$17:G$47,Calc_Rates!$C$17:$C$47,OP_Rates!$L13,Calc_Rates!$F$17:$F$47,OP_Rates!$N13))</f>
        <v>-</v>
      </c>
      <c r="P13" s="57" t="str">
        <f>IF(SUMIFS(Calc_Rates!H$17:H$47,Calc_Rates!$C$17:$C$47,OP_Rates!$L13,Calc_Rates!$F$17:$F$47,OP_Rates!$N13)=0,"-",SUMIFS(Calc_Rates!H$17:H$47,Calc_Rates!$C$17:$C$47,OP_Rates!$L13,Calc_Rates!$F$17:$F$47,OP_Rates!$N13))</f>
        <v>-</v>
      </c>
      <c r="Q13" s="57" t="str">
        <f>IF(SUMIFS(Calc_Rates!I$17:I$47,Calc_Rates!$C$17:$C$47,OP_Rates!$L13,Calc_Rates!$F$17:$F$47,OP_Rates!$N13)=0,"-",SUMIFS(Calc_Rates!I$17:I$47,Calc_Rates!$C$17:$C$47,OP_Rates!$L13,Calc_Rates!$F$17:$F$47,OP_Rates!$N13))</f>
        <v>-</v>
      </c>
      <c r="R13" s="57" t="str">
        <f>IF(SUMIFS(Calc_Rates!J$17:J$47,Calc_Rates!$C$17:$C$47,OP_Rates!$L13,Calc_Rates!$F$17:$F$47,OP_Rates!$N13)=0,"-",SUMIFS(Calc_Rates!J$17:J$47,Calc_Rates!$C$17:$C$47,OP_Rates!$L13,Calc_Rates!$F$17:$F$47,OP_Rates!$N13))</f>
        <v>-</v>
      </c>
      <c r="S13" s="57" t="str">
        <f>IF(SUMIFS(Calc_Rates!K$17:K$47,Calc_Rates!$C$17:$C$47,OP_Rates!$L13,Calc_Rates!$F$17:$F$47,OP_Rates!$N13)=0,"-",SUMIFS(Calc_Rates!K$17:K$47,Calc_Rates!$C$17:$C$47,OP_Rates!$L13,Calc_Rates!$F$17:$F$47,OP_Rates!$N13))</f>
        <v>-</v>
      </c>
    </row>
    <row r="14" spans="1:24" hidden="1" x14ac:dyDescent="0.35">
      <c r="C14" s="21" t="s">
        <v>326</v>
      </c>
      <c r="D14" s="21" t="s">
        <v>102</v>
      </c>
      <c r="E14" s="21" t="s">
        <v>88</v>
      </c>
      <c r="F14" s="57" t="str">
        <f>IF(SUMIFS(Calc_Rates!G$60:G$135,Calc_Rates!$C$60:$C$135,OP_Rates!$C14,Calc_Rates!$F$60:$F$135,OP_Rates!$E14)=0,"-",SUMIFS(Calc_Rates!G$60:G$135,Calc_Rates!$C$60:$C$135,OP_Rates!$C14,Calc_Rates!$F$60:$F$135,OP_Rates!$E14))</f>
        <v>-</v>
      </c>
      <c r="G14" s="57" t="str">
        <f>IF(SUMIFS(Calc_Rates!H$60:H$135,Calc_Rates!$C$60:$C$135,OP_Rates!$C14,Calc_Rates!$F$60:$F$135,OP_Rates!$E14)=0,"-",SUMIFS(Calc_Rates!H$60:H$135,Calc_Rates!$C$60:$C$135,OP_Rates!$C14,Calc_Rates!$F$60:$F$135,OP_Rates!$E14))</f>
        <v>-</v>
      </c>
      <c r="H14" s="57" t="str">
        <f>IF(SUMIFS(Calc_Rates!I$60:I$135,Calc_Rates!$C$60:$C$135,OP_Rates!$C14,Calc_Rates!$F$60:$F$135,OP_Rates!$E14)=0,"-",SUMIFS(Calc_Rates!I$60:I$135,Calc_Rates!$C$60:$C$135,OP_Rates!$C14,Calc_Rates!$F$60:$F$135,OP_Rates!$E14))</f>
        <v>-</v>
      </c>
      <c r="I14" s="57" t="str">
        <f>IF(SUMIFS(Calc_Rates!J$60:J$135,Calc_Rates!$C$60:$C$135,OP_Rates!$C14,Calc_Rates!$F$60:$F$135,OP_Rates!$E14)=0,"-",SUMIFS(Calc_Rates!J$60:J$135,Calc_Rates!$C$60:$C$135,OP_Rates!$C14,Calc_Rates!$F$60:$F$135,OP_Rates!$E14))</f>
        <v>-</v>
      </c>
      <c r="J14" s="57" t="str">
        <f>IF(SUMIFS(Calc_Rates!K$60:K$135,Calc_Rates!$C$60:$C$135,OP_Rates!$C14,Calc_Rates!$F$60:$F$135,OP_Rates!$E14)=0,"-",SUMIFS(Calc_Rates!K$60:K$135,Calc_Rates!$C$60:$C$135,OP_Rates!$C14,Calc_Rates!$F$60:$F$135,OP_Rates!$E14))</f>
        <v>-</v>
      </c>
      <c r="L14" s="21" t="s">
        <v>326</v>
      </c>
      <c r="M14" s="21" t="s">
        <v>284</v>
      </c>
      <c r="N14" s="21" t="s">
        <v>89</v>
      </c>
      <c r="O14" s="57" t="str">
        <f>IF(SUMIFS(Calc_Rates!G$60:G$135,Calc_Rates!$C$60:$C$135,OP_Rates!$L14,Calc_Rates!$F$60:$F$135,OP_Rates!$N14)=0,"-",SUMIFS(Calc_Rates!G$60:G$135,Calc_Rates!$C$60:$C$135,OP_Rates!$L14,Calc_Rates!$F$60:$F$135,OP_Rates!$N14))</f>
        <v>-</v>
      </c>
      <c r="P14" s="57" t="str">
        <f>IF(SUMIFS(Calc_Rates!H$60:H$135,Calc_Rates!$C$60:$C$135,OP_Rates!$L14,Calc_Rates!$F$60:$F$135,OP_Rates!$N14)=0,"-",SUMIFS(Calc_Rates!H$60:H$135,Calc_Rates!$C$60:$C$135,OP_Rates!$L14,Calc_Rates!$F$60:$F$135,OP_Rates!$N14))</f>
        <v>-</v>
      </c>
      <c r="Q14" s="57" t="str">
        <f>IF(SUMIFS(Calc_Rates!I$60:I$135,Calc_Rates!$C$60:$C$135,OP_Rates!$L14,Calc_Rates!$F$60:$F$135,OP_Rates!$N14)=0,"-",SUMIFS(Calc_Rates!I$60:I$135,Calc_Rates!$C$60:$C$135,OP_Rates!$L14,Calc_Rates!$F$60:$F$135,OP_Rates!$N14))</f>
        <v>-</v>
      </c>
      <c r="R14" s="57" t="str">
        <f>IF(SUMIFS(Calc_Rates!J$60:J$135,Calc_Rates!$C$60:$C$135,OP_Rates!$L14,Calc_Rates!$F$60:$F$135,OP_Rates!$N14)=0,"-",SUMIFS(Calc_Rates!J$60:J$135,Calc_Rates!$C$60:$C$135,OP_Rates!$L14,Calc_Rates!$F$60:$F$135,OP_Rates!$N14))</f>
        <v>-</v>
      </c>
      <c r="S14" s="57" t="str">
        <f>IF(SUMIFS(Calc_Rates!K$60:K$135,Calc_Rates!$C$60:$C$135,OP_Rates!$L14,Calc_Rates!$F$60:$F$135,OP_Rates!$N14)=0,"-",SUMIFS(Calc_Rates!K$60:K$135,Calc_Rates!$C$60:$C$135,OP_Rates!$L14,Calc_Rates!$F$60:$F$135,OP_Rates!$N14))</f>
        <v>-</v>
      </c>
    </row>
    <row r="15" spans="1:24" hidden="1" x14ac:dyDescent="0.35">
      <c r="C15" s="21" t="s">
        <v>327</v>
      </c>
      <c r="D15" s="21" t="s">
        <v>102</v>
      </c>
      <c r="E15" s="21" t="s">
        <v>88</v>
      </c>
      <c r="F15" s="57" t="str">
        <f>IF(SUMIFS(Calc_Rates!G$60:G$135,Calc_Rates!$C$60:$C$135,OP_Rates!$C15,Calc_Rates!$F$60:$F$135,OP_Rates!$E15)=0,"-",SUMIFS(Calc_Rates!G$60:G$135,Calc_Rates!$C$60:$C$135,OP_Rates!$C15,Calc_Rates!$F$60:$F$135,OP_Rates!$E15))</f>
        <v>-</v>
      </c>
      <c r="G15" s="57" t="str">
        <f>IF(SUMIFS(Calc_Rates!H$60:H$135,Calc_Rates!$C$60:$C$135,OP_Rates!$C15,Calc_Rates!$F$60:$F$135,OP_Rates!$E15)=0,"-",SUMIFS(Calc_Rates!H$60:H$135,Calc_Rates!$C$60:$C$135,OP_Rates!$C15,Calc_Rates!$F$60:$F$135,OP_Rates!$E15))</f>
        <v>-</v>
      </c>
      <c r="H15" s="57" t="str">
        <f>IF(SUMIFS(Calc_Rates!I$60:I$135,Calc_Rates!$C$60:$C$135,OP_Rates!$C15,Calc_Rates!$F$60:$F$135,OP_Rates!$E15)=0,"-",SUMIFS(Calc_Rates!I$60:I$135,Calc_Rates!$C$60:$C$135,OP_Rates!$C15,Calc_Rates!$F$60:$F$135,OP_Rates!$E15))</f>
        <v>-</v>
      </c>
      <c r="I15" s="57" t="str">
        <f>IF(SUMIFS(Calc_Rates!J$60:J$135,Calc_Rates!$C$60:$C$135,OP_Rates!$C15,Calc_Rates!$F$60:$F$135,OP_Rates!$E15)=0,"-",SUMIFS(Calc_Rates!J$60:J$135,Calc_Rates!$C$60:$C$135,OP_Rates!$C15,Calc_Rates!$F$60:$F$135,OP_Rates!$E15))</f>
        <v>-</v>
      </c>
      <c r="J15" s="57" t="str">
        <f>IF(SUMIFS(Calc_Rates!K$60:K$135,Calc_Rates!$C$60:$C$135,OP_Rates!$C15,Calc_Rates!$F$60:$F$135,OP_Rates!$E15)=0,"-",SUMIFS(Calc_Rates!K$60:K$135,Calc_Rates!$C$60:$C$135,OP_Rates!$C15,Calc_Rates!$F$60:$F$135,OP_Rates!$E15))</f>
        <v>-</v>
      </c>
      <c r="L15" s="21" t="s">
        <v>327</v>
      </c>
      <c r="M15" s="21" t="s">
        <v>284</v>
      </c>
      <c r="N15" s="21" t="s">
        <v>89</v>
      </c>
      <c r="O15" s="57" t="str">
        <f>IF(SUMIFS(Calc_Rates!G$60:G$135,Calc_Rates!$C$60:$C$135,OP_Rates!$L15,Calc_Rates!$F$60:$F$135,OP_Rates!$N15)=0,"-",SUMIFS(Calc_Rates!G$60:G$135,Calc_Rates!$C$60:$C$135,OP_Rates!$L15,Calc_Rates!$F$60:$F$135,OP_Rates!$N15))</f>
        <v>-</v>
      </c>
      <c r="P15" s="57" t="str">
        <f>IF(SUMIFS(Calc_Rates!H$60:H$135,Calc_Rates!$C$60:$C$135,OP_Rates!$L15,Calc_Rates!$F$60:$F$135,OP_Rates!$N15)=0,"-",SUMIFS(Calc_Rates!H$60:H$135,Calc_Rates!$C$60:$C$135,OP_Rates!$L15,Calc_Rates!$F$60:$F$135,OP_Rates!$N15))</f>
        <v>-</v>
      </c>
      <c r="Q15" s="57" t="str">
        <f>IF(SUMIFS(Calc_Rates!I$60:I$135,Calc_Rates!$C$60:$C$135,OP_Rates!$L15,Calc_Rates!$F$60:$F$135,OP_Rates!$N15)=0,"-",SUMIFS(Calc_Rates!I$60:I$135,Calc_Rates!$C$60:$C$135,OP_Rates!$L15,Calc_Rates!$F$60:$F$135,OP_Rates!$N15))</f>
        <v>-</v>
      </c>
      <c r="R15" s="57" t="str">
        <f>IF(SUMIFS(Calc_Rates!J$60:J$135,Calc_Rates!$C$60:$C$135,OP_Rates!$L15,Calc_Rates!$F$60:$F$135,OP_Rates!$N15)=0,"-",SUMIFS(Calc_Rates!J$60:J$135,Calc_Rates!$C$60:$C$135,OP_Rates!$L15,Calc_Rates!$F$60:$F$135,OP_Rates!$N15))</f>
        <v>-</v>
      </c>
      <c r="S15" s="57" t="str">
        <f>IF(SUMIFS(Calc_Rates!K$60:K$135,Calc_Rates!$C$60:$C$135,OP_Rates!$L15,Calc_Rates!$F$60:$F$135,OP_Rates!$N15)=0,"-",SUMIFS(Calc_Rates!K$60:K$135,Calc_Rates!$C$60:$C$135,OP_Rates!$L15,Calc_Rates!$F$60:$F$135,OP_Rates!$N15))</f>
        <v>-</v>
      </c>
    </row>
    <row r="16" spans="1:24" x14ac:dyDescent="0.35">
      <c r="C16" s="21" t="s">
        <v>328</v>
      </c>
      <c r="D16" s="21" t="s">
        <v>284</v>
      </c>
      <c r="E16" s="21" t="s">
        <v>88</v>
      </c>
      <c r="F16" s="57">
        <f>IF(SUMIFS(Calc_Rates!G$60:G$135,Calc_Rates!$C$60:$C$135,OP_Rates!$C16,Calc_Rates!$F$60:$F$135,OP_Rates!$E16)=0,"-",SUMIFS(Calc_Rates!G$60:G$135,Calc_Rates!$C$60:$C$135,OP_Rates!$C16,Calc_Rates!$F$60:$F$135,OP_Rates!$E16))</f>
        <v>0.19244377701702398</v>
      </c>
      <c r="G16" s="57">
        <f>IF(SUMIFS(Calc_Rates!H$60:H$135,Calc_Rates!$C$60:$C$135,OP_Rates!$C16,Calc_Rates!$F$60:$F$135,OP_Rates!$E16)=0,"-",SUMIFS(Calc_Rates!H$60:H$135,Calc_Rates!$C$60:$C$135,OP_Rates!$C16,Calc_Rates!$F$60:$F$135,OP_Rates!$E16))</f>
        <v>0.16288787783227573</v>
      </c>
      <c r="H16" s="57">
        <f>IF(SUMIFS(Calc_Rates!I$60:I$135,Calc_Rates!$C$60:$C$135,OP_Rates!$C16,Calc_Rates!$F$60:$F$135,OP_Rates!$E16)=0,"-",SUMIFS(Calc_Rates!I$60:I$135,Calc_Rates!$C$60:$C$135,OP_Rates!$C16,Calc_Rates!$F$60:$F$135,OP_Rates!$E16))</f>
        <v>0.18189629483406416</v>
      </c>
      <c r="I16" s="57">
        <f>IF(SUMIFS(Calc_Rates!J$60:J$135,Calc_Rates!$C$60:$C$135,OP_Rates!$C16,Calc_Rates!$F$60:$F$135,OP_Rates!$E16)=0,"-",SUMIFS(Calc_Rates!J$60:J$135,Calc_Rates!$C$60:$C$135,OP_Rates!$C16,Calc_Rates!$F$60:$F$135,OP_Rates!$E16))</f>
        <v>0.17036388546340739</v>
      </c>
      <c r="J16" s="57">
        <f>IF(SUMIFS(Calc_Rates!K$60:K$135,Calc_Rates!$C$60:$C$135,OP_Rates!$C16,Calc_Rates!$F$60:$F$135,OP_Rates!$E16)=0,"-",SUMIFS(Calc_Rates!K$60:K$135,Calc_Rates!$C$60:$C$135,OP_Rates!$C16,Calc_Rates!$F$60:$F$135,OP_Rates!$E16))</f>
        <v>0.17068414838905024</v>
      </c>
      <c r="L16" s="21" t="s">
        <v>328</v>
      </c>
      <c r="M16" s="21" t="s">
        <v>284</v>
      </c>
      <c r="N16" s="21" t="s">
        <v>89</v>
      </c>
      <c r="O16" s="57" t="str">
        <f>IF(SUMIFS(Calc_Rates!G$60:G$135,Calc_Rates!$C$60:$C$135,OP_Rates!$L16,Calc_Rates!$F$60:$F$135,OP_Rates!$N16)=0,"-",SUMIFS(Calc_Rates!G$60:G$135,Calc_Rates!$C$60:$C$135,OP_Rates!$L16,Calc_Rates!$F$60:$F$135,OP_Rates!$N16))</f>
        <v>-</v>
      </c>
      <c r="P16" s="57" t="str">
        <f>IF(SUMIFS(Calc_Rates!H$60:H$135,Calc_Rates!$C$60:$C$135,OP_Rates!$L16,Calc_Rates!$F$60:$F$135,OP_Rates!$N16)=0,"-",SUMIFS(Calc_Rates!H$60:H$135,Calc_Rates!$C$60:$C$135,OP_Rates!$L16,Calc_Rates!$F$60:$F$135,OP_Rates!$N16))</f>
        <v>-</v>
      </c>
      <c r="Q16" s="57" t="str">
        <f>IF(SUMIFS(Calc_Rates!I$60:I$135,Calc_Rates!$C$60:$C$135,OP_Rates!$L16,Calc_Rates!$F$60:$F$135,OP_Rates!$N16)=0,"-",SUMIFS(Calc_Rates!I$60:I$135,Calc_Rates!$C$60:$C$135,OP_Rates!$L16,Calc_Rates!$F$60:$F$135,OP_Rates!$N16))</f>
        <v>-</v>
      </c>
      <c r="R16" s="57" t="str">
        <f>IF(SUMIFS(Calc_Rates!J$60:J$135,Calc_Rates!$C$60:$C$135,OP_Rates!$L16,Calc_Rates!$F$60:$F$135,OP_Rates!$N16)=0,"-",SUMIFS(Calc_Rates!J$60:J$135,Calc_Rates!$C$60:$C$135,OP_Rates!$L16,Calc_Rates!$F$60:$F$135,OP_Rates!$N16))</f>
        <v>-</v>
      </c>
      <c r="S16" s="57" t="str">
        <f>IF(SUMIFS(Calc_Rates!K$60:K$135,Calc_Rates!$C$60:$C$135,OP_Rates!$L16,Calc_Rates!$F$60:$F$135,OP_Rates!$N16)=0,"-",SUMIFS(Calc_Rates!K$60:K$135,Calc_Rates!$C$60:$C$135,OP_Rates!$L16,Calc_Rates!$F$60:$F$135,OP_Rates!$N16))</f>
        <v>-</v>
      </c>
    </row>
    <row r="18" spans="1:24" ht="15.5" x14ac:dyDescent="0.35">
      <c r="C18" s="26" t="s">
        <v>18</v>
      </c>
      <c r="L18" s="26" t="s">
        <v>18</v>
      </c>
    </row>
    <row r="19" spans="1:24" ht="15.5" x14ac:dyDescent="0.35">
      <c r="C19" s="38" t="s">
        <v>322</v>
      </c>
      <c r="D19" s="38" t="s">
        <v>95</v>
      </c>
      <c r="E19" s="38" t="s">
        <v>87</v>
      </c>
      <c r="F19" s="47" t="s">
        <v>270</v>
      </c>
      <c r="G19" s="47" t="s">
        <v>271</v>
      </c>
      <c r="H19" s="47" t="s">
        <v>272</v>
      </c>
      <c r="I19" s="47" t="s">
        <v>273</v>
      </c>
      <c r="J19" s="47" t="s">
        <v>274</v>
      </c>
      <c r="L19" s="38" t="s">
        <v>322</v>
      </c>
      <c r="M19" s="38" t="s">
        <v>95</v>
      </c>
      <c r="N19" s="38" t="s">
        <v>87</v>
      </c>
      <c r="O19" s="47" t="s">
        <v>270</v>
      </c>
      <c r="P19" s="47" t="s">
        <v>271</v>
      </c>
      <c r="Q19" s="47" t="s">
        <v>272</v>
      </c>
      <c r="R19" s="47" t="s">
        <v>273</v>
      </c>
      <c r="S19" s="47" t="s">
        <v>274</v>
      </c>
    </row>
    <row r="20" spans="1:24" ht="15.5" x14ac:dyDescent="0.35">
      <c r="C20" s="21" t="s">
        <v>380</v>
      </c>
      <c r="D20" s="21" t="s">
        <v>102</v>
      </c>
      <c r="E20" s="21" t="s">
        <v>88</v>
      </c>
      <c r="F20" s="80" cm="1">
        <f t="array" ref="F20">IF(F9="-","-",
IF(F9=
(((SUMIFS(Calc_NetworkF_1[Ausnet],Calc_NetworkF_1[[Cost item]:[Cost item]],$C20,Calc_NetworkF_1[[Customer type]:[Customer type]],$E20)+SUMIFS(Calc_Fixed_1[Ausnet],Calc_Fixed_1[[Customer type]:[Customer type]],"All")+SUMIFS(Calc_Fixed_1[Ausnet],Calc_Fixed_1[[Customer type]:[Customer type]],$E20))/DiY)*
(1+Calc_ROM_1[Ausnet]))*(1+GST),0,1))</f>
        <v>0</v>
      </c>
      <c r="G20" s="80" cm="1">
        <f t="array" ref="G20">IF(G9="-","-",
IF(G9=
(((SUMIFS(Calc_NetworkF_1[Citipower],Calc_NetworkF_1[[Cost item]:[Cost item]],$C20,Calc_NetworkF_1[[Customer type]:[Customer type]],$E20)+SUMIFS(Calc_Fixed_1[Citipower],Calc_Fixed_1[[Customer type]:[Customer type]],"All")+SUMIFS(Calc_Fixed_1[Citipower],Calc_Fixed_1[[Customer type]:[Customer type]],$E20))/DiY)*
(1+Calc_ROM_1[Citipower]))*(1+GST),0,1))</f>
        <v>0</v>
      </c>
      <c r="H20" s="80" cm="1">
        <f t="array" ref="H20">IF(H9="-","-",
IF(H9=
(((SUMIFS(Calc_NetworkF_1[Jemena],Calc_NetworkF_1[[Cost item]:[Cost item]],$C20,Calc_NetworkF_1[[Customer type]:[Customer type]],$E20)+SUMIFS(Calc_Fixed_1[Jemena],Calc_Fixed_1[[Customer type]:[Customer type]],"All")+SUMIFS(Calc_Fixed_1[Jemena],Calc_Fixed_1[[Customer type]:[Customer type]],$E20))/DiY)*
(1+Calc_ROM_1[Jemena]))*(1+GST),0,1))</f>
        <v>0</v>
      </c>
      <c r="I20" s="80" cm="1">
        <f t="array" ref="I20">IF(I9="-","-",
IF(I9=
(((SUMIFS(Calc_NetworkF_1[Powercor],Calc_NetworkF_1[[Cost item]:[Cost item]],$C20,Calc_NetworkF_1[[Customer type]:[Customer type]],$E20)+SUMIFS(Calc_Fixed_1[Powercor],Calc_Fixed_1[[Customer type]:[Customer type]],"All")+SUMIFS(Calc_Fixed_1[Powercor],Calc_Fixed_1[[Customer type]:[Customer type]],$E20))/DiY)*
(1+Calc_ROM_1[Powercor]))*(1+GST),0,1))</f>
        <v>0</v>
      </c>
      <c r="J20" s="80" cm="1">
        <f t="array" ref="J20">IF(J9="-","-",
IF(J9=
(((SUMIFS(Calc_NetworkF_1[United Energy],Calc_NetworkF_1[[Cost item]:[Cost item]],$C20,Calc_NetworkF_1[[Customer type]:[Customer type]],$E20)+SUMIFS(Calc_Fixed_1[United Energy],Calc_Fixed_1[[Customer type]:[Customer type]],"All")+SUMIFS(Calc_Fixed_1[United Energy],Calc_Fixed_1[[Customer type]:[Customer type]],$E20))/DiY)*
(1+Calc_ROM_1[United Energy]))*(1+GST),0,1))</f>
        <v>0</v>
      </c>
      <c r="L20" s="21" t="s">
        <v>380</v>
      </c>
      <c r="M20" s="21" t="s">
        <v>102</v>
      </c>
      <c r="N20" s="21" t="s">
        <v>89</v>
      </c>
      <c r="O20" s="80" cm="1">
        <f t="array" ref="O20">IF(O9="-","-",
IF(O9=
(((SUMIFS(Calc_NetworkF_1[Ausnet],Calc_NetworkF_1[[Cost item]:[Cost item]],$L20,Calc_NetworkF_1[[Customer type]:[Customer type]],$N20)+SUMIFS(Calc_Fixed_1[Ausnet],Calc_Fixed_1[[Customer type]:[Customer type]],"All")+SUMIFS(Calc_Fixed_1[Ausnet],Calc_Fixed_1[[Customer type]:[Customer type]],$N20))/DiY)*
(1+Calc_ROM_1[Ausnet]))*(1+GST),0,1))</f>
        <v>0</v>
      </c>
      <c r="P20" s="80" cm="1">
        <f t="array" ref="P20">IF(P9="-","-",
IF(P9=
(((SUMIFS(Calc_NetworkF_1[Citipower],Calc_NetworkF_1[[Cost item]:[Cost item]],$L20,Calc_NetworkF_1[[Customer type]:[Customer type]],$N20)+SUMIFS(Calc_Fixed_1[Citipower],Calc_Fixed_1[[Customer type]:[Customer type]],"All")+SUMIFS(Calc_Fixed_1[Citipower],Calc_Fixed_1[[Customer type]:[Customer type]],$N20))/DiY)*
(1+Calc_ROM_1[Citipower]))*(1+GST),0,1))</f>
        <v>0</v>
      </c>
      <c r="Q20" s="80" cm="1">
        <f t="array" ref="Q20">IF(Q9="-","-",
IF(Q9=
(((SUMIFS(Calc_NetworkF_1[Jemena],Calc_NetworkF_1[[Cost item]:[Cost item]],$L20,Calc_NetworkF_1[[Customer type]:[Customer type]],$N20)+SUMIFS(Calc_Fixed_1[Jemena],Calc_Fixed_1[[Customer type]:[Customer type]],"All")+SUMIFS(Calc_Fixed_1[Jemena],Calc_Fixed_1[[Customer type]:[Customer type]],$N20))/DiY)*
(1+Calc_ROM_1[Jemena]))*(1+GST),0,1))</f>
        <v>0</v>
      </c>
      <c r="R20" s="80" cm="1">
        <f t="array" ref="R20">IF(R9="-","-",
IF(R9=
(((SUMIFS(Calc_NetworkF_1[Powercor],Calc_NetworkF_1[[Cost item]:[Cost item]],$L20,Calc_NetworkF_1[[Customer type]:[Customer type]],$N20)+SUMIFS(Calc_Fixed_1[Powercor],Calc_Fixed_1[[Customer type]:[Customer type]],"All")+SUMIFS(Calc_Fixed_1[Powercor],Calc_Fixed_1[[Customer type]:[Customer type]],$N20))/DiY)*
(1+Calc_ROM_1[Powercor]))*(1+GST),0,1))</f>
        <v>0</v>
      </c>
      <c r="S20" s="80" cm="1">
        <f t="array" ref="S20">IF(S9="-","-",
IF(S9=
(((SUMIFS(Calc_NetworkF_1[United Energy],Calc_NetworkF_1[[Cost item]:[Cost item]],$L20,Calc_NetworkF_1[[Customer type]:[Customer type]],$N20)+SUMIFS(Calc_Fixed_1[United Energy],Calc_Fixed_1[[Customer type]:[Customer type]],"All")+SUMIFS(Calc_Fixed_1[United Energy],Calc_Fixed_1[[Customer type]:[Customer type]],$N20))/DiY)*
(1+Calc_ROM_1[United Energy]))*(1+GST),0,1))</f>
        <v>0</v>
      </c>
    </row>
    <row r="21" spans="1:24" ht="15.5" x14ac:dyDescent="0.35">
      <c r="C21" s="21" t="s">
        <v>288</v>
      </c>
      <c r="D21" s="21" t="s">
        <v>284</v>
      </c>
      <c r="E21" s="21" t="s">
        <v>88</v>
      </c>
      <c r="F21" s="80" cm="1">
        <f t="array" ref="F21">IF(F10="-","-",
IF(F10=
((SUMIFS(Calc_Variable_1[Ausnet],Calc_Variable_1[[Customer type]:[Customer type]],"All")+SUMIFS(Calc_Variable_1[Ausnet],Calc_Variable_1[[Customer type]:[Customer type]],OP_Rates!$E21)+
SUMIFS(Calc_NetworkV_1[Ausnet],Calc_NetworkV_1[[Customer type]:[Customer type]],OP_Rates!$E21,Calc_NetworkV_1[[Cost item]:[Cost item]],OP_Rates!$C21))*(1+Calc_ROM_1[Ausnet]))*(1+GST),0,1))</f>
        <v>0</v>
      </c>
      <c r="G21" s="80" t="str" cm="1">
        <f t="array" ref="G21">IF(G10="-","-",
IF(G10=
((SUMIFS(Calc_Variable_1[Citipower],Calc_Variable_1[[Customer type]:[Customer type]],"All")+SUMIFS(Calc_Variable_1[Citipower],Calc_Variable_1[[Customer type]:[Customer type]],OP_Rates!$E21)+
SUMIFS(Calc_NetworkV_1[Citipower],Calc_NetworkV_1[[Customer type]:[Customer type]],OP_Rates!$E21,Calc_NetworkV_1[[Cost item]:[Cost item]],OP_Rates!$C21))*(1+Calc_ROM_1[Citipower]))*(1+GST),0,1))</f>
        <v>-</v>
      </c>
      <c r="H21" s="80" t="str" cm="1">
        <f t="array" ref="H21">IF(H10="-","-",
IF(H10=
((SUMIFS(Calc_Variable_1[Jemena],Calc_Variable_1[[Customer type]:[Customer type]],"All")+SUMIFS(Calc_Variable_1[Jemena],Calc_Variable_1[[Customer type]:[Customer type]],OP_Rates!$E21)+
SUMIFS(Calc_NetworkV_1[Jemena],Calc_NetworkV_1[[Customer type]:[Customer type]],OP_Rates!$E21,Calc_NetworkV_1[[Cost item]:[Cost item]],OP_Rates!$C21))*(1+Calc_ROM_1[Jemena]))*(1+GST),0,1))</f>
        <v>-</v>
      </c>
      <c r="I21" s="80" t="str" cm="1">
        <f t="array" ref="I21">IF(I10="-","-",
IF(I10=
((SUMIFS(Calc_Variable_1[Powercor],Calc_Variable_1[[Customer type]:[Customer type]],"All")+SUMIFS(Calc_Variable_1[Powercor],Calc_Variable_1[[Customer type]:[Customer type]],OP_Rates!$E21)+
SUMIFS(Calc_NetworkV_1[Powercor],Calc_NetworkV_1[[Customer type]:[Customer type]],OP_Rates!$E21,Calc_NetworkV_1[[Cost item]:[Cost item]],OP_Rates!$C21))*(1+Calc_ROM_1[Powercor]))*(1+GST),0,1))</f>
        <v>-</v>
      </c>
      <c r="J21" s="80" t="str" cm="1">
        <f t="array" ref="J21">IF(J10="-","-",
IF(J10=
((SUMIFS(Calc_Variable_1[United Energy],Calc_Variable_1[[Customer type]:[Customer type]],"All")+SUMIFS(Calc_Variable_1[United Energy],Calc_Variable_1[[Customer type]:[Customer type]],OP_Rates!$E21)+
SUMIFS(Calc_NetworkV_1[United Energy],Calc_NetworkV_1[[Customer type]:[Customer type]],OP_Rates!$E21,Calc_NetworkV_1[[Cost item]:[Cost item]],OP_Rates!$C21))*(1+Calc_ROM_1[United Energy]))*(1+GST),0,1))</f>
        <v>-</v>
      </c>
      <c r="L21" s="21" t="s">
        <v>288</v>
      </c>
      <c r="M21" s="21" t="s">
        <v>284</v>
      </c>
      <c r="N21" s="21" t="s">
        <v>89</v>
      </c>
      <c r="O21" s="80" cm="1">
        <f t="array" ref="O21">IF(O10="-","-",
IF(O10=
((SUMIFS(Calc_Variable_1[Ausnet],Calc_Variable_1[[Customer type]:[Customer type]],"All")+SUMIFS(Calc_Variable_1[Ausnet],Calc_Variable_1[[Customer type]:[Customer type]],OP_Rates!$N21)+
SUMIFS(Calc_NetworkV_1[Ausnet],Calc_NetworkV_1[[Customer type]:[Customer type]],OP_Rates!$N21,Calc_NetworkV_1[[Cost item]:[Cost item]],OP_Rates!$L21))*(1+Calc_ROM_1[Ausnet]))*(1+GST),0,1))</f>
        <v>0</v>
      </c>
      <c r="P21" s="80" t="str" cm="1">
        <f t="array" ref="P21">IF(P10="-","-",
IF(P10=
((SUMIFS(Calc_Variable_1[Citipower],Calc_Variable_1[[Customer type]:[Customer type]],"All")+SUMIFS(Calc_Variable_1[Citipower],Calc_Variable_1[[Customer type]:[Customer type]],OP_Rates!$N21)+
SUMIFS(Calc_NetworkV_1[Citipower],Calc_NetworkV_1[[Customer type]:[Customer type]],OP_Rates!$N21,Calc_NetworkV_1[[Cost item]:[Cost item]],OP_Rates!$L21))*(1+Calc_ROM_1[Citipower]))*(1+GST),0,1))</f>
        <v>-</v>
      </c>
      <c r="Q21" s="80" t="str" cm="1">
        <f t="array" ref="Q21">IF(Q10="-","-",
IF(Q10=
((SUMIFS(Calc_Variable_1[Jemena],Calc_Variable_1[[Customer type]:[Customer type]],"All")+SUMIFS(Calc_Variable_1[Jemena],Calc_Variable_1[[Customer type]:[Customer type]],OP_Rates!$N21)+
SUMIFS(Calc_NetworkV_1[Jemena],Calc_NetworkV_1[[Customer type]:[Customer type]],OP_Rates!$N21,Calc_NetworkV_1[[Cost item]:[Cost item]],OP_Rates!$L21))*(1+Calc_ROM_1[Jemena]))*(1+GST),0,1))</f>
        <v>-</v>
      </c>
      <c r="R21" s="80" t="str" cm="1">
        <f t="array" ref="R21">IF(R10="-","-",
IF(R10=
((SUMIFS(Calc_Variable_1[Powercor],Calc_Variable_1[[Customer type]:[Customer type]],"All")+SUMIFS(Calc_Variable_1[Powercor],Calc_Variable_1[[Customer type]:[Customer type]],OP_Rates!$N21)+
SUMIFS(Calc_NetworkV_1[Powercor],Calc_NetworkV_1[[Customer type]:[Customer type]],OP_Rates!$N21,Calc_NetworkV_1[[Cost item]:[Cost item]],OP_Rates!$L21))*(1+Calc_ROM_1[Powercor]))*(1+GST),0,1))</f>
        <v>-</v>
      </c>
      <c r="S21" s="80" t="str" cm="1">
        <f t="array" ref="S21">IF(S10="-","-",
IF(S10=
((SUMIFS(Calc_Variable_1[United Energy],Calc_Variable_1[[Customer type]:[Customer type]],"All")+SUMIFS(Calc_Variable_1[United Energy],Calc_Variable_1[[Customer type]:[Customer type]],OP_Rates!$N21)+
SUMIFS(Calc_NetworkV_1[United Energy],Calc_NetworkV_1[[Customer type]:[Customer type]],OP_Rates!$N21,Calc_NetworkV_1[[Cost item]:[Cost item]],OP_Rates!$L21))*(1+Calc_ROM_1[United Energy]))*(1+GST),0,1))</f>
        <v>-</v>
      </c>
    </row>
    <row r="22" spans="1:24" ht="15.5" x14ac:dyDescent="0.35">
      <c r="C22" s="21" t="s">
        <v>290</v>
      </c>
      <c r="D22" s="21" t="s">
        <v>284</v>
      </c>
      <c r="E22" s="21" t="s">
        <v>88</v>
      </c>
      <c r="F22" s="80" cm="1">
        <f t="array" ref="F22">IF(F11="-","-",
IF(F11=
((SUMIFS(Calc_Variable_1[Ausnet],Calc_Variable_1[[Customer type]:[Customer type]],"All")+SUMIFS(Calc_Variable_1[Ausnet],Calc_Variable_1[[Customer type]:[Customer type]],OP_Rates!$E22)+
SUMIFS(Calc_NetworkV_1[Ausnet],Calc_NetworkV_1[[Customer type]:[Customer type]],OP_Rates!$E22,Calc_NetworkV_1[[Cost item]:[Cost item]],OP_Rates!$C22))*(1+Calc_ROM_1[Ausnet]))*(1+GST),0,1))</f>
        <v>0</v>
      </c>
      <c r="G22" s="80" t="str" cm="1">
        <f t="array" ref="G22">IF(G11="-","-",
IF(G11=
((SUMIFS(Calc_Variable_1[Citipower],Calc_Variable_1[[Customer type]:[Customer type]],"All")+SUMIFS(Calc_Variable_1[Citipower],Calc_Variable_1[[Customer type]:[Customer type]],OP_Rates!$E22)+
SUMIFS(Calc_NetworkV_1[Citipower],Calc_NetworkV_1[[Customer type]:[Customer type]],OP_Rates!$E22,Calc_NetworkV_1[[Cost item]:[Cost item]],OP_Rates!$C22))*(1+Calc_ROM_1[Citipower]))*(1+GST),0,1))</f>
        <v>-</v>
      </c>
      <c r="H22" s="80" t="str" cm="1">
        <f t="array" ref="H22">IF(H11="-","-",
IF(H11=
((SUMIFS(Calc_Variable_1[Jemena],Calc_Variable_1[[Customer type]:[Customer type]],"All")+SUMIFS(Calc_Variable_1[Jemena],Calc_Variable_1[[Customer type]:[Customer type]],OP_Rates!$E22)+
SUMIFS(Calc_NetworkV_1[Jemena],Calc_NetworkV_1[[Customer type]:[Customer type]],OP_Rates!$E22,Calc_NetworkV_1[[Cost item]:[Cost item]],OP_Rates!$C22))*(1+Calc_ROM_1[Jemena]))*(1+GST),0,1))</f>
        <v>-</v>
      </c>
      <c r="I22" s="80" t="str" cm="1">
        <f t="array" ref="I22">IF(I11="-","-",
IF(I11=
((SUMIFS(Calc_Variable_1[Powercor],Calc_Variable_1[[Customer type]:[Customer type]],"All")+SUMIFS(Calc_Variable_1[Powercor],Calc_Variable_1[[Customer type]:[Customer type]],OP_Rates!$E22)+
SUMIFS(Calc_NetworkV_1[Powercor],Calc_NetworkV_1[[Customer type]:[Customer type]],OP_Rates!$E22,Calc_NetworkV_1[[Cost item]:[Cost item]],OP_Rates!$C22))*(1+Calc_ROM_1[Powercor]))*(1+GST),0,1))</f>
        <v>-</v>
      </c>
      <c r="J22" s="80" t="str" cm="1">
        <f t="array" ref="J22">IF(J11="-","-",
IF(J11=
((SUMIFS(Calc_Variable_1[United Energy],Calc_Variable_1[[Customer type]:[Customer type]],"All")+SUMIFS(Calc_Variable_1[United Energy],Calc_Variable_1[[Customer type]:[Customer type]],OP_Rates!$E22)+
SUMIFS(Calc_NetworkV_1[United Energy],Calc_NetworkV_1[[Customer type]:[Customer type]],OP_Rates!$E22,Calc_NetworkV_1[[Cost item]:[Cost item]],OP_Rates!$C22))*(1+Calc_ROM_1[United Energy]))*(1+GST),0,1))</f>
        <v>-</v>
      </c>
      <c r="L22" s="21" t="s">
        <v>290</v>
      </c>
      <c r="M22" s="21" t="s">
        <v>284</v>
      </c>
      <c r="N22" s="21" t="s">
        <v>89</v>
      </c>
      <c r="O22" s="80" cm="1">
        <f t="array" ref="O22">IF(O11="-","-",
IF(O11=
((SUMIFS(Calc_Variable_1[Ausnet],Calc_Variable_1[[Customer type]:[Customer type]],"All")+SUMIFS(Calc_Variable_1[Ausnet],Calc_Variable_1[[Customer type]:[Customer type]],OP_Rates!$N22)+
SUMIFS(Calc_NetworkV_1[Ausnet],Calc_NetworkV_1[[Customer type]:[Customer type]],OP_Rates!$N22,Calc_NetworkV_1[[Cost item]:[Cost item]],OP_Rates!$L22))*(1+Calc_ROM_1[Ausnet]))*(1+GST),0,1))</f>
        <v>0</v>
      </c>
      <c r="P22" s="80" t="str" cm="1">
        <f t="array" ref="P22">IF(P11="-","-",
IF(P11=
((SUMIFS(Calc_Variable_1[Citipower],Calc_Variable_1[[Customer type]:[Customer type]],"All")+SUMIFS(Calc_Variable_1[Citipower],Calc_Variable_1[[Customer type]:[Customer type]],OP_Rates!$N22)+
SUMIFS(Calc_NetworkV_1[Citipower],Calc_NetworkV_1[[Customer type]:[Customer type]],OP_Rates!$N22,Calc_NetworkV_1[[Cost item]:[Cost item]],OP_Rates!$L22))*(1+Calc_ROM_1[Citipower]))*(1+GST),0,1))</f>
        <v>-</v>
      </c>
      <c r="Q22" s="80" t="str" cm="1">
        <f t="array" ref="Q22">IF(Q11="-","-",
IF(Q11=
((SUMIFS(Calc_Variable_1[Jemena],Calc_Variable_1[[Customer type]:[Customer type]],"All")+SUMIFS(Calc_Variable_1[Jemena],Calc_Variable_1[[Customer type]:[Customer type]],OP_Rates!$N22)+
SUMIFS(Calc_NetworkV_1[Jemena],Calc_NetworkV_1[[Customer type]:[Customer type]],OP_Rates!$N22,Calc_NetworkV_1[[Cost item]:[Cost item]],OP_Rates!$L22))*(1+Calc_ROM_1[Jemena]))*(1+GST),0,1))</f>
        <v>-</v>
      </c>
      <c r="R22" s="80" t="str" cm="1">
        <f t="array" ref="R22">IF(R11="-","-",
IF(R11=
((SUMIFS(Calc_Variable_1[Powercor],Calc_Variable_1[[Customer type]:[Customer type]],"All")+SUMIFS(Calc_Variable_1[Powercor],Calc_Variable_1[[Customer type]:[Customer type]],OP_Rates!$N22)+
SUMIFS(Calc_NetworkV_1[Powercor],Calc_NetworkV_1[[Customer type]:[Customer type]],OP_Rates!$N22,Calc_NetworkV_1[[Cost item]:[Cost item]],OP_Rates!$L22))*(1+Calc_ROM_1[Powercor]))*(1+GST),0,1))</f>
        <v>-</v>
      </c>
      <c r="S22" s="80" t="str" cm="1">
        <f t="array" ref="S22">IF(S11="-","-",
IF(S11=
((SUMIFS(Calc_Variable_1[United Energy],Calc_Variable_1[[Customer type]:[Customer type]],"All")+SUMIFS(Calc_Variable_1[United Energy],Calc_Variable_1[[Customer type]:[Customer type]],OP_Rates!$N22)+
SUMIFS(Calc_NetworkV_1[United Energy],Calc_NetworkV_1[[Customer type]:[Customer type]],OP_Rates!$N22,Calc_NetworkV_1[[Cost item]:[Cost item]],OP_Rates!$L22))*(1+Calc_ROM_1[United Energy]))*(1+GST),0,1))</f>
        <v>-</v>
      </c>
    </row>
    <row r="23" spans="1:24" ht="15.5" x14ac:dyDescent="0.35">
      <c r="C23" s="21" t="s">
        <v>291</v>
      </c>
      <c r="D23" s="21" t="s">
        <v>284</v>
      </c>
      <c r="E23" s="21" t="s">
        <v>88</v>
      </c>
      <c r="F23" s="80" t="str" cm="1">
        <f t="array" ref="F23">IF(F12="-","-",
IF(F12=
((SUMIFS(Calc_Variable_1[Ausnet],Calc_Variable_1[[Customer type]:[Customer type]],"All")+SUMIFS(Calc_Variable_1[Ausnet],Calc_Variable_1[[Customer type]:[Customer type]],OP_Rates!$E23)+
SUMIFS(Calc_NetworkV_1[Ausnet],Calc_NetworkV_1[[Customer type]:[Customer type]],OP_Rates!$E23,Calc_NetworkV_1[[Cost item]:[Cost item]],OP_Rates!$C23))*(1+Calc_ROM_1[Ausnet]))*(1+GST),0,1))</f>
        <v>-</v>
      </c>
      <c r="G23" s="80" cm="1">
        <f t="array" ref="G23">IF(G12="-","-",
IF(G12=
((SUMIFS(Calc_Variable_1[Citipower],Calc_Variable_1[[Customer type]:[Customer type]],"All")+SUMIFS(Calc_Variable_1[Citipower],Calc_Variable_1[[Customer type]:[Customer type]],OP_Rates!$E23)+
SUMIFS(Calc_NetworkV_1[Citipower],Calc_NetworkV_1[[Customer type]:[Customer type]],OP_Rates!$E23,Calc_NetworkV_1[[Cost item]:[Cost item]],OP_Rates!$C23))*(1+Calc_ROM_1[Citipower]))*(1+GST),0,1))</f>
        <v>0</v>
      </c>
      <c r="H23" s="80" cm="1">
        <f t="array" ref="H23">IF(H12="-","-",
IF(H12=
((SUMIFS(Calc_Variable_1[Jemena],Calc_Variable_1[[Customer type]:[Customer type]],"All")+SUMIFS(Calc_Variable_1[Jemena],Calc_Variable_1[[Customer type]:[Customer type]],OP_Rates!$E23)+
SUMIFS(Calc_NetworkV_1[Jemena],Calc_NetworkV_1[[Customer type]:[Customer type]],OP_Rates!$E23,Calc_NetworkV_1[[Cost item]:[Cost item]],OP_Rates!$C23))*(1+Calc_ROM_1[Jemena]))*(1+GST),0,1))</f>
        <v>0</v>
      </c>
      <c r="I23" s="80" cm="1">
        <f t="array" ref="I23">IF(I12="-","-",
IF(I12=
((SUMIFS(Calc_Variable_1[Powercor],Calc_Variable_1[[Customer type]:[Customer type]],"All")+SUMIFS(Calc_Variable_1[Powercor],Calc_Variable_1[[Customer type]:[Customer type]],OP_Rates!$E23)+
SUMIFS(Calc_NetworkV_1[Powercor],Calc_NetworkV_1[[Customer type]:[Customer type]],OP_Rates!$E23,Calc_NetworkV_1[[Cost item]:[Cost item]],OP_Rates!$C23))*(1+Calc_ROM_1[Powercor]))*(1+GST),0,1))</f>
        <v>0</v>
      </c>
      <c r="J23" s="80" cm="1">
        <f t="array" ref="J23">IF(J12="-","-",
IF(J12=
((SUMIFS(Calc_Variable_1[United Energy],Calc_Variable_1[[Customer type]:[Customer type]],"All")+SUMIFS(Calc_Variable_1[United Energy],Calc_Variable_1[[Customer type]:[Customer type]],OP_Rates!$E23)+
SUMIFS(Calc_NetworkV_1[United Energy],Calc_NetworkV_1[[Customer type]:[Customer type]],OP_Rates!$E23,Calc_NetworkV_1[[Cost item]:[Cost item]],OP_Rates!$C23))*(1+Calc_ROM_1[United Energy]))*(1+GST),0,1))</f>
        <v>0</v>
      </c>
      <c r="L23" s="21" t="s">
        <v>291</v>
      </c>
      <c r="M23" s="21" t="s">
        <v>284</v>
      </c>
      <c r="N23" s="21" t="s">
        <v>89</v>
      </c>
      <c r="O23" s="80" t="str" cm="1">
        <f t="array" ref="O23">IF(O12="-","-",
IF(O12=
((SUMIFS(Calc_Variable_1[Ausnet],Calc_Variable_1[[Customer type]:[Customer type]],"All")+SUMIFS(Calc_Variable_1[Ausnet],Calc_Variable_1[[Customer type]:[Customer type]],OP_Rates!$N23)+
SUMIFS(Calc_NetworkV_1[Ausnet],Calc_NetworkV_1[[Customer type]:[Customer type]],OP_Rates!$N23,Calc_NetworkV_1[[Cost item]:[Cost item]],OP_Rates!$L23))*(1+Calc_ROM_1[Ausnet]))*(1+GST),0,1))</f>
        <v>-</v>
      </c>
      <c r="P23" s="80" cm="1">
        <f t="array" ref="P23">IF(P12="-","-",
IF(P12=
((SUMIFS(Calc_Variable_1[Citipower],Calc_Variable_1[[Customer type]:[Customer type]],"All")+SUMIFS(Calc_Variable_1[Citipower],Calc_Variable_1[[Customer type]:[Customer type]],OP_Rates!$N23)+
SUMIFS(Calc_NetworkV_1[Citipower],Calc_NetworkV_1[[Customer type]:[Customer type]],OP_Rates!$N23,Calc_NetworkV_1[[Cost item]:[Cost item]],OP_Rates!$L23))*(1+Calc_ROM_1[Citipower]))*(1+GST),0,1))</f>
        <v>0</v>
      </c>
      <c r="Q23" s="80" cm="1">
        <f t="array" ref="Q23">IF(Q12="-","-",
IF(Q12=
((SUMIFS(Calc_Variable_1[Jemena],Calc_Variable_1[[Customer type]:[Customer type]],"All")+SUMIFS(Calc_Variable_1[Jemena],Calc_Variable_1[[Customer type]:[Customer type]],OP_Rates!$N23)+
SUMIFS(Calc_NetworkV_1[Jemena],Calc_NetworkV_1[[Customer type]:[Customer type]],OP_Rates!$N23,Calc_NetworkV_1[[Cost item]:[Cost item]],OP_Rates!$L23))*(1+Calc_ROM_1[Jemena]))*(1+GST),0,1))</f>
        <v>0</v>
      </c>
      <c r="R23" s="80" cm="1">
        <f t="array" ref="R23">IF(R12="-","-",
IF(R12=
((SUMIFS(Calc_Variable_1[Powercor],Calc_Variable_1[[Customer type]:[Customer type]],"All")+SUMIFS(Calc_Variable_1[Powercor],Calc_Variable_1[[Customer type]:[Customer type]],OP_Rates!$N23)+
SUMIFS(Calc_NetworkV_1[Powercor],Calc_NetworkV_1[[Customer type]:[Customer type]],OP_Rates!$N23,Calc_NetworkV_1[[Cost item]:[Cost item]],OP_Rates!$L23))*(1+Calc_ROM_1[Powercor]))*(1+GST),0,1))</f>
        <v>0</v>
      </c>
      <c r="S23" s="80" cm="1">
        <f t="array" ref="S23">IF(S12="-","-",
IF(S12=
((SUMIFS(Calc_Variable_1[United Energy],Calc_Variable_1[[Customer type]:[Customer type]],"All")+SUMIFS(Calc_Variable_1[United Energy],Calc_Variable_1[[Customer type]:[Customer type]],OP_Rates!$N23)+
SUMIFS(Calc_NetworkV_1[United Energy],Calc_NetworkV_1[[Customer type]:[Customer type]],OP_Rates!$N23,Calc_NetworkV_1[[Cost item]:[Cost item]],OP_Rates!$L23))*(1+Calc_ROM_1[United Energy]))*(1+GST),0,1))</f>
        <v>0</v>
      </c>
    </row>
    <row r="24" spans="1:24" ht="15.5" hidden="1" x14ac:dyDescent="0.35">
      <c r="C24" s="21" t="s">
        <v>381</v>
      </c>
      <c r="D24" s="21" t="s">
        <v>102</v>
      </c>
      <c r="E24" s="21" t="s">
        <v>88</v>
      </c>
      <c r="F24" s="80" t="str" cm="1">
        <f t="array" ref="F24">IF(F13="-","-",
IF(F13=
(((SUMIFS(Calc_NetworkF_1[Ausnet],Calc_NetworkF_1[[Cost item]:[Cost item]],$C24,Calc_NetworkF_1[[Customer type]:[Customer type]],$E24)+SUMIFS(Calc_Fixed_1[Ausnet],Calc_Fixed_1[[Customer type]:[Customer type]],"All")+SUMIFS(Calc_Fixed_1[Ausnet],Calc_Fixed_1[[Customer type]:[Customer type]],$E24))/DiY)*
(1+Calc_ROM_1[Ausnet]))*(1+GST),0,1))</f>
        <v>-</v>
      </c>
      <c r="G24" s="80" t="str" cm="1">
        <f t="array" ref="G24">IF(G13="-","-",
IF(G13=
(((SUMIFS(Calc_NetworkF_1[Citipower],Calc_NetworkF_1[[Cost item]:[Cost item]],$C24,Calc_NetworkF_1[[Customer type]:[Customer type]],$E24)+SUMIFS(Calc_Fixed_1[Citipower],Calc_Fixed_1[[Customer type]:[Customer type]],"All")+SUMIFS(Calc_Fixed_1[Citipower],Calc_Fixed_1[[Customer type]:[Customer type]],$E24))/DiY)*
(1+Calc_ROM_1[Citipower]))*(1+GST),0,1))</f>
        <v>-</v>
      </c>
      <c r="H24" s="80" t="str" cm="1">
        <f t="array" ref="H24">IF(H13="-","-",
IF(H13=
(((SUMIFS(Calc_NetworkF_1[Jemena],Calc_NetworkF_1[[Cost item]:[Cost item]],$C24,Calc_NetworkF_1[[Customer type]:[Customer type]],$E24)+SUMIFS(Calc_Fixed_1[Jemena],Calc_Fixed_1[[Customer type]:[Customer type]],"All")+SUMIFS(Calc_Fixed_1[Jemena],Calc_Fixed_1[[Customer type]:[Customer type]],$E24))/DiY)*
(1+Calc_ROM_1[Jemena]))*(1+GST),0,1))</f>
        <v>-</v>
      </c>
      <c r="I24" s="80" t="str" cm="1">
        <f t="array" ref="I24">IF(I13="-","-",
IF(I13=
(((SUMIFS(Calc_NetworkF_1[Powercor],Calc_NetworkF_1[[Cost item]:[Cost item]],$C24,Calc_NetworkF_1[[Customer type]:[Customer type]],$E24)+SUMIFS(Calc_Fixed_1[Powercor],Calc_Fixed_1[[Customer type]:[Customer type]],"All")+SUMIFS(Calc_Fixed_1[Powercor],Calc_Fixed_1[[Customer type]:[Customer type]],$E24))/DiY)*
(1+Calc_ROM_1[Powercor]))*(1+GST),0,1))</f>
        <v>-</v>
      </c>
      <c r="J24" s="80" t="str" cm="1">
        <f t="array" ref="J24">IF(J13="-","-",
IF(J13=
(((SUMIFS(Calc_NetworkF_1[United Energy],Calc_NetworkF_1[[Cost item]:[Cost item]],$C24,Calc_NetworkF_1[[Customer type]:[Customer type]],$E24)+SUMIFS(Calc_Fixed_1[United Energy],Calc_Fixed_1[[Customer type]:[Customer type]],"All")+SUMIFS(Calc_Fixed_1[United Energy],Calc_Fixed_1[[Customer type]:[Customer type]],$E24))/DiY)*
(1+Calc_ROM_1[United Energy]))*(1+GST),0,1))</f>
        <v>-</v>
      </c>
      <c r="L24" s="21" t="s">
        <v>381</v>
      </c>
      <c r="M24" s="21" t="s">
        <v>284</v>
      </c>
      <c r="N24" s="21" t="s">
        <v>89</v>
      </c>
      <c r="O24" s="80" t="str" cm="1">
        <f t="array" ref="O24">IF(O13="-","-",
IF(O13=
(((SUMIFS(Calc_NetworkF_1[Ausnet],Calc_NetworkF_1[[Cost item]:[Cost item]],$L24,Calc_NetworkF_1[[Customer type]:[Customer type]],$N24)+SUMIFS(Calc_Fixed_1[Ausnet],Calc_Fixed_1[[Customer type]:[Customer type]],"All")+SUMIFS(Calc_Fixed_1[Ausnet],Calc_Fixed_1[[Customer type]:[Customer type]],$N24))/DiY)*
(1+Calc_ROM_1[Ausnet]))*(1+GST),0,1))</f>
        <v>-</v>
      </c>
      <c r="P24" s="80" t="str" cm="1">
        <f t="array" ref="P24">IF(P13="-","-",
IF(P13=
(((SUMIFS(Calc_NetworkF_1[Citipower],Calc_NetworkF_1[[Cost item]:[Cost item]],$L24,Calc_NetworkF_1[[Customer type]:[Customer type]],$N24)+SUMIFS(Calc_Fixed_1[Citipower],Calc_Fixed_1[[Customer type]:[Customer type]],"All")+SUMIFS(Calc_Fixed_1[Citipower],Calc_Fixed_1[[Customer type]:[Customer type]],$N24))/DiY)*
(1+Calc_ROM_1[Citipower]))*(1+GST),0,1))</f>
        <v>-</v>
      </c>
      <c r="Q24" s="80" t="str" cm="1">
        <f t="array" ref="Q24">IF(Q13="-","-",
IF(Q13=
(((SUMIFS(Calc_NetworkF_1[Jemena],Calc_NetworkF_1[[Cost item]:[Cost item]],$L24,Calc_NetworkF_1[[Customer type]:[Customer type]],$N24)+SUMIFS(Calc_Fixed_1[Jemena],Calc_Fixed_1[[Customer type]:[Customer type]],"All")+SUMIFS(Calc_Fixed_1[Jemena],Calc_Fixed_1[[Customer type]:[Customer type]],$N24))/DiY)*
(1+Calc_ROM_1[Jemena]))*(1+GST),0,1))</f>
        <v>-</v>
      </c>
      <c r="R24" s="80" t="str" cm="1">
        <f t="array" ref="R24">IF(R13="-","-",
IF(R13=
(((SUMIFS(Calc_NetworkF_1[Powercor],Calc_NetworkF_1[[Cost item]:[Cost item]],$L24,Calc_NetworkF_1[[Customer type]:[Customer type]],$N24)+SUMIFS(Calc_Fixed_1[Powercor],Calc_Fixed_1[[Customer type]:[Customer type]],"All")+SUMIFS(Calc_Fixed_1[Powercor],Calc_Fixed_1[[Customer type]:[Customer type]],$N24))/DiY)*
(1+Calc_ROM_1[Powercor]))*(1+GST),0,1))</f>
        <v>-</v>
      </c>
      <c r="S24" s="80" t="str" cm="1">
        <f t="array" ref="S24">IF(S13="-","-",
IF(S13=
(((SUMIFS(Calc_NetworkF_1[United Energy],Calc_NetworkF_1[[Cost item]:[Cost item]],$L24,Calc_NetworkF_1[[Customer type]:[Customer type]],$N24)+SUMIFS(Calc_Fixed_1[United Energy],Calc_Fixed_1[[Customer type]:[Customer type]],"All")+SUMIFS(Calc_Fixed_1[United Energy],Calc_Fixed_1[[Customer type]:[Customer type]],$N24))/DiY)*
(1+Calc_ROM_1[United Energy]))*(1+GST),0,1))</f>
        <v>-</v>
      </c>
    </row>
    <row r="25" spans="1:24" ht="15.5" hidden="1" x14ac:dyDescent="0.35">
      <c r="C25" s="21" t="s">
        <v>292</v>
      </c>
      <c r="D25" s="21" t="s">
        <v>102</v>
      </c>
      <c r="E25" s="21" t="s">
        <v>88</v>
      </c>
      <c r="F25" s="80" t="str" cm="1">
        <f t="array" ref="F25">IF(F14="-","-",
IF(F14=
((SUMIFS(Calc_Variable_1[Ausnet],Calc_Variable_1[[Customer type]:[Customer type]],"All")+SUMIFS(Calc_Variable_1[Ausnet],Calc_Variable_1[[Customer type]:[Customer type]],OP_Rates!$E25)+
SUMIFS(Calc_NetworkV_1[Ausnet],Calc_NetworkV_1[[Customer type]:[Customer type]],OP_Rates!$E25,Calc_NetworkV_1[[Cost item]:[Cost item]],OP_Rates!$C25))*(1+Calc_ROM_1[Ausnet]))*(1+GST),0,1))</f>
        <v>-</v>
      </c>
      <c r="G25" s="80" t="str" cm="1">
        <f t="array" ref="G25">IF(G14="-","-",
IF(G14=
((SUMIFS(Calc_Variable_1[Citipower],Calc_Variable_1[[Customer type]:[Customer type]],"All")+SUMIFS(Calc_Variable_1[Citipower],Calc_Variable_1[[Customer type]:[Customer type]],OP_Rates!$E25)+
SUMIFS(Calc_NetworkV_1[Citipower],Calc_NetworkV_1[[Customer type]:[Customer type]],OP_Rates!$E25,Calc_NetworkV_1[[Cost item]:[Cost item]],OP_Rates!$C25))*(1+Calc_ROM_1[Citipower]))*(1+GST),0,1))</f>
        <v>-</v>
      </c>
      <c r="H25" s="80" t="str" cm="1">
        <f t="array" ref="H25">IF(H14="-","-",
IF(H14=
((SUMIFS(Calc_Variable_1[Jemena],Calc_Variable_1[[Customer type]:[Customer type]],"All")+SUMIFS(Calc_Variable_1[Jemena],Calc_Variable_1[[Customer type]:[Customer type]],OP_Rates!$E25)+
SUMIFS(Calc_NetworkV_1[Jemena],Calc_NetworkV_1[[Customer type]:[Customer type]],OP_Rates!$E25,Calc_NetworkV_1[[Cost item]:[Cost item]],OP_Rates!$C25))*(1+Calc_ROM_1[Jemena]))*(1+GST),0,1))</f>
        <v>-</v>
      </c>
      <c r="I25" s="80" t="str" cm="1">
        <f t="array" ref="I25">IF(I14="-","-",
IF(I14=
((SUMIFS(Calc_Variable_1[Powercor],Calc_Variable_1[[Customer type]:[Customer type]],"All")+SUMIFS(Calc_Variable_1[Powercor],Calc_Variable_1[[Customer type]:[Customer type]],OP_Rates!$E25)+
SUMIFS(Calc_NetworkV_1[Powercor],Calc_NetworkV_1[[Customer type]:[Customer type]],OP_Rates!$E25,Calc_NetworkV_1[[Cost item]:[Cost item]],OP_Rates!$C25))*(1+Calc_ROM_1[Powercor]))*(1+GST),0,1))</f>
        <v>-</v>
      </c>
      <c r="J25" s="80" t="str" cm="1">
        <f t="array" ref="J25">IF(J14="-","-",
IF(J14=
((SUMIFS(Calc_Variable_1[United Energy],Calc_Variable_1[[Customer type]:[Customer type]],"All")+SUMIFS(Calc_Variable_1[United Energy],Calc_Variable_1[[Customer type]:[Customer type]],OP_Rates!$E25)+
SUMIFS(Calc_NetworkV_1[United Energy],Calc_NetworkV_1[[Customer type]:[Customer type]],OP_Rates!$E25,Calc_NetworkV_1[[Cost item]:[Cost item]],OP_Rates!$C25))*(1+Calc_ROM_1[United Energy]))*(1+GST),0,1))</f>
        <v>-</v>
      </c>
      <c r="L25" s="21" t="s">
        <v>292</v>
      </c>
      <c r="M25" s="21" t="s">
        <v>284</v>
      </c>
      <c r="N25" s="21" t="s">
        <v>89</v>
      </c>
      <c r="O25" s="80" t="str" cm="1">
        <f t="array" ref="O25">IF(O14="-","-",
IF(O14=
((SUMIFS(Calc_Variable_1[Ausnet],Calc_Variable_1[[Customer type]:[Customer type]],"All")+SUMIFS(Calc_Variable_1[Ausnet],Calc_Variable_1[[Customer type]:[Customer type]],OP_Rates!$N25)+
SUMIFS(Calc_NetworkV_1[Ausnet],Calc_NetworkV_1[[Customer type]:[Customer type]],OP_Rates!$N25,Calc_NetworkV_1[[Cost item]:[Cost item]],OP_Rates!$L25))*(1+Calc_ROM_1[Ausnet]))*(1+GST),0,1))</f>
        <v>-</v>
      </c>
      <c r="P25" s="80" t="str" cm="1">
        <f t="array" ref="P25">IF(P14="-","-",
IF(P14=
((SUMIFS(Calc_Variable_1[Citipower],Calc_Variable_1[[Customer type]:[Customer type]],"All")+SUMIFS(Calc_Variable_1[Citipower],Calc_Variable_1[[Customer type]:[Customer type]],OP_Rates!$N25)+
SUMIFS(Calc_NetworkV_1[Citipower],Calc_NetworkV_1[[Customer type]:[Customer type]],OP_Rates!$N25,Calc_NetworkV_1[[Cost item]:[Cost item]],OP_Rates!$L25))*(1+Calc_ROM_1[Citipower]))*(1+GST),0,1))</f>
        <v>-</v>
      </c>
      <c r="Q25" s="80" t="str" cm="1">
        <f t="array" ref="Q25">IF(Q14="-","-",
IF(Q14=
((SUMIFS(Calc_Variable_1[Jemena],Calc_Variable_1[[Customer type]:[Customer type]],"All")+SUMIFS(Calc_Variable_1[Jemena],Calc_Variable_1[[Customer type]:[Customer type]],OP_Rates!$N25)+
SUMIFS(Calc_NetworkV_1[Jemena],Calc_NetworkV_1[[Customer type]:[Customer type]],OP_Rates!$N25,Calc_NetworkV_1[[Cost item]:[Cost item]],OP_Rates!$L25))*(1+Calc_ROM_1[Jemena]))*(1+GST),0,1))</f>
        <v>-</v>
      </c>
      <c r="R25" s="80" t="str" cm="1">
        <f t="array" ref="R25">IF(R14="-","-",
IF(R14=
((SUMIFS(Calc_Variable_1[Powercor],Calc_Variable_1[[Customer type]:[Customer type]],"All")+SUMIFS(Calc_Variable_1[Powercor],Calc_Variable_1[[Customer type]:[Customer type]],OP_Rates!$N25)+
SUMIFS(Calc_NetworkV_1[Powercor],Calc_NetworkV_1[[Customer type]:[Customer type]],OP_Rates!$N25,Calc_NetworkV_1[[Cost item]:[Cost item]],OP_Rates!$L25))*(1+Calc_ROM_1[Powercor]))*(1+GST),0,1))</f>
        <v>-</v>
      </c>
      <c r="S25" s="80" t="str" cm="1">
        <f t="array" ref="S25">IF(S14="-","-",
IF(S14=
((SUMIFS(Calc_Variable_1[United Energy],Calc_Variable_1[[Customer type]:[Customer type]],"All")+SUMIFS(Calc_Variable_1[United Energy],Calc_Variable_1[[Customer type]:[Customer type]],OP_Rates!$N25)+
SUMIFS(Calc_NetworkV_1[United Energy],Calc_NetworkV_1[[Customer type]:[Customer type]],OP_Rates!$N25,Calc_NetworkV_1[[Cost item]:[Cost item]],OP_Rates!$L25))*(1+Calc_ROM_1[United Energy]))*(1+GST),0,1))</f>
        <v>-</v>
      </c>
    </row>
    <row r="26" spans="1:24" ht="15.5" hidden="1" x14ac:dyDescent="0.35">
      <c r="C26" s="21" t="s">
        <v>293</v>
      </c>
      <c r="D26" s="21" t="s">
        <v>102</v>
      </c>
      <c r="E26" s="21" t="s">
        <v>88</v>
      </c>
      <c r="F26" s="80" t="str" cm="1">
        <f t="array" ref="F26">IF(F15="-","-",
IF(F15=
((SUMIFS(Calc_Variable_1[Ausnet],Calc_Variable_1[[Customer type]:[Customer type]],"All")+SUMIFS(Calc_Variable_1[Ausnet],Calc_Variable_1[[Customer type]:[Customer type]],OP_Rates!$E26)+
SUMIFS(Calc_NetworkV_1[Ausnet],Calc_NetworkV_1[[Customer type]:[Customer type]],OP_Rates!$E26,Calc_NetworkV_1[[Cost item]:[Cost item]],OP_Rates!$C26))*(1+Calc_ROM_1[Ausnet]))*(1+GST),0,1))</f>
        <v>-</v>
      </c>
      <c r="G26" s="80" t="str" cm="1">
        <f t="array" ref="G26">IF(G15="-","-",
IF(G15=
((SUMIFS(Calc_Variable_1[Citipower],Calc_Variable_1[[Customer type]:[Customer type]],"All")+SUMIFS(Calc_Variable_1[Citipower],Calc_Variable_1[[Customer type]:[Customer type]],OP_Rates!$E26)+
SUMIFS(Calc_NetworkV_1[Citipower],Calc_NetworkV_1[[Customer type]:[Customer type]],OP_Rates!$E26,Calc_NetworkV_1[[Cost item]:[Cost item]],OP_Rates!$C26))*(1+Calc_ROM_1[Citipower]))*(1+GST),0,1))</f>
        <v>-</v>
      </c>
      <c r="H26" s="80" t="str" cm="1">
        <f t="array" ref="H26">IF(H15="-","-",
IF(H15=
((SUMIFS(Calc_Variable_1[Jemena],Calc_Variable_1[[Customer type]:[Customer type]],"All")+SUMIFS(Calc_Variable_1[Jemena],Calc_Variable_1[[Customer type]:[Customer type]],OP_Rates!$E26)+
SUMIFS(Calc_NetworkV_1[Jemena],Calc_NetworkV_1[[Customer type]:[Customer type]],OP_Rates!$E26,Calc_NetworkV_1[[Cost item]:[Cost item]],OP_Rates!$C26))*(1+Calc_ROM_1[Jemena]))*(1+GST),0,1))</f>
        <v>-</v>
      </c>
      <c r="I26" s="80" t="str" cm="1">
        <f t="array" ref="I26">IF(I15="-","-",
IF(I15=
((SUMIFS(Calc_Variable_1[Powercor],Calc_Variable_1[[Customer type]:[Customer type]],"All")+SUMIFS(Calc_Variable_1[Powercor],Calc_Variable_1[[Customer type]:[Customer type]],OP_Rates!$E26)+
SUMIFS(Calc_NetworkV_1[Powercor],Calc_NetworkV_1[[Customer type]:[Customer type]],OP_Rates!$E26,Calc_NetworkV_1[[Cost item]:[Cost item]],OP_Rates!$C26))*(1+Calc_ROM_1[Powercor]))*(1+GST),0,1))</f>
        <v>-</v>
      </c>
      <c r="J26" s="80" t="str" cm="1">
        <f t="array" ref="J26">IF(J15="-","-",
IF(J15=
((SUMIFS(Calc_Variable_1[United Energy],Calc_Variable_1[[Customer type]:[Customer type]],"All")+SUMIFS(Calc_Variable_1[United Energy],Calc_Variable_1[[Customer type]:[Customer type]],OP_Rates!$E26)+
SUMIFS(Calc_NetworkV_1[United Energy],Calc_NetworkV_1[[Customer type]:[Customer type]],OP_Rates!$E26,Calc_NetworkV_1[[Cost item]:[Cost item]],OP_Rates!$C26))*(1+Calc_ROM_1[United Energy]))*(1+GST),0,1))</f>
        <v>-</v>
      </c>
      <c r="L26" s="21" t="s">
        <v>293</v>
      </c>
      <c r="M26" s="21" t="s">
        <v>284</v>
      </c>
      <c r="N26" s="21" t="s">
        <v>89</v>
      </c>
      <c r="O26" s="80" t="str" cm="1">
        <f t="array" ref="O26">IF(O15="-","-",
IF(O15=
((SUMIFS(Calc_Variable_1[Ausnet],Calc_Variable_1[[Customer type]:[Customer type]],"All")+SUMIFS(Calc_Variable_1[Ausnet],Calc_Variable_1[[Customer type]:[Customer type]],OP_Rates!$N26)+
SUMIFS(Calc_NetworkV_1[Ausnet],Calc_NetworkV_1[[Customer type]:[Customer type]],OP_Rates!$N26,Calc_NetworkV_1[[Cost item]:[Cost item]],OP_Rates!$L26))*(1+Calc_ROM_1[Ausnet]))*(1+GST),0,1))</f>
        <v>-</v>
      </c>
      <c r="P26" s="80" t="str" cm="1">
        <f t="array" ref="P26">IF(P15="-","-",
IF(P15=
((SUMIFS(Calc_Variable_1[Citipower],Calc_Variable_1[[Customer type]:[Customer type]],"All")+SUMIFS(Calc_Variable_1[Citipower],Calc_Variable_1[[Customer type]:[Customer type]],OP_Rates!$N26)+
SUMIFS(Calc_NetworkV_1[Citipower],Calc_NetworkV_1[[Customer type]:[Customer type]],OP_Rates!$N26,Calc_NetworkV_1[[Cost item]:[Cost item]],OP_Rates!$L26))*(1+Calc_ROM_1[Citipower]))*(1+GST),0,1))</f>
        <v>-</v>
      </c>
      <c r="Q26" s="80" t="str" cm="1">
        <f t="array" ref="Q26">IF(Q15="-","-",
IF(Q15=
((SUMIFS(Calc_Variable_1[Jemena],Calc_Variable_1[[Customer type]:[Customer type]],"All")+SUMIFS(Calc_Variable_1[Jemena],Calc_Variable_1[[Customer type]:[Customer type]],OP_Rates!$N26)+
SUMIFS(Calc_NetworkV_1[Jemena],Calc_NetworkV_1[[Customer type]:[Customer type]],OP_Rates!$N26,Calc_NetworkV_1[[Cost item]:[Cost item]],OP_Rates!$L26))*(1+Calc_ROM_1[Jemena]))*(1+GST),0,1))</f>
        <v>-</v>
      </c>
      <c r="R26" s="80" t="str" cm="1">
        <f t="array" ref="R26">IF(R15="-","-",
IF(R15=
((SUMIFS(Calc_Variable_1[Powercor],Calc_Variable_1[[Customer type]:[Customer type]],"All")+SUMIFS(Calc_Variable_1[Powercor],Calc_Variable_1[[Customer type]:[Customer type]],OP_Rates!$N26)+
SUMIFS(Calc_NetworkV_1[Powercor],Calc_NetworkV_1[[Customer type]:[Customer type]],OP_Rates!$N26,Calc_NetworkV_1[[Cost item]:[Cost item]],OP_Rates!$L26))*(1+Calc_ROM_1[Powercor]))*(1+GST),0,1))</f>
        <v>-</v>
      </c>
      <c r="S26" s="80" t="str" cm="1">
        <f t="array" ref="S26">IF(S15="-","-",
IF(S15=
((SUMIFS(Calc_Variable_1[United Energy],Calc_Variable_1[[Customer type]:[Customer type]],"All")+SUMIFS(Calc_Variable_1[United Energy],Calc_Variable_1[[Customer type]:[Customer type]],OP_Rates!$N26)+
SUMIFS(Calc_NetworkV_1[United Energy],Calc_NetworkV_1[[Customer type]:[Customer type]],OP_Rates!$N26,Calc_NetworkV_1[[Cost item]:[Cost item]],OP_Rates!$L26))*(1+Calc_ROM_1[United Energy]))*(1+GST),0,1))</f>
        <v>-</v>
      </c>
    </row>
    <row r="27" spans="1:24" ht="15.5" x14ac:dyDescent="0.35">
      <c r="C27" s="21" t="s">
        <v>294</v>
      </c>
      <c r="D27" s="21" t="s">
        <v>284</v>
      </c>
      <c r="E27" s="21" t="s">
        <v>88</v>
      </c>
      <c r="F27" s="80" cm="1">
        <f t="array" ref="F27">IF(F16="-","-",
IF(F16=
((SUMIFS(Calc_Variable_1[Ausnet],Calc_Variable_1[[Customer type]:[Customer type]],"All")+SUMIFS(Calc_Variable_1[Ausnet],Calc_Variable_1[[Customer type]:[Customer type]],OP_Rates!$E27)+
SUMIFS(Calc_NetworkV_1[Ausnet],Calc_NetworkV_1[[Customer type]:[Customer type]],OP_Rates!$E27,Calc_NetworkV_1[[Cost item]:[Cost item]],OP_Rates!$C27))*(1+Calc_ROM_1[Ausnet]))*(1+GST),0,1))</f>
        <v>0</v>
      </c>
      <c r="G27" s="80" cm="1">
        <f t="array" ref="G27">IF(G16="-","-",
IF(G16=
((SUMIFS(Calc_Variable_1[Citipower],Calc_Variable_1[[Customer type]:[Customer type]],"All")+SUMIFS(Calc_Variable_1[Citipower],Calc_Variable_1[[Customer type]:[Customer type]],OP_Rates!$E27)+
SUMIFS(Calc_NetworkV_1[Citipower],Calc_NetworkV_1[[Customer type]:[Customer type]],OP_Rates!$E27,Calc_NetworkV_1[[Cost item]:[Cost item]],OP_Rates!$C27))*(1+Calc_ROM_1[Citipower]))*(1+GST),0,1))</f>
        <v>0</v>
      </c>
      <c r="H27" s="80" cm="1">
        <f t="array" ref="H27">IF(H16="-","-",
IF(H16=
((SUMIFS(Calc_Variable_1[Jemena],Calc_Variable_1[[Customer type]:[Customer type]],"All")+SUMIFS(Calc_Variable_1[Jemena],Calc_Variable_1[[Customer type]:[Customer type]],OP_Rates!$E27)+
SUMIFS(Calc_NetworkV_1[Jemena],Calc_NetworkV_1[[Customer type]:[Customer type]],OP_Rates!$E27,Calc_NetworkV_1[[Cost item]:[Cost item]],OP_Rates!$C27))*(1+Calc_ROM_1[Jemena]))*(1+GST),0,1))</f>
        <v>0</v>
      </c>
      <c r="I27" s="80" cm="1">
        <f t="array" ref="I27">IF(I16="-","-",
IF(I16=
((SUMIFS(Calc_Variable_1[Powercor],Calc_Variable_1[[Customer type]:[Customer type]],"All")+SUMIFS(Calc_Variable_1[Powercor],Calc_Variable_1[[Customer type]:[Customer type]],OP_Rates!$E27)+
SUMIFS(Calc_NetworkV_1[Powercor],Calc_NetworkV_1[[Customer type]:[Customer type]],OP_Rates!$E27,Calc_NetworkV_1[[Cost item]:[Cost item]],OP_Rates!$C27))*(1+Calc_ROM_1[Powercor]))*(1+GST),0,1))</f>
        <v>0</v>
      </c>
      <c r="J27" s="80" cm="1">
        <f t="array" ref="J27">IF(J16="-","-",
IF(J16=
((SUMIFS(Calc_Variable_1[United Energy],Calc_Variable_1[[Customer type]:[Customer type]],"All")+SUMIFS(Calc_Variable_1[United Energy],Calc_Variable_1[[Customer type]:[Customer type]],OP_Rates!$E27)+
SUMIFS(Calc_NetworkV_1[United Energy],Calc_NetworkV_1[[Customer type]:[Customer type]],OP_Rates!$E27,Calc_NetworkV_1[[Cost item]:[Cost item]],OP_Rates!$C27))*(1+Calc_ROM_1[United Energy]))*(1+GST),0,1))</f>
        <v>0</v>
      </c>
      <c r="L27" s="21" t="s">
        <v>294</v>
      </c>
      <c r="M27" s="21" t="s">
        <v>284</v>
      </c>
      <c r="N27" s="21" t="s">
        <v>89</v>
      </c>
      <c r="O27" s="80" t="str" cm="1">
        <f t="array" ref="O27">IF(O16="-","-",
IF(O16=
((SUMIFS(Calc_Variable_1[Ausnet],Calc_Variable_1[[Customer type]:[Customer type]],"All")+SUMIFS(Calc_Variable_1[Ausnet],Calc_Variable_1[[Customer type]:[Customer type]],OP_Rates!$N27)+
SUMIFS(Calc_NetworkV_1[Ausnet],Calc_NetworkV_1[[Customer type]:[Customer type]],OP_Rates!$N27,Calc_NetworkV_1[[Cost item]:[Cost item]],OP_Rates!$L27))*(1+Calc_ROM_1[Ausnet]))*(1+GST),0,1))</f>
        <v>-</v>
      </c>
      <c r="P27" s="80" t="str" cm="1">
        <f t="array" ref="P27">IF(P16="-","-",
IF(P16=
((SUMIFS(Calc_Variable_1[Citipower],Calc_Variable_1[[Customer type]:[Customer type]],"All")+SUMIFS(Calc_Variable_1[Citipower],Calc_Variable_1[[Customer type]:[Customer type]],OP_Rates!$N27)+
SUMIFS(Calc_NetworkV_1[Citipower],Calc_NetworkV_1[[Customer type]:[Customer type]],OP_Rates!$N27,Calc_NetworkV_1[[Cost item]:[Cost item]],OP_Rates!$L27))*(1+Calc_ROM_1[Citipower]))*(1+GST),0,1))</f>
        <v>-</v>
      </c>
      <c r="Q27" s="80" t="str" cm="1">
        <f t="array" ref="Q27">IF(Q16="-","-",
IF(Q16=
((SUMIFS(Calc_Variable_1[Jemena],Calc_Variable_1[[Customer type]:[Customer type]],"All")+SUMIFS(Calc_Variable_1[Jemena],Calc_Variable_1[[Customer type]:[Customer type]],OP_Rates!$N27)+
SUMIFS(Calc_NetworkV_1[Jemena],Calc_NetworkV_1[[Customer type]:[Customer type]],OP_Rates!$N27,Calc_NetworkV_1[[Cost item]:[Cost item]],OP_Rates!$L27))*(1+Calc_ROM_1[Jemena]))*(1+GST),0,1))</f>
        <v>-</v>
      </c>
      <c r="R27" s="80" t="str" cm="1">
        <f t="array" ref="R27">IF(R16="-","-",
IF(R16=
((SUMIFS(Calc_Variable_1[Powercor],Calc_Variable_1[[Customer type]:[Customer type]],"All")+SUMIFS(Calc_Variable_1[Powercor],Calc_Variable_1[[Customer type]:[Customer type]],OP_Rates!$N27)+
SUMIFS(Calc_NetworkV_1[Powercor],Calc_NetworkV_1[[Customer type]:[Customer type]],OP_Rates!$N27,Calc_NetworkV_1[[Cost item]:[Cost item]],OP_Rates!$L27))*(1+Calc_ROM_1[Powercor]))*(1+GST),0,1))</f>
        <v>-</v>
      </c>
      <c r="S27" s="80" t="str" cm="1">
        <f t="array" ref="S27">IF(S16="-","-",
IF(S16=
((SUMIFS(Calc_Variable_1[United Energy],Calc_Variable_1[[Customer type]:[Customer type]],"All")+SUMIFS(Calc_Variable_1[United Energy],Calc_Variable_1[[Customer type]:[Customer type]],OP_Rates!$N27)+
SUMIFS(Calc_NetworkV_1[United Energy],Calc_NetworkV_1[[Customer type]:[Customer type]],OP_Rates!$N27,Calc_NetworkV_1[[Cost item]:[Cost item]],OP_Rates!$L27))*(1+Calc_ROM_1[United Energy]))*(1+GST),0,1))</f>
        <v>-</v>
      </c>
    </row>
    <row r="29" spans="1:24" ht="15.5" x14ac:dyDescent="0.35">
      <c r="A29" s="2" t="s">
        <v>22</v>
      </c>
    </row>
    <row r="30" spans="1:24" ht="16" thickBot="1" x14ac:dyDescent="0.4">
      <c r="B30" s="8">
        <f ca="1">MAX(B$3:B29)+0.1</f>
        <v>10.199999999999999</v>
      </c>
      <c r="C30" s="25" t="str">
        <f>"VDO rates - "&amp;Calc_Rates!$D$244</f>
        <v>VDO rates - VDO 2021 - Variation draft</v>
      </c>
      <c r="D30" s="25"/>
      <c r="E30" s="25"/>
      <c r="F30" s="25"/>
      <c r="G30" s="25"/>
      <c r="H30" s="25"/>
      <c r="I30" s="25"/>
      <c r="J30" s="25"/>
      <c r="K30" s="25"/>
      <c r="L30" s="25"/>
      <c r="M30" s="25"/>
      <c r="N30" s="25"/>
      <c r="O30" s="25"/>
      <c r="P30" s="25"/>
      <c r="Q30" s="25"/>
      <c r="R30" s="25"/>
      <c r="S30" s="25"/>
      <c r="T30" s="25"/>
      <c r="U30" s="25"/>
      <c r="V30" s="25"/>
      <c r="W30" s="25"/>
      <c r="X30" s="25"/>
    </row>
    <row r="32" spans="1:24" ht="15.5" x14ac:dyDescent="0.35">
      <c r="C32" s="26" t="s">
        <v>320</v>
      </c>
      <c r="H32" s="75"/>
      <c r="L32" s="26" t="s">
        <v>321</v>
      </c>
      <c r="Q32" s="75"/>
    </row>
    <row r="33" spans="3:19" ht="15.5" x14ac:dyDescent="0.35">
      <c r="C33" s="39" t="s">
        <v>322</v>
      </c>
      <c r="D33" s="39" t="s">
        <v>95</v>
      </c>
      <c r="E33" s="39" t="s">
        <v>87</v>
      </c>
      <c r="F33" s="55" t="s">
        <v>270</v>
      </c>
      <c r="G33" s="55" t="s">
        <v>271</v>
      </c>
      <c r="H33" s="55" t="s">
        <v>272</v>
      </c>
      <c r="I33" s="55" t="s">
        <v>273</v>
      </c>
      <c r="J33" s="73" t="s">
        <v>274</v>
      </c>
      <c r="L33" s="39" t="s">
        <v>322</v>
      </c>
      <c r="M33" s="39" t="s">
        <v>95</v>
      </c>
      <c r="N33" s="39" t="s">
        <v>87</v>
      </c>
      <c r="O33" s="55" t="s">
        <v>270</v>
      </c>
      <c r="P33" s="55" t="s">
        <v>271</v>
      </c>
      <c r="Q33" s="55" t="s">
        <v>272</v>
      </c>
      <c r="R33" s="55" t="s">
        <v>273</v>
      </c>
      <c r="S33" s="73" t="s">
        <v>274</v>
      </c>
    </row>
    <row r="34" spans="3:19" x14ac:dyDescent="0.35">
      <c r="C34" s="21" t="s">
        <v>380</v>
      </c>
      <c r="D34" s="21" t="s">
        <v>102</v>
      </c>
      <c r="E34" s="21" t="s">
        <v>88</v>
      </c>
      <c r="F34" s="57">
        <f>IF(SUMIFS(Calc_Rates!G$256:G$286,Calc_Rates!$C$256:$C$286,OP_Rates!$C34,Calc_Rates!$F$256:$F$286,OP_Rates!$E34)=0,"-",SUMIFS(Calc_Rates!G$256:G$286,Calc_Rates!$C$256:$C$286,OP_Rates!$C34,Calc_Rates!$F$256:$F$286,OP_Rates!$E34))</f>
        <v>1.1937465898036663</v>
      </c>
      <c r="G34" s="57">
        <f>IF(SUMIFS(Calc_Rates!H$256:H$286,Calc_Rates!$C$256:$C$286,OP_Rates!$C34,Calc_Rates!$F$256:$F$286,OP_Rates!$E34)=0,"-",SUMIFS(Calc_Rates!H$256:H$286,Calc_Rates!$C$256:$C$286,OP_Rates!$C34,Calc_Rates!$F$256:$F$286,OP_Rates!$E34))</f>
        <v>1.1125719529817484</v>
      </c>
      <c r="H34" s="57">
        <f>IF(SUMIFS(Calc_Rates!I$256:I$286,Calc_Rates!$C$256:$C$286,OP_Rates!$C34,Calc_Rates!$F$256:$F$286,OP_Rates!$E34)=0,"-",SUMIFS(Calc_Rates!I$256:I$286,Calc_Rates!$C$256:$C$286,OP_Rates!$C34,Calc_Rates!$F$256:$F$286,OP_Rates!$E34))</f>
        <v>1.0709540129269539</v>
      </c>
      <c r="I34" s="57">
        <f>IF(SUMIFS(Calc_Rates!J$256:J$286,Calc_Rates!$C$256:$C$286,OP_Rates!$C34,Calc_Rates!$F$256:$F$286,OP_Rates!$E34)=0,"-",SUMIFS(Calc_Rates!J$256:J$286,Calc_Rates!$C$256:$C$286,OP_Rates!$C34,Calc_Rates!$F$256:$F$286,OP_Rates!$E34))</f>
        <v>1.2677835725433924</v>
      </c>
      <c r="J34" s="57">
        <f>IF(SUMIFS(Calc_Rates!K$256:K$286,Calc_Rates!$C$256:$C$286,OP_Rates!$C34,Calc_Rates!$F$256:$F$286,OP_Rates!$E34)=0,"-",SUMIFS(Calc_Rates!K$256:K$286,Calc_Rates!$C$256:$C$286,OP_Rates!$C34,Calc_Rates!$F$256:$F$286,OP_Rates!$E34))</f>
        <v>1.0279459320502415</v>
      </c>
      <c r="L34" s="21" t="s">
        <v>380</v>
      </c>
      <c r="M34" s="21" t="s">
        <v>102</v>
      </c>
      <c r="N34" s="21" t="s">
        <v>89</v>
      </c>
      <c r="O34" s="57">
        <f>IF(SUMIFS(Calc_Rates!G$256:G$286,Calc_Rates!$C$256:$C$286,OP_Rates!$L34,Calc_Rates!$F$256:$F$286,OP_Rates!$N34)=0,"-",SUMIFS(Calc_Rates!G$256:G$286,Calc_Rates!$C$256:$C$286,OP_Rates!$L34,Calc_Rates!$F$256:$F$286,OP_Rates!$N34))</f>
        <v>1.1937465898036663</v>
      </c>
      <c r="P34" s="57">
        <f>IF(SUMIFS(Calc_Rates!H$256:H$286,Calc_Rates!$C$256:$C$286,OP_Rates!$L34,Calc_Rates!$F$256:$F$286,OP_Rates!$N34)=0,"-",SUMIFS(Calc_Rates!H$256:H$286,Calc_Rates!$C$256:$C$286,OP_Rates!$L34,Calc_Rates!$F$256:$F$286,OP_Rates!$N34))</f>
        <v>1.3362951449817482</v>
      </c>
      <c r="Q34" s="57">
        <f>IF(SUMIFS(Calc_Rates!I$256:I$286,Calc_Rates!$C$256:$C$286,OP_Rates!$L34,Calc_Rates!$F$256:$F$286,OP_Rates!$N34)=0,"-",SUMIFS(Calc_Rates!I$256:I$286,Calc_Rates!$C$256:$C$286,OP_Rates!$L34,Calc_Rates!$F$256:$F$286,OP_Rates!$N34))</f>
        <v>1.2379946123790087</v>
      </c>
      <c r="R34" s="57">
        <f>IF(SUMIFS(Calc_Rates!J$256:J$286,Calc_Rates!$C$256:$C$286,OP_Rates!$L34,Calc_Rates!$F$256:$F$286,OP_Rates!$N34)=0,"-",SUMIFS(Calc_Rates!J$256:J$286,Calc_Rates!$C$256:$C$286,OP_Rates!$L34,Calc_Rates!$F$256:$F$286,OP_Rates!$N34))</f>
        <v>1.3956253965433922</v>
      </c>
      <c r="S34" s="57">
        <f>IF(SUMIFS(Calc_Rates!K$256:K$286,Calc_Rates!$C$256:$C$286,OP_Rates!$L34,Calc_Rates!$F$256:$F$286,OP_Rates!$N34)=0,"-",SUMIFS(Calc_Rates!K$256:K$286,Calc_Rates!$C$256:$C$286,OP_Rates!$L34,Calc_Rates!$F$256:$F$286,OP_Rates!$N34))</f>
        <v>1.1557877560502414</v>
      </c>
    </row>
    <row r="35" spans="3:19" x14ac:dyDescent="0.35">
      <c r="C35" s="21" t="s">
        <v>323</v>
      </c>
      <c r="D35" s="21" t="s">
        <v>284</v>
      </c>
      <c r="E35" s="21" t="s">
        <v>88</v>
      </c>
      <c r="F35" s="57">
        <f>IF(SUMIFS(Calc_Rates!G$299:G$374,Calc_Rates!$C$299:$C$374,OP_Rates!$C35,Calc_Rates!$F$299:$F$374,OP_Rates!$E35)=0,"-",SUMIFS(Calc_Rates!G$299:G$374,Calc_Rates!$C$299:$C$374,OP_Rates!$C35,Calc_Rates!$F$299:$F$374,OP_Rates!$E35))</f>
        <v>0.28096607505702398</v>
      </c>
      <c r="G35" s="57" t="str">
        <f>IF(SUMIFS(Calc_Rates!H$299:H$374,Calc_Rates!$C$299:$C$374,OP_Rates!$C35,Calc_Rates!$F$299:$F$374,OP_Rates!$E35)=0,"-",SUMIFS(Calc_Rates!H$299:H$374,Calc_Rates!$C$299:$C$374,OP_Rates!$C35,Calc_Rates!$F$299:$F$374,OP_Rates!$E35))</f>
        <v>-</v>
      </c>
      <c r="H35" s="57" t="str">
        <f>IF(SUMIFS(Calc_Rates!I$299:I$374,Calc_Rates!$C$299:$C$374,OP_Rates!$C35,Calc_Rates!$F$299:$F$374,OP_Rates!$E35)=0,"-",SUMIFS(Calc_Rates!I$299:I$374,Calc_Rates!$C$299:$C$374,OP_Rates!$C35,Calc_Rates!$F$299:$F$374,OP_Rates!$E35))</f>
        <v>-</v>
      </c>
      <c r="I35" s="57" t="str">
        <f>IF(SUMIFS(Calc_Rates!J$299:J$374,Calc_Rates!$C$299:$C$374,OP_Rates!$C35,Calc_Rates!$F$299:$F$374,OP_Rates!$E35)=0,"-",SUMIFS(Calc_Rates!J$299:J$374,Calc_Rates!$C$299:$C$374,OP_Rates!$C35,Calc_Rates!$F$299:$F$374,OP_Rates!$E35))</f>
        <v>-</v>
      </c>
      <c r="J35" s="57" t="str">
        <f>IF(SUMIFS(Calc_Rates!K$299:K$374,Calc_Rates!$C$299:$C$374,OP_Rates!$C35,Calc_Rates!$F$299:$F$374,OP_Rates!$E35)=0,"-",SUMIFS(Calc_Rates!K$299:K$374,Calc_Rates!$C$299:$C$374,OP_Rates!$C35,Calc_Rates!$F$299:$F$374,OP_Rates!$E35))</f>
        <v>-</v>
      </c>
      <c r="L35" s="21" t="s">
        <v>323</v>
      </c>
      <c r="M35" s="21" t="s">
        <v>284</v>
      </c>
      <c r="N35" s="21" t="s">
        <v>89</v>
      </c>
      <c r="O35" s="57">
        <f>IF(SUMIFS(Calc_Rates!G$299:G$374,Calc_Rates!$C$299:$C$374,OP_Rates!$L35,Calc_Rates!$F$299:$F$374,OP_Rates!$N35)=0,"-",SUMIFS(Calc_Rates!G$299:G$374,Calc_Rates!$C$299:$C$374,OP_Rates!$L35,Calc_Rates!$F$299:$F$374,OP_Rates!$N35))</f>
        <v>0.3138673094273246</v>
      </c>
      <c r="P35" s="57" t="str">
        <f>IF(SUMIFS(Calc_Rates!H$299:H$374,Calc_Rates!$C$299:$C$374,OP_Rates!$L35,Calc_Rates!$F$299:$F$374,OP_Rates!$N35)=0,"-",SUMIFS(Calc_Rates!H$299:H$374,Calc_Rates!$C$299:$C$374,OP_Rates!$L35,Calc_Rates!$F$299:$F$374,OP_Rates!$N35))</f>
        <v>-</v>
      </c>
      <c r="Q35" s="57" t="str">
        <f>IF(SUMIFS(Calc_Rates!I$299:I$374,Calc_Rates!$C$299:$C$374,OP_Rates!$L35,Calc_Rates!$F$299:$F$374,OP_Rates!$N35)=0,"-",SUMIFS(Calc_Rates!I$299:I$374,Calc_Rates!$C$299:$C$374,OP_Rates!$L35,Calc_Rates!$F$299:$F$374,OP_Rates!$N35))</f>
        <v>-</v>
      </c>
      <c r="R35" s="57" t="str">
        <f>IF(SUMIFS(Calc_Rates!J$299:J$374,Calc_Rates!$C$299:$C$374,OP_Rates!$L35,Calc_Rates!$F$299:$F$374,OP_Rates!$N35)=0,"-",SUMIFS(Calc_Rates!J$299:J$374,Calc_Rates!$C$299:$C$374,OP_Rates!$L35,Calc_Rates!$F$299:$F$374,OP_Rates!$N35))</f>
        <v>-</v>
      </c>
      <c r="S35" s="57" t="str">
        <f>IF(SUMIFS(Calc_Rates!K$299:K$374,Calc_Rates!$C$299:$C$374,OP_Rates!$L35,Calc_Rates!$F$299:$F$374,OP_Rates!$N35)=0,"-",SUMIFS(Calc_Rates!K$299:K$374,Calc_Rates!$C$299:$C$374,OP_Rates!$L35,Calc_Rates!$F$299:$F$374,OP_Rates!$N35))</f>
        <v>-</v>
      </c>
    </row>
    <row r="36" spans="3:19" x14ac:dyDescent="0.35">
      <c r="C36" s="21" t="s">
        <v>324</v>
      </c>
      <c r="D36" s="21" t="s">
        <v>284</v>
      </c>
      <c r="E36" s="21" t="s">
        <v>88</v>
      </c>
      <c r="F36" s="57">
        <f>IF(SUMIFS(Calc_Rates!G$299:G$374,Calc_Rates!$C$299:$C$374,OP_Rates!$C36,Calc_Rates!$F$299:$F$374,OP_Rates!$E36)=0,"-",SUMIFS(Calc_Rates!G$299:G$374,Calc_Rates!$C$299:$C$374,OP_Rates!$C36,Calc_Rates!$F$299:$F$374,OP_Rates!$E36))</f>
        <v>0.29715509581702393</v>
      </c>
      <c r="G36" s="57" t="str">
        <f>IF(SUMIFS(Calc_Rates!H$299:H$374,Calc_Rates!$C$299:$C$374,OP_Rates!$C36,Calc_Rates!$F$299:$F$374,OP_Rates!$E36)=0,"-",SUMIFS(Calc_Rates!H$299:H$374,Calc_Rates!$C$299:$C$374,OP_Rates!$C36,Calc_Rates!$F$299:$F$374,OP_Rates!$E36))</f>
        <v>-</v>
      </c>
      <c r="H36" s="57" t="str">
        <f>IF(SUMIFS(Calc_Rates!I$299:I$374,Calc_Rates!$C$299:$C$374,OP_Rates!$C36,Calc_Rates!$F$299:$F$374,OP_Rates!$E36)=0,"-",SUMIFS(Calc_Rates!I$299:I$374,Calc_Rates!$C$299:$C$374,OP_Rates!$C36,Calc_Rates!$F$299:$F$374,OP_Rates!$E36))</f>
        <v>-</v>
      </c>
      <c r="I36" s="57" t="str">
        <f>IF(SUMIFS(Calc_Rates!J$299:J$374,Calc_Rates!$C$299:$C$374,OP_Rates!$C36,Calc_Rates!$F$299:$F$374,OP_Rates!$E36)=0,"-",SUMIFS(Calc_Rates!J$299:J$374,Calc_Rates!$C$299:$C$374,OP_Rates!$C36,Calc_Rates!$F$299:$F$374,OP_Rates!$E36))</f>
        <v>-</v>
      </c>
      <c r="J36" s="57" t="str">
        <f>IF(SUMIFS(Calc_Rates!K$299:K$374,Calc_Rates!$C$299:$C$374,OP_Rates!$C36,Calc_Rates!$F$299:$F$374,OP_Rates!$E36)=0,"-",SUMIFS(Calc_Rates!K$299:K$374,Calc_Rates!$C$299:$C$374,OP_Rates!$C36,Calc_Rates!$F$299:$F$374,OP_Rates!$E36))</f>
        <v>-</v>
      </c>
      <c r="L36" s="21" t="s">
        <v>324</v>
      </c>
      <c r="M36" s="21" t="s">
        <v>284</v>
      </c>
      <c r="N36" s="21" t="s">
        <v>89</v>
      </c>
      <c r="O36" s="57">
        <f>IF(SUMIFS(Calc_Rates!G$299:G$374,Calc_Rates!$C$299:$C$374,OP_Rates!$L36,Calc_Rates!$F$299:$F$374,OP_Rates!$N36)=0,"-",SUMIFS(Calc_Rates!G$299:G$374,Calc_Rates!$C$299:$C$374,OP_Rates!$L36,Calc_Rates!$F$299:$F$374,OP_Rates!$N36))</f>
        <v>0.34568895906732455</v>
      </c>
      <c r="P36" s="57" t="str">
        <f>IF(SUMIFS(Calc_Rates!H$299:H$374,Calc_Rates!$C$299:$C$374,OP_Rates!$L36,Calc_Rates!$F$299:$F$374,OP_Rates!$N36)=0,"-",SUMIFS(Calc_Rates!H$299:H$374,Calc_Rates!$C$299:$C$374,OP_Rates!$L36,Calc_Rates!$F$299:$F$374,OP_Rates!$N36))</f>
        <v>-</v>
      </c>
      <c r="Q36" s="57" t="str">
        <f>IF(SUMIFS(Calc_Rates!I$299:I$374,Calc_Rates!$C$299:$C$374,OP_Rates!$L36,Calc_Rates!$F$299:$F$374,OP_Rates!$N36)=0,"-",SUMIFS(Calc_Rates!I$299:I$374,Calc_Rates!$C$299:$C$374,OP_Rates!$L36,Calc_Rates!$F$299:$F$374,OP_Rates!$N36))</f>
        <v>-</v>
      </c>
      <c r="R36" s="57" t="str">
        <f>IF(SUMIFS(Calc_Rates!J$299:J$374,Calc_Rates!$C$299:$C$374,OP_Rates!$L36,Calc_Rates!$F$299:$F$374,OP_Rates!$N36)=0,"-",SUMIFS(Calc_Rates!J$299:J$374,Calc_Rates!$C$299:$C$374,OP_Rates!$L36,Calc_Rates!$F$299:$F$374,OP_Rates!$N36))</f>
        <v>-</v>
      </c>
      <c r="S36" s="57" t="str">
        <f>IF(SUMIFS(Calc_Rates!K$299:K$374,Calc_Rates!$C$299:$C$374,OP_Rates!$L36,Calc_Rates!$F$299:$F$374,OP_Rates!$N36)=0,"-",SUMIFS(Calc_Rates!K$299:K$374,Calc_Rates!$C$299:$C$374,OP_Rates!$L36,Calc_Rates!$F$299:$F$374,OP_Rates!$N36))</f>
        <v>-</v>
      </c>
    </row>
    <row r="37" spans="3:19" x14ac:dyDescent="0.35">
      <c r="C37" s="21" t="s">
        <v>325</v>
      </c>
      <c r="D37" s="21" t="s">
        <v>284</v>
      </c>
      <c r="E37" s="21" t="s">
        <v>88</v>
      </c>
      <c r="F37" s="57" t="str">
        <f>IF(SUMIFS(Calc_Rates!G$299:G$374,Calc_Rates!$C$299:$C$374,OP_Rates!$C37,Calc_Rates!$F$299:$F$374,OP_Rates!$E37)=0,"-",SUMIFS(Calc_Rates!G$299:G$374,Calc_Rates!$C$299:$C$374,OP_Rates!$C37,Calc_Rates!$F$299:$F$374,OP_Rates!$E37))</f>
        <v>-</v>
      </c>
      <c r="G37" s="57">
        <f>IF(SUMIFS(Calc_Rates!H$299:H$374,Calc_Rates!$C$299:$C$374,OP_Rates!$C37,Calc_Rates!$F$299:$F$374,OP_Rates!$E37)=0,"-",SUMIFS(Calc_Rates!H$299:H$374,Calc_Rates!$C$299:$C$374,OP_Rates!$C37,Calc_Rates!$F$299:$F$374,OP_Rates!$E37))</f>
        <v>0.23240770183227571</v>
      </c>
      <c r="H37" s="57">
        <f>IF(SUMIFS(Calc_Rates!I$299:I$374,Calc_Rates!$C$299:$C$374,OP_Rates!$C37,Calc_Rates!$F$299:$F$374,OP_Rates!$E37)=0,"-",SUMIFS(Calc_Rates!I$299:I$374,Calc_Rates!$C$299:$C$374,OP_Rates!$C37,Calc_Rates!$F$299:$F$374,OP_Rates!$E37))</f>
        <v>0.24901325243406419</v>
      </c>
      <c r="I37" s="57">
        <f>IF(SUMIFS(Calc_Rates!J$299:J$374,Calc_Rates!$C$299:$C$374,OP_Rates!$C37,Calc_Rates!$F$299:$F$374,OP_Rates!$E37)=0,"-",SUMIFS(Calc_Rates!J$299:J$374,Calc_Rates!$C$299:$C$374,OP_Rates!$C37,Calc_Rates!$F$299:$F$374,OP_Rates!$E37))</f>
        <v>0.24046692946340739</v>
      </c>
      <c r="J37" s="57">
        <f>IF(SUMIFS(Calc_Rates!K$299:K$374,Calc_Rates!$C$299:$C$374,OP_Rates!$C37,Calc_Rates!$F$299:$F$374,OP_Rates!$E37)=0,"-",SUMIFS(Calc_Rates!K$299:K$374,Calc_Rates!$C$299:$C$374,OP_Rates!$C37,Calc_Rates!$F$299:$F$374,OP_Rates!$E37))</f>
        <v>0.24370329238905025</v>
      </c>
      <c r="L37" s="21" t="s">
        <v>325</v>
      </c>
      <c r="M37" s="21" t="s">
        <v>284</v>
      </c>
      <c r="N37" s="21" t="s">
        <v>89</v>
      </c>
      <c r="O37" s="57" t="str">
        <f>IF(SUMIFS(Calc_Rates!G$299:G$374,Calc_Rates!$C$299:$C$374,OP_Rates!$L37,Calc_Rates!$F$299:$F$374,OP_Rates!$N37)=0,"-",SUMIFS(Calc_Rates!G$299:G$374,Calc_Rates!$C$299:$C$374,OP_Rates!$L37,Calc_Rates!$F$299:$F$374,OP_Rates!$N37))</f>
        <v>-</v>
      </c>
      <c r="P37" s="57">
        <f>IF(SUMIFS(Calc_Rates!H$299:H$374,Calc_Rates!$C$299:$C$374,OP_Rates!$L37,Calc_Rates!$F$299:$F$374,OP_Rates!$N37)=0,"-",SUMIFS(Calc_Rates!H$299:H$374,Calc_Rates!$C$299:$C$374,OP_Rates!$L37,Calc_Rates!$F$299:$F$374,OP_Rates!$N37))</f>
        <v>0.22958942839519708</v>
      </c>
      <c r="Q37" s="57">
        <f>IF(SUMIFS(Calc_Rates!I$299:I$374,Calc_Rates!$C$299:$C$374,OP_Rates!$L37,Calc_Rates!$F$299:$F$374,OP_Rates!$N37)=0,"-",SUMIFS(Calc_Rates!I$299:I$374,Calc_Rates!$C$299:$C$374,OP_Rates!$L37,Calc_Rates!$F$299:$F$374,OP_Rates!$N37))</f>
        <v>0.25968188088215716</v>
      </c>
      <c r="R37" s="57">
        <f>IF(SUMIFS(Calc_Rates!J$299:J$374,Calc_Rates!$C$299:$C$374,OP_Rates!$L37,Calc_Rates!$F$299:$F$374,OP_Rates!$N37)=0,"-",SUMIFS(Calc_Rates!J$299:J$374,Calc_Rates!$C$299:$C$374,OP_Rates!$L37,Calc_Rates!$F$299:$F$374,OP_Rates!$N37))</f>
        <v>0.23873463228956526</v>
      </c>
      <c r="S37" s="57">
        <f>IF(SUMIFS(Calc_Rates!K$299:K$374,Calc_Rates!$C$299:$C$374,OP_Rates!$L37,Calc_Rates!$F$299:$F$374,OP_Rates!$N37)=0,"-",SUMIFS(Calc_Rates!K$299:K$374,Calc_Rates!$C$299:$C$374,OP_Rates!$L37,Calc_Rates!$F$299:$F$374,OP_Rates!$N37))</f>
        <v>0.2387579555033354</v>
      </c>
    </row>
    <row r="38" spans="3:19" x14ac:dyDescent="0.35">
      <c r="C38" s="21" t="s">
        <v>381</v>
      </c>
      <c r="D38" s="21" t="s">
        <v>102</v>
      </c>
      <c r="E38" s="21" t="s">
        <v>88</v>
      </c>
      <c r="F38" s="57">
        <f>IF(SUMIFS(Calc_Rates!G$256:G$286,Calc_Rates!$C$256:$C$286,OP_Rates!$C38,Calc_Rates!$F$256:$F$286,OP_Rates!$E38)=0,"-",SUMIFS(Calc_Rates!G$256:G$286,Calc_Rates!$C$256:$C$286,OP_Rates!$C38,Calc_Rates!$F$256:$F$286,OP_Rates!$E38))</f>
        <v>1.1937465898036663</v>
      </c>
      <c r="G38" s="57">
        <f>IF(SUMIFS(Calc_Rates!H$256:H$286,Calc_Rates!$C$256:$C$286,OP_Rates!$C38,Calc_Rates!$F$256:$F$286,OP_Rates!$E38)=0,"-",SUMIFS(Calc_Rates!H$256:H$286,Calc_Rates!$C$256:$C$286,OP_Rates!$C38,Calc_Rates!$F$256:$F$286,OP_Rates!$E38))</f>
        <v>1.1125719529817484</v>
      </c>
      <c r="H38" s="57">
        <f>IF(SUMIFS(Calc_Rates!I$256:I$286,Calc_Rates!$C$256:$C$286,OP_Rates!$C38,Calc_Rates!$F$256:$F$286,OP_Rates!$E38)=0,"-",SUMIFS(Calc_Rates!I$256:I$286,Calc_Rates!$C$256:$C$286,OP_Rates!$C38,Calc_Rates!$F$256:$F$286,OP_Rates!$E38))</f>
        <v>1.0709540129269539</v>
      </c>
      <c r="I38" s="57">
        <f>IF(SUMIFS(Calc_Rates!J$256:J$286,Calc_Rates!$C$256:$C$286,OP_Rates!$C38,Calc_Rates!$F$256:$F$286,OP_Rates!$E38)=0,"-",SUMIFS(Calc_Rates!J$256:J$286,Calc_Rates!$C$256:$C$286,OP_Rates!$C38,Calc_Rates!$F$256:$F$286,OP_Rates!$E38))</f>
        <v>1.2677835725433924</v>
      </c>
      <c r="J38" s="57">
        <f>IF(SUMIFS(Calc_Rates!K$256:K$286,Calc_Rates!$C$256:$C$286,OP_Rates!$C38,Calc_Rates!$F$256:$F$286,OP_Rates!$E38)=0,"-",SUMIFS(Calc_Rates!K$256:K$286,Calc_Rates!$C$256:$C$286,OP_Rates!$C38,Calc_Rates!$F$256:$F$286,OP_Rates!$E38))</f>
        <v>1.0279459320502415</v>
      </c>
      <c r="L38" s="21" t="s">
        <v>381</v>
      </c>
      <c r="M38" s="21" t="s">
        <v>102</v>
      </c>
      <c r="N38" s="21" t="s">
        <v>89</v>
      </c>
      <c r="O38" s="57">
        <f>IF(SUMIFS(Calc_Rates!G$256:G$286,Calc_Rates!$C$256:$C$286,OP_Rates!$L38,Calc_Rates!$F$256:$F$286,OP_Rates!$N38)=0,"-",SUMIFS(Calc_Rates!G$256:G$286,Calc_Rates!$C$256:$C$286,OP_Rates!$L38,Calc_Rates!$F$256:$F$286,OP_Rates!$N38))</f>
        <v>1.1937465898036663</v>
      </c>
      <c r="P38" s="57">
        <f>IF(SUMIFS(Calc_Rates!H$256:H$286,Calc_Rates!$C$256:$C$286,OP_Rates!$L38,Calc_Rates!$F$256:$F$286,OP_Rates!$N38)=0,"-",SUMIFS(Calc_Rates!H$256:H$286,Calc_Rates!$C$256:$C$286,OP_Rates!$L38,Calc_Rates!$F$256:$F$286,OP_Rates!$N38))</f>
        <v>1.3362951449817482</v>
      </c>
      <c r="Q38" s="57">
        <f>IF(SUMIFS(Calc_Rates!I$256:I$286,Calc_Rates!$C$256:$C$286,OP_Rates!$L38,Calc_Rates!$F$256:$F$286,OP_Rates!$N38)=0,"-",SUMIFS(Calc_Rates!I$256:I$286,Calc_Rates!$C$256:$C$286,OP_Rates!$L38,Calc_Rates!$F$256:$F$286,OP_Rates!$N38))</f>
        <v>1.5820400850365428</v>
      </c>
      <c r="R38" s="57">
        <f>IF(SUMIFS(Calc_Rates!J$256:J$286,Calc_Rates!$C$256:$C$286,OP_Rates!$L38,Calc_Rates!$F$256:$F$286,OP_Rates!$N38)=0,"-",SUMIFS(Calc_Rates!J$256:J$286,Calc_Rates!$C$256:$C$286,OP_Rates!$L38,Calc_Rates!$F$256:$F$286,OP_Rates!$N38))</f>
        <v>1.3956253965433922</v>
      </c>
      <c r="S38" s="57">
        <f>IF(SUMIFS(Calc_Rates!K$256:K$286,Calc_Rates!$C$256:$C$286,OP_Rates!$L38,Calc_Rates!$F$256:$F$286,OP_Rates!$N38)=0,"-",SUMIFS(Calc_Rates!K$256:K$286,Calc_Rates!$C$256:$C$286,OP_Rates!$L38,Calc_Rates!$F$256:$F$286,OP_Rates!$N38))</f>
        <v>1.1557877560502414</v>
      </c>
    </row>
    <row r="39" spans="3:19" x14ac:dyDescent="0.35">
      <c r="C39" s="21" t="s">
        <v>326</v>
      </c>
      <c r="D39" s="21" t="s">
        <v>284</v>
      </c>
      <c r="E39" s="21" t="s">
        <v>88</v>
      </c>
      <c r="F39" s="57">
        <f>IF(SUMIFS(Calc_Rates!G$299:G$374,Calc_Rates!$C$299:$C$374,OP_Rates!$C39,Calc_Rates!$F$299:$F$374,OP_Rates!$E39)=0,"-",SUMIFS(Calc_Rates!G$299:G$374,Calc_Rates!$C$299:$C$374,OP_Rates!$C39,Calc_Rates!$F$299:$F$374,OP_Rates!$E39))</f>
        <v>0.39064526181702397</v>
      </c>
      <c r="G39" s="57">
        <f>IF(SUMIFS(Calc_Rates!H$299:H$374,Calc_Rates!$C$299:$C$374,OP_Rates!$C39,Calc_Rates!$F$299:$F$374,OP_Rates!$E39)=0,"-",SUMIFS(Calc_Rates!H$299:H$374,Calc_Rates!$C$299:$C$374,OP_Rates!$C39,Calc_Rates!$F$299:$F$374,OP_Rates!$E39))</f>
        <v>0.32443981783227571</v>
      </c>
      <c r="H39" s="57">
        <f>IF(SUMIFS(Calc_Rates!I$299:I$374,Calc_Rates!$C$299:$C$374,OP_Rates!$C39,Calc_Rates!$F$299:$F$374,OP_Rates!$E39)=0,"-",SUMIFS(Calc_Rates!I$299:I$374,Calc_Rates!$C$299:$C$374,OP_Rates!$C39,Calc_Rates!$F$299:$F$374,OP_Rates!$E39))</f>
        <v>0.30525898923406425</v>
      </c>
      <c r="I39" s="57">
        <f>IF(SUMIFS(Calc_Rates!J$299:J$374,Calc_Rates!$C$299:$C$374,OP_Rates!$C39,Calc_Rates!$F$299:$F$374,OP_Rates!$E39)=0,"-",SUMIFS(Calc_Rates!J$299:J$374,Calc_Rates!$C$299:$C$374,OP_Rates!$C39,Calc_Rates!$F$299:$F$374,OP_Rates!$E39))</f>
        <v>0.33051609746340732</v>
      </c>
      <c r="J39" s="57">
        <f>IF(SUMIFS(Calc_Rates!K$299:K$374,Calc_Rates!$C$299:$C$374,OP_Rates!$C39,Calc_Rates!$F$299:$F$374,OP_Rates!$E39)=0,"-",SUMIFS(Calc_Rates!K$299:K$374,Calc_Rates!$C$299:$C$374,OP_Rates!$C39,Calc_Rates!$F$299:$F$374,OP_Rates!$E39))</f>
        <v>0.3346856123890502</v>
      </c>
      <c r="L39" s="21" t="s">
        <v>326</v>
      </c>
      <c r="M39" s="21" t="s">
        <v>284</v>
      </c>
      <c r="N39" s="21" t="s">
        <v>89</v>
      </c>
      <c r="O39" s="57">
        <f>IF(SUMIFS(Calc_Rates!G$299:G$374,Calc_Rates!$C$299:$C$374,OP_Rates!$L39,Calc_Rates!$F$299:$F$374,OP_Rates!$N39)=0,"-",SUMIFS(Calc_Rates!G$299:G$374,Calc_Rates!$C$299:$C$374,OP_Rates!$L39,Calc_Rates!$F$299:$F$374,OP_Rates!$N39))</f>
        <v>0.33684734386732462</v>
      </c>
      <c r="P39" s="57">
        <f>IF(SUMIFS(Calc_Rates!H$299:H$374,Calc_Rates!$C$299:$C$374,OP_Rates!$L39,Calc_Rates!$F$299:$F$374,OP_Rates!$N39)=0,"-",SUMIFS(Calc_Rates!H$299:H$374,Calc_Rates!$C$299:$C$374,OP_Rates!$L39,Calc_Rates!$F$299:$F$374,OP_Rates!$N39))</f>
        <v>0.28569519239519703</v>
      </c>
      <c r="Q39" s="57">
        <f>IF(SUMIFS(Calc_Rates!I$299:I$374,Calc_Rates!$C$299:$C$374,OP_Rates!$L39,Calc_Rates!$F$299:$F$374,OP_Rates!$N39)=0,"-",SUMIFS(Calc_Rates!I$299:I$374,Calc_Rates!$C$299:$C$374,OP_Rates!$L39,Calc_Rates!$F$299:$F$374,OP_Rates!$N39))</f>
        <v>0.29885093608215718</v>
      </c>
      <c r="R39" s="57">
        <f>IF(SUMIFS(Calc_Rates!J$299:J$374,Calc_Rates!$C$299:$C$374,OP_Rates!$L39,Calc_Rates!$F$299:$F$374,OP_Rates!$N39)=0,"-",SUMIFS(Calc_Rates!J$299:J$374,Calc_Rates!$C$299:$C$374,OP_Rates!$L39,Calc_Rates!$F$299:$F$374,OP_Rates!$N39))</f>
        <v>0.30242225628956532</v>
      </c>
      <c r="S39" s="57">
        <f>IF(SUMIFS(Calc_Rates!K$299:K$374,Calc_Rates!$C$299:$C$374,OP_Rates!$L39,Calc_Rates!$F$299:$F$374,OP_Rates!$N39)=0,"-",SUMIFS(Calc_Rates!K$299:K$374,Calc_Rates!$C$299:$C$374,OP_Rates!$L39,Calc_Rates!$F$299:$F$374,OP_Rates!$N39))</f>
        <v>0.29941283550333542</v>
      </c>
    </row>
    <row r="40" spans="3:19" x14ac:dyDescent="0.35">
      <c r="C40" s="21" t="s">
        <v>327</v>
      </c>
      <c r="D40" s="21" t="s">
        <v>284</v>
      </c>
      <c r="E40" s="21" t="s">
        <v>88</v>
      </c>
      <c r="F40" s="57">
        <f>IF(SUMIFS(Calc_Rates!G$299:G$374,Calc_Rates!$C$299:$C$374,OP_Rates!$C40,Calc_Rates!$F$299:$F$374,OP_Rates!$E40)=0,"-",SUMIFS(Calc_Rates!G$299:G$374,Calc_Rates!$C$299:$C$374,OP_Rates!$C40,Calc_Rates!$F$299:$F$374,OP_Rates!$E40))</f>
        <v>0.19805085409702394</v>
      </c>
      <c r="G40" s="57">
        <f>IF(SUMIFS(Calc_Rates!H$299:H$374,Calc_Rates!$C$299:$C$374,OP_Rates!$C40,Calc_Rates!$F$299:$F$374,OP_Rates!$E40)=0,"-",SUMIFS(Calc_Rates!H$299:H$374,Calc_Rates!$C$299:$C$374,OP_Rates!$C40,Calc_Rates!$F$299:$F$374,OP_Rates!$E40))</f>
        <v>0.18493359383227576</v>
      </c>
      <c r="H40" s="57">
        <f>IF(SUMIFS(Calc_Rates!I$299:I$374,Calc_Rates!$C$299:$C$374,OP_Rates!$C40,Calc_Rates!$F$299:$F$374,OP_Rates!$E40)=0,"-",SUMIFS(Calc_Rates!I$299:I$374,Calc_Rates!$C$299:$C$374,OP_Rates!$C40,Calc_Rates!$F$299:$F$374,OP_Rates!$E40))</f>
        <v>0.19325742043406419</v>
      </c>
      <c r="I40" s="57">
        <f>IF(SUMIFS(Calc_Rates!J$299:J$374,Calc_Rates!$C$299:$C$374,OP_Rates!$C40,Calc_Rates!$F$299:$F$374,OP_Rates!$E40)=0,"-",SUMIFS(Calc_Rates!J$299:J$374,Calc_Rates!$C$299:$C$374,OP_Rates!$C40,Calc_Rates!$F$299:$F$374,OP_Rates!$E40))</f>
        <v>0.19159309346340736</v>
      </c>
      <c r="J40" s="57">
        <f>IF(SUMIFS(Calc_Rates!K$299:K$374,Calc_Rates!$C$299:$C$374,OP_Rates!$C40,Calc_Rates!$F$299:$F$374,OP_Rates!$E40)=0,"-",SUMIFS(Calc_Rates!K$299:K$374,Calc_Rates!$C$299:$C$374,OP_Rates!$C40,Calc_Rates!$F$299:$F$374,OP_Rates!$E40))</f>
        <v>0.19657911638905026</v>
      </c>
      <c r="L40" s="21" t="s">
        <v>327</v>
      </c>
      <c r="M40" s="21" t="s">
        <v>284</v>
      </c>
      <c r="N40" s="21" t="s">
        <v>89</v>
      </c>
      <c r="O40" s="57">
        <f>IF(SUMIFS(Calc_Rates!G$299:G$374,Calc_Rates!$C$299:$C$374,OP_Rates!$L40,Calc_Rates!$F$299:$F$374,OP_Rates!$N40)=0,"-",SUMIFS(Calc_Rates!G$299:G$374,Calc_Rates!$C$299:$C$374,OP_Rates!$L40,Calc_Rates!$F$299:$F$374,OP_Rates!$N40))</f>
        <v>0.18237452822732461</v>
      </c>
      <c r="P40" s="57">
        <f>IF(SUMIFS(Calc_Rates!H$299:H$374,Calc_Rates!$C$299:$C$374,OP_Rates!$L40,Calc_Rates!$F$299:$F$374,OP_Rates!$N40)=0,"-",SUMIFS(Calc_Rates!H$299:H$374,Calc_Rates!$C$299:$C$374,OP_Rates!$L40,Calc_Rates!$F$299:$F$374,OP_Rates!$N40))</f>
        <v>0.16753482039519704</v>
      </c>
      <c r="Q40" s="57">
        <f>IF(SUMIFS(Calc_Rates!I$299:I$374,Calc_Rates!$C$299:$C$374,OP_Rates!$L40,Calc_Rates!$F$299:$F$374,OP_Rates!$N40)=0,"-",SUMIFS(Calc_Rates!I$299:I$374,Calc_Rates!$C$299:$C$374,OP_Rates!$L40,Calc_Rates!$F$299:$F$374,OP_Rates!$N40))</f>
        <v>0.16728816848215716</v>
      </c>
      <c r="R40" s="57">
        <f>IF(SUMIFS(Calc_Rates!J$299:J$374,Calc_Rates!$C$299:$C$374,OP_Rates!$L40,Calc_Rates!$F$299:$F$374,OP_Rates!$N40)=0,"-",SUMIFS(Calc_Rates!J$299:J$374,Calc_Rates!$C$299:$C$374,OP_Rates!$L40,Calc_Rates!$F$299:$F$374,OP_Rates!$N40))</f>
        <v>0.16863158828956526</v>
      </c>
      <c r="S40" s="57">
        <f>IF(SUMIFS(Calc_Rates!K$299:K$374,Calc_Rates!$C$299:$C$374,OP_Rates!$L40,Calc_Rates!$F$299:$F$374,OP_Rates!$N40)=0,"-",SUMIFS(Calc_Rates!K$299:K$374,Calc_Rates!$C$299:$C$374,OP_Rates!$L40,Calc_Rates!$F$299:$F$374,OP_Rates!$N40))</f>
        <v>0.17250416350333539</v>
      </c>
    </row>
    <row r="41" spans="3:19" x14ac:dyDescent="0.35">
      <c r="C41" s="21" t="s">
        <v>328</v>
      </c>
      <c r="D41" s="21" t="s">
        <v>284</v>
      </c>
      <c r="E41" s="21" t="s">
        <v>88</v>
      </c>
      <c r="F41" s="57">
        <f>IF(SUMIFS(Calc_Rates!G$299:G$374,Calc_Rates!$C$299:$C$374,OP_Rates!$C41,Calc_Rates!$F$299:$F$374,OP_Rates!$E41)=0,"-",SUMIFS(Calc_Rates!G$299:G$374,Calc_Rates!$C$299:$C$374,OP_Rates!$C41,Calc_Rates!$F$299:$F$374,OP_Rates!$E41))</f>
        <v>0.19712236785702394</v>
      </c>
      <c r="G41" s="57">
        <f>IF(SUMIFS(Calc_Rates!H$299:H$374,Calc_Rates!$C$299:$C$374,OP_Rates!$C41,Calc_Rates!$F$299:$F$374,OP_Rates!$E41)=0,"-",SUMIFS(Calc_Rates!H$299:H$374,Calc_Rates!$C$299:$C$374,OP_Rates!$C41,Calc_Rates!$F$299:$F$374,OP_Rates!$E41))</f>
        <v>0.16732034983227576</v>
      </c>
      <c r="H41" s="57">
        <f>IF(SUMIFS(Calc_Rates!I$299:I$374,Calc_Rates!$C$299:$C$374,OP_Rates!$C41,Calc_Rates!$F$299:$F$374,OP_Rates!$E41)=0,"-",SUMIFS(Calc_Rates!I$299:I$374,Calc_Rates!$C$299:$C$374,OP_Rates!$C41,Calc_Rates!$F$299:$F$374,OP_Rates!$E41))</f>
        <v>0.18986308003406419</v>
      </c>
      <c r="I41" s="57">
        <f>IF(SUMIFS(Calc_Rates!J$299:J$374,Calc_Rates!$C$299:$C$374,OP_Rates!$C41,Calc_Rates!$F$299:$F$374,OP_Rates!$E41)=0,"-",SUMIFS(Calc_Rates!J$299:J$374,Calc_Rates!$C$299:$C$374,OP_Rates!$C41,Calc_Rates!$F$299:$F$374,OP_Rates!$E41))</f>
        <v>0.17327998546340737</v>
      </c>
      <c r="J41" s="57">
        <f>IF(SUMIFS(Calc_Rates!K$299:K$374,Calc_Rates!$C$299:$C$374,OP_Rates!$C41,Calc_Rates!$F$299:$F$374,OP_Rates!$E41)=0,"-",SUMIFS(Calc_Rates!K$299:K$374,Calc_Rates!$C$299:$C$374,OP_Rates!$C41,Calc_Rates!$F$299:$F$374,OP_Rates!$E41))</f>
        <v>0.17581648438905023</v>
      </c>
      <c r="L41" s="21" t="s">
        <v>328</v>
      </c>
      <c r="M41" s="21" t="s">
        <v>284</v>
      </c>
      <c r="N41" s="21" t="s">
        <v>89</v>
      </c>
      <c r="O41" s="57" t="str">
        <f>IF(SUMIFS(Calc_Rates!G$299:G$374,Calc_Rates!$C$299:$C$374,OP_Rates!$L41,Calc_Rates!$F$299:$F$374,OP_Rates!$N41)=0,"-",SUMIFS(Calc_Rates!G$299:G$374,Calc_Rates!$C$299:$C$374,OP_Rates!$L41,Calc_Rates!$F$299:$F$374,OP_Rates!$N41))</f>
        <v>-</v>
      </c>
      <c r="P41" s="57" t="str">
        <f>IF(SUMIFS(Calc_Rates!H$299:H$374,Calc_Rates!$C$299:$C$374,OP_Rates!$L41,Calc_Rates!$F$299:$F$374,OP_Rates!$N41)=0,"-",SUMIFS(Calc_Rates!H$299:H$374,Calc_Rates!$C$299:$C$374,OP_Rates!$L41,Calc_Rates!$F$299:$F$374,OP_Rates!$N41))</f>
        <v>-</v>
      </c>
      <c r="Q41" s="57" t="str">
        <f>IF(SUMIFS(Calc_Rates!I$299:I$374,Calc_Rates!$C$299:$C$374,OP_Rates!$L41,Calc_Rates!$F$299:$F$374,OP_Rates!$N41)=0,"-",SUMIFS(Calc_Rates!I$299:I$374,Calc_Rates!$C$299:$C$374,OP_Rates!$L41,Calc_Rates!$F$299:$F$374,OP_Rates!$N41))</f>
        <v>-</v>
      </c>
      <c r="R41" s="57" t="str">
        <f>IF(SUMIFS(Calc_Rates!J$299:J$374,Calc_Rates!$C$299:$C$374,OP_Rates!$L41,Calc_Rates!$F$299:$F$374,OP_Rates!$N41)=0,"-",SUMIFS(Calc_Rates!J$299:J$374,Calc_Rates!$C$299:$C$374,OP_Rates!$L41,Calc_Rates!$F$299:$F$374,OP_Rates!$N41))</f>
        <v>-</v>
      </c>
      <c r="S41" s="57" t="str">
        <f>IF(SUMIFS(Calc_Rates!K$299:K$374,Calc_Rates!$C$299:$C$374,OP_Rates!$L41,Calc_Rates!$F$299:$F$374,OP_Rates!$N41)=0,"-",SUMIFS(Calc_Rates!K$299:K$374,Calc_Rates!$C$299:$C$374,OP_Rates!$L41,Calc_Rates!$F$299:$F$374,OP_Rates!$N41))</f>
        <v>-</v>
      </c>
    </row>
    <row r="43" spans="3:19" x14ac:dyDescent="0.35">
      <c r="O43" s="75"/>
      <c r="P43" s="75"/>
      <c r="Q43" s="75"/>
    </row>
    <row r="44" spans="3:19" ht="15.5" x14ac:dyDescent="0.35">
      <c r="C44" s="26" t="s">
        <v>18</v>
      </c>
      <c r="L44" s="26" t="s">
        <v>18</v>
      </c>
    </row>
    <row r="45" spans="3:19" ht="15.5" x14ac:dyDescent="0.35">
      <c r="C45" s="38" t="s">
        <v>322</v>
      </c>
      <c r="D45" s="38" t="s">
        <v>95</v>
      </c>
      <c r="E45" s="38" t="s">
        <v>87</v>
      </c>
      <c r="F45" s="47" t="s">
        <v>270</v>
      </c>
      <c r="G45" s="47" t="s">
        <v>271</v>
      </c>
      <c r="H45" s="47" t="s">
        <v>272</v>
      </c>
      <c r="I45" s="47" t="s">
        <v>273</v>
      </c>
      <c r="J45" s="47" t="s">
        <v>274</v>
      </c>
      <c r="L45" s="38" t="s">
        <v>322</v>
      </c>
      <c r="M45" s="38" t="s">
        <v>95</v>
      </c>
      <c r="N45" s="38" t="s">
        <v>87</v>
      </c>
      <c r="O45" s="47" t="s">
        <v>270</v>
      </c>
      <c r="P45" s="47" t="s">
        <v>271</v>
      </c>
      <c r="Q45" s="47" t="s">
        <v>272</v>
      </c>
      <c r="R45" s="47" t="s">
        <v>273</v>
      </c>
      <c r="S45" s="47" t="s">
        <v>274</v>
      </c>
    </row>
    <row r="46" spans="3:19" ht="15.5" x14ac:dyDescent="0.35">
      <c r="C46" s="21" t="s">
        <v>380</v>
      </c>
      <c r="D46" s="21" t="s">
        <v>102</v>
      </c>
      <c r="E46" s="21" t="s">
        <v>88</v>
      </c>
      <c r="F46" s="80" cm="1">
        <f t="array" ref="F46">IF(F34="-","-",
IF(ROUND(F34,5)=
ROUND((((SUMIFS(Calc_NetworkF_2[Ausnet],Calc_NetworkF_2[[Cost item]:[Cost item]],$C46,Calc_NetworkF_2[[Customer type]:[Customer type]],$E46)+SUMIFS(Calc_Fixed_2[Ausnet],Calc_Fixed_2[[Customer type]:[Customer type]],"All")+SUMIFS(Calc_Fixed_2[Ausnet],Calc_Fixed_2[[Customer type]:[Customer type]],$E46))/DiY)*(1+Calc_ROM_2[Ausnet]))*(1+GST),5),0,1))</f>
        <v>0</v>
      </c>
      <c r="G46" s="80" cm="1">
        <f t="array" ref="G46">IF(G34="-","-",
IF(ROUND(G34,5)=
ROUND((((SUMIFS(Calc_NetworkF_2[Citipower],Calc_NetworkF_2[[Cost item]:[Cost item]],$C46,Calc_NetworkF_2[[Customer type]:[Customer type]],$E46)+SUMIFS(Calc_Fixed_2[Citipower],Calc_Fixed_2[[Customer type]:[Customer type]],"All")+SUMIFS(Calc_Fixed_2[Citipower],Calc_Fixed_2[[Customer type]:[Customer type]],$E46))/DiY)*(1+Calc_ROM_2[Citipower]))*(1+GST),5),0,1))</f>
        <v>0</v>
      </c>
      <c r="H46" s="80" cm="1">
        <f t="array" ref="H46">IF(H34="-","-",
IF(ROUND(H34,5)=
ROUND((((SUMIFS(Calc_NetworkF_2[Jemena],Calc_NetworkF_2[[Cost item]:[Cost item]],$C46,Calc_NetworkF_2[[Customer type]:[Customer type]],$E46)+SUMIFS(Calc_Fixed_2[Jemena],Calc_Fixed_2[[Customer type]:[Customer type]],"All")+SUMIFS(Calc_Fixed_2[Jemena],Calc_Fixed_2[[Customer type]:[Customer type]],$E46))/DiY)*(1+Calc_ROM_2[Jemena]))*(1+GST),5),0,1))</f>
        <v>0</v>
      </c>
      <c r="I46" s="80" cm="1">
        <f t="array" ref="I46">IF(I34="-","-",
IF(ROUND(I34,5)=
ROUND((((SUMIFS(Calc_NetworkF_2[Powercor],Calc_NetworkF_2[[Cost item]:[Cost item]],$C46,Calc_NetworkF_2[[Customer type]:[Customer type]],$E46)+SUMIFS(Calc_Fixed_2[Powercor],Calc_Fixed_2[[Customer type]:[Customer type]],"All")+SUMIFS(Calc_Fixed_2[Powercor],Calc_Fixed_2[[Customer type]:[Customer type]],$E46))/DiY)*(1+Calc_ROM_2[Powercor]))*(1+GST),5),0,1))</f>
        <v>0</v>
      </c>
      <c r="J46" s="80" cm="1">
        <f t="array" ref="J46">IF(J34="-","-",
IF(ROUND(J34,5)=
ROUND((((SUMIFS(Calc_NetworkF_2[United Energy],Calc_NetworkF_2[[Cost item]:[Cost item]],$C46,Calc_NetworkF_2[[Customer type]:[Customer type]],$E46)+SUMIFS(Calc_Fixed_2[United Energy],Calc_Fixed_2[[Customer type]:[Customer type]],"All")+SUMIFS(Calc_Fixed_2[United Energy],Calc_Fixed_2[[Customer type]:[Customer type]],$E46))/DiY)*(1+Calc_ROM_2[United Energy]))*(1+GST),5),0,1))</f>
        <v>0</v>
      </c>
      <c r="L46" s="21" t="s">
        <v>380</v>
      </c>
      <c r="M46" s="21" t="s">
        <v>102</v>
      </c>
      <c r="N46" s="21" t="s">
        <v>89</v>
      </c>
      <c r="O46" s="80" cm="1">
        <f t="array" ref="O46">IF(O34="-","-",
IF(ROUND(O34,5)=
ROUND((((SUMIFS(Calc_NetworkF_2[Ausnet],Calc_NetworkF_2[[Cost item]:[Cost item]],$L46,Calc_NetworkF_2[[Customer type]:[Customer type]],$N46)+SUMIFS(Calc_Fixed_2[Ausnet],Calc_Fixed_2[[Customer type]:[Customer type]],"All")+SUMIFS(Calc_Fixed_2[Ausnet],Calc_Fixed_2[[Customer type]:[Customer type]],$N46))/DiY)*(1+Calc_ROM_2[Ausnet]))*(1+GST),5),0,1))</f>
        <v>0</v>
      </c>
      <c r="P46" s="80" cm="1">
        <f t="array" ref="P46">IF(P34="-","-",
IF(ROUND(P34,5)=
ROUND((((SUMIFS(Calc_NetworkF_2[Citipower],Calc_NetworkF_2[[Cost item]:[Cost item]],$L46,Calc_NetworkF_2[[Customer type]:[Customer type]],$N46)+SUMIFS(Calc_Fixed_2[Citipower],Calc_Fixed_2[[Customer type]:[Customer type]],"All")+SUMIFS(Calc_Fixed_2[Citipower],Calc_Fixed_2[[Customer type]:[Customer type]],$N46))/DiY)*(1+Calc_ROM_2[Citipower]))*(1+GST),5),0,1))</f>
        <v>0</v>
      </c>
      <c r="Q46" s="80" cm="1">
        <f t="array" ref="Q46">IF(Q34="-","-",
IF(ROUND(Q34,5)=
ROUND((((SUMIFS(Calc_NetworkF_2[Jemena],Calc_NetworkF_2[[Cost item]:[Cost item]],$L46,Calc_NetworkF_2[[Customer type]:[Customer type]],$N46)+SUMIFS(Calc_Fixed_2[Jemena],Calc_Fixed_2[[Customer type]:[Customer type]],"All")+SUMIFS(Calc_Fixed_2[Jemena],Calc_Fixed_2[[Customer type]:[Customer type]],$N46))/DiY)*(1+Calc_ROM_2[Jemena]))*(1+GST),5),0,1))</f>
        <v>0</v>
      </c>
      <c r="R46" s="80" cm="1">
        <f t="array" ref="R46">IF(R34="-","-",
IF(ROUND(R34,5)=
ROUND((((SUMIFS(Calc_NetworkF_2[Powercor],Calc_NetworkF_2[[Cost item]:[Cost item]],$L46,Calc_NetworkF_2[[Customer type]:[Customer type]],$N46)+SUMIFS(Calc_Fixed_2[Powercor],Calc_Fixed_2[[Customer type]:[Customer type]],"All")+SUMIFS(Calc_Fixed_2[Powercor],Calc_Fixed_2[[Customer type]:[Customer type]],$N46))/DiY)*(1+Calc_ROM_2[Powercor]))*(1+GST),5),0,1))</f>
        <v>0</v>
      </c>
      <c r="S46" s="80" cm="1">
        <f t="array" ref="S46">IF(S34="-","-",
IF(ROUND(S34,5)=
ROUND((((SUMIFS(Calc_NetworkF_2[United Energy],Calc_NetworkF_2[[Cost item]:[Cost item]],$L46,Calc_NetworkF_2[[Customer type]:[Customer type]],$N46)+SUMIFS(Calc_Fixed_2[United Energy],Calc_Fixed_2[[Customer type]:[Customer type]],"All")+SUMIFS(Calc_Fixed_2[United Energy],Calc_Fixed_2[[Customer type]:[Customer type]],$N46))/DiY)*(1+Calc_ROM_2[United Energy]))*(1+GST),5),0,1))</f>
        <v>0</v>
      </c>
    </row>
    <row r="47" spans="3:19" ht="15.5" x14ac:dyDescent="0.35">
      <c r="C47" s="21" t="s">
        <v>288</v>
      </c>
      <c r="D47" s="21" t="s">
        <v>284</v>
      </c>
      <c r="E47" s="21" t="s">
        <v>88</v>
      </c>
      <c r="F47" s="80" cm="1">
        <f t="array" ref="F47">IF(F35="-","-",
IF(F35=
((SUMIFS(Calc_Variable_2[Ausnet],Calc_Variable_2[[Customer type]:[Customer type]],"All")+SUMIFS(Calc_Variable_2[Ausnet],Calc_Variable_2[[Customer type]:[Customer type]],OP_Rates!$E47)+
SUMIFS(Calc_NetworkV_2[Ausnet],Calc_NetworkV_2[[Customer type]:[Customer type]],OP_Rates!$E47,Calc_NetworkV_2[[Cost item]:[Cost item]],OP_Rates!$C47))*(1+Calc_ROM_2[Ausnet]))*(1+GST),0,1))</f>
        <v>0</v>
      </c>
      <c r="G47" s="80" t="str" cm="1">
        <f t="array" ref="G47">IF(G35="-","-",
IF(G35=
((SUMIFS(Calc_Variable_2[Citipower],Calc_Variable_2[[Customer type]:[Customer type]],"All")+SUMIFS(Calc_Variable_2[Citipower],Calc_Variable_2[[Customer type]:[Customer type]],OP_Rates!$E47)+
SUMIFS(Calc_NetworkV_2[Citipower],Calc_NetworkV_2[[Customer type]:[Customer type]],OP_Rates!$E47,Calc_NetworkV_2[[Cost item]:[Cost item]],OP_Rates!$C47))*(1+Calc_ROM_2[Citipower]))*(1+GST),0,1))</f>
        <v>-</v>
      </c>
      <c r="H47" s="80" t="str" cm="1">
        <f t="array" ref="H47">IF(H35="-","-",
IF(H35=
((SUMIFS(Calc_Variable_2[Jemena],Calc_Variable_2[[Customer type]:[Customer type]],"All")+SUMIFS(Calc_Variable_2[Jemena],Calc_Variable_2[[Customer type]:[Customer type]],OP_Rates!$E47)+
SUMIFS(Calc_NetworkV_2[Jemena],Calc_NetworkV_2[[Customer type]:[Customer type]],OP_Rates!$E47,Calc_NetworkV_2[[Cost item]:[Cost item]],OP_Rates!$C47))*(1+Calc_ROM_2[Jemena]))*(1+GST),0,1))</f>
        <v>-</v>
      </c>
      <c r="I47" s="80" t="str" cm="1">
        <f t="array" ref="I47">IF(I35="-","-",
IF(I35=
((SUMIFS(Calc_Variable_2[Powercor],Calc_Variable_2[[Customer type]:[Customer type]],"All")+SUMIFS(Calc_Variable_2[Powercor],Calc_Variable_2[[Customer type]:[Customer type]],OP_Rates!$E47)+
SUMIFS(Calc_NetworkV_2[Powercor],Calc_NetworkV_2[[Customer type]:[Customer type]],OP_Rates!$E47,Calc_NetworkV_2[[Cost item]:[Cost item]],OP_Rates!$C47))*(1+Calc_ROM_2[Powercor]))*(1+GST),0,1))</f>
        <v>-</v>
      </c>
      <c r="J47" s="80" t="str" cm="1">
        <f t="array" ref="J47">IF(J35="-","-",
IF(J35=
((SUMIFS(Calc_Variable_2[United Energy],Calc_Variable_2[[Customer type]:[Customer type]],"All")+SUMIFS(Calc_Variable_2[United Energy],Calc_Variable_2[[Customer type]:[Customer type]],OP_Rates!$E47)+
SUMIFS(Calc_NetworkV_2[United Energy],Calc_NetworkV_2[[Customer type]:[Customer type]],OP_Rates!$E47,Calc_NetworkV_2[[Cost item]:[Cost item]],OP_Rates!$C47))*(1+Calc_ROM_2[United Energy]))*(1+GST),0,1))</f>
        <v>-</v>
      </c>
      <c r="L47" s="21" t="s">
        <v>288</v>
      </c>
      <c r="M47" s="21" t="s">
        <v>284</v>
      </c>
      <c r="N47" s="21" t="s">
        <v>89</v>
      </c>
      <c r="O47" s="80" cm="1">
        <f t="array" ref="O47">IF(O35="-","-",
IF(O35=
((SUMIFS(Calc_Variable_2[Ausnet],Calc_Variable_2[[Customer type]:[Customer type]],"All")+SUMIFS(Calc_Variable_2[Ausnet],Calc_Variable_2[[Customer type]:[Customer type]],OP_Rates!$N47)+
SUMIFS(Calc_NetworkV_2[Ausnet],Calc_NetworkV_2[[Customer type]:[Customer type]],OP_Rates!$N47,Calc_NetworkV_2[[Cost item]:[Cost item]],OP_Rates!$L47))*(1+Calc_ROM_2[Ausnet]))*(1+GST),0,1))</f>
        <v>0</v>
      </c>
      <c r="P47" s="80" t="str" cm="1">
        <f t="array" ref="P47">IF(P35="-","-",
IF(P35=
((SUMIFS(Calc_Variable_2[Citipower],Calc_Variable_2[[Customer type]:[Customer type]],"All")+SUMIFS(Calc_Variable_2[Citipower],Calc_Variable_2[[Customer type]:[Customer type]],OP_Rates!$N47)+
SUMIFS(Calc_NetworkV_2[Citipower],Calc_NetworkV_2[[Customer type]:[Customer type]],OP_Rates!$N47,Calc_NetworkV_2[[Cost item]:[Cost item]],OP_Rates!$L47))*(1+Calc_ROM_2[Citipower]))*(1+GST),0,1))</f>
        <v>-</v>
      </c>
      <c r="Q47" s="80" t="str" cm="1">
        <f t="array" ref="Q47">IF(Q35="-","-",
IF(Q35=
((SUMIFS(Calc_Variable_2[Jemena],Calc_Variable_2[[Customer type]:[Customer type]],"All")+SUMIFS(Calc_Variable_2[Jemena],Calc_Variable_2[[Customer type]:[Customer type]],OP_Rates!$N47)+
SUMIFS(Calc_NetworkV_2[Jemena],Calc_NetworkV_2[[Customer type]:[Customer type]],OP_Rates!$N47,Calc_NetworkV_2[[Cost item]:[Cost item]],OP_Rates!$L47))*(1+Calc_ROM_2[Jemena]))*(1+GST),0,1))</f>
        <v>-</v>
      </c>
      <c r="R47" s="80" t="str" cm="1">
        <f t="array" ref="R47">IF(R35="-","-",
IF(R35=
((SUMIFS(Calc_Variable_2[Powercor],Calc_Variable_2[[Customer type]:[Customer type]],"All")+SUMIFS(Calc_Variable_2[Powercor],Calc_Variable_2[[Customer type]:[Customer type]],OP_Rates!$N47)+
SUMIFS(Calc_NetworkV_2[Powercor],Calc_NetworkV_2[[Customer type]:[Customer type]],OP_Rates!$N47,Calc_NetworkV_2[[Cost item]:[Cost item]],OP_Rates!$L47))*(1+Calc_ROM_2[Powercor]))*(1+GST),0,1))</f>
        <v>-</v>
      </c>
      <c r="S47" s="80" t="str" cm="1">
        <f t="array" ref="S47">IF(S35="-","-",
IF(S35=
((SUMIFS(Calc_Variable_2[United Energy],Calc_Variable_2[[Customer type]:[Customer type]],"All")+SUMIFS(Calc_Variable_2[United Energy],Calc_Variable_2[[Customer type]:[Customer type]],OP_Rates!$N47)+
SUMIFS(Calc_NetworkV_2[United Energy],Calc_NetworkV_2[[Customer type]:[Customer type]],OP_Rates!$N47,Calc_NetworkV_2[[Cost item]:[Cost item]],OP_Rates!$L47))*(1+Calc_ROM_2[United Energy]))*(1+GST),0,1))</f>
        <v>-</v>
      </c>
    </row>
    <row r="48" spans="3:19" ht="15.5" x14ac:dyDescent="0.35">
      <c r="C48" s="21" t="s">
        <v>290</v>
      </c>
      <c r="D48" s="21" t="s">
        <v>284</v>
      </c>
      <c r="E48" s="21" t="s">
        <v>88</v>
      </c>
      <c r="F48" s="80" cm="1">
        <f t="array" ref="F48">IF(F36="-","-",
IF(F36=
((SUMIFS(Calc_Variable_2[Ausnet],Calc_Variable_2[[Customer type]:[Customer type]],"All")+SUMIFS(Calc_Variable_2[Ausnet],Calc_Variable_2[[Customer type]:[Customer type]],OP_Rates!$E48)+
SUMIFS(Calc_NetworkV_2[Ausnet],Calc_NetworkV_2[[Customer type]:[Customer type]],OP_Rates!$E48,Calc_NetworkV_2[[Cost item]:[Cost item]],OP_Rates!$C48))*(1+Calc_ROM_2[Ausnet]))*(1+GST),0,1))</f>
        <v>0</v>
      </c>
      <c r="G48" s="80" t="str" cm="1">
        <f t="array" ref="G48">IF(G36="-","-",
IF(G36=
((SUMIFS(Calc_Variable_2[Citipower],Calc_Variable_2[[Customer type]:[Customer type]],"All")+SUMIFS(Calc_Variable_2[Citipower],Calc_Variable_2[[Customer type]:[Customer type]],OP_Rates!$E48)+
SUMIFS(Calc_NetworkV_2[Citipower],Calc_NetworkV_2[[Customer type]:[Customer type]],OP_Rates!$E48,Calc_NetworkV_2[[Cost item]:[Cost item]],OP_Rates!$C48))*(1+Calc_ROM_2[Citipower]))*(1+GST),0,1))</f>
        <v>-</v>
      </c>
      <c r="H48" s="80" t="str" cm="1">
        <f t="array" ref="H48">IF(H36="-","-",
IF(H36=
((SUMIFS(Calc_Variable_2[Jemena],Calc_Variable_2[[Customer type]:[Customer type]],"All")+SUMIFS(Calc_Variable_2[Jemena],Calc_Variable_2[[Customer type]:[Customer type]],OP_Rates!$E48)+
SUMIFS(Calc_NetworkV_2[Jemena],Calc_NetworkV_2[[Customer type]:[Customer type]],OP_Rates!$E48,Calc_NetworkV_2[[Cost item]:[Cost item]],OP_Rates!$C48))*(1+Calc_ROM_2[Jemena]))*(1+GST),0,1))</f>
        <v>-</v>
      </c>
      <c r="I48" s="80" t="str" cm="1">
        <f t="array" ref="I48">IF(I36="-","-",
IF(I36=
((SUMIFS(Calc_Variable_2[Powercor],Calc_Variable_2[[Customer type]:[Customer type]],"All")+SUMIFS(Calc_Variable_2[Powercor],Calc_Variable_2[[Customer type]:[Customer type]],OP_Rates!$E48)+
SUMIFS(Calc_NetworkV_2[Powercor],Calc_NetworkV_2[[Customer type]:[Customer type]],OP_Rates!$E48,Calc_NetworkV_2[[Cost item]:[Cost item]],OP_Rates!$C48))*(1+Calc_ROM_2[Powercor]))*(1+GST),0,1))</f>
        <v>-</v>
      </c>
      <c r="J48" s="80" t="str" cm="1">
        <f t="array" ref="J48">IF(J36="-","-",
IF(J36=
((SUMIFS(Calc_Variable_2[United Energy],Calc_Variable_2[[Customer type]:[Customer type]],"All")+SUMIFS(Calc_Variable_2[United Energy],Calc_Variable_2[[Customer type]:[Customer type]],OP_Rates!$E48)+
SUMIFS(Calc_NetworkV_2[United Energy],Calc_NetworkV_2[[Customer type]:[Customer type]],OP_Rates!$E48,Calc_NetworkV_2[[Cost item]:[Cost item]],OP_Rates!$C48))*(1+Calc_ROM_2[United Energy]))*(1+GST),0,1))</f>
        <v>-</v>
      </c>
      <c r="L48" s="21" t="s">
        <v>290</v>
      </c>
      <c r="M48" s="21" t="s">
        <v>284</v>
      </c>
      <c r="N48" s="21" t="s">
        <v>89</v>
      </c>
      <c r="O48" s="80" cm="1">
        <f t="array" ref="O48">IF(O36="-","-",
IF(O36=
((SUMIFS(Calc_Variable_2[Ausnet],Calc_Variable_2[[Customer type]:[Customer type]],"All")+SUMIFS(Calc_Variable_2[Ausnet],Calc_Variable_2[[Customer type]:[Customer type]],OP_Rates!$N48)+
SUMIFS(Calc_NetworkV_2[Ausnet],Calc_NetworkV_2[[Customer type]:[Customer type]],OP_Rates!$N48,Calc_NetworkV_2[[Cost item]:[Cost item]],OP_Rates!$L48))*(1+Calc_ROM_2[Ausnet]))*(1+GST),0,1))</f>
        <v>0</v>
      </c>
      <c r="P48" s="80" t="str" cm="1">
        <f t="array" ref="P48">IF(P36="-","-",
IF(P36=
((SUMIFS(Calc_Variable_2[Citipower],Calc_Variable_2[[Customer type]:[Customer type]],"All")+SUMIFS(Calc_Variable_2[Citipower],Calc_Variable_2[[Customer type]:[Customer type]],OP_Rates!$N48)+
SUMIFS(Calc_NetworkV_2[Citipower],Calc_NetworkV_2[[Customer type]:[Customer type]],OP_Rates!$N48,Calc_NetworkV_2[[Cost item]:[Cost item]],OP_Rates!$L48))*(1+Calc_ROM_2[Citipower]))*(1+GST),0,1))</f>
        <v>-</v>
      </c>
      <c r="Q48" s="80" t="str" cm="1">
        <f t="array" ref="Q48">IF(Q36="-","-",
IF(Q36=
((SUMIFS(Calc_Variable_2[Jemena],Calc_Variable_2[[Customer type]:[Customer type]],"All")+SUMIFS(Calc_Variable_2[Jemena],Calc_Variable_2[[Customer type]:[Customer type]],OP_Rates!$N48)+
SUMIFS(Calc_NetworkV_2[Jemena],Calc_NetworkV_2[[Customer type]:[Customer type]],OP_Rates!$N48,Calc_NetworkV_2[[Cost item]:[Cost item]],OP_Rates!$L48))*(1+Calc_ROM_2[Jemena]))*(1+GST),0,1))</f>
        <v>-</v>
      </c>
      <c r="R48" s="80" t="str" cm="1">
        <f t="array" ref="R48">IF(R36="-","-",
IF(R36=
((SUMIFS(Calc_Variable_2[Powercor],Calc_Variable_2[[Customer type]:[Customer type]],"All")+SUMIFS(Calc_Variable_2[Powercor],Calc_Variable_2[[Customer type]:[Customer type]],OP_Rates!$N48)+
SUMIFS(Calc_NetworkV_2[Powercor],Calc_NetworkV_2[[Customer type]:[Customer type]],OP_Rates!$N48,Calc_NetworkV_2[[Cost item]:[Cost item]],OP_Rates!$L48))*(1+Calc_ROM_2[Powercor]))*(1+GST),0,1))</f>
        <v>-</v>
      </c>
      <c r="S48" s="80" t="str" cm="1">
        <f t="array" ref="S48">IF(S36="-","-",
IF(S36=
((SUMIFS(Calc_Variable_2[United Energy],Calc_Variable_2[[Customer type]:[Customer type]],"All")+SUMIFS(Calc_Variable_2[United Energy],Calc_Variable_2[[Customer type]:[Customer type]],OP_Rates!$N48)+
SUMIFS(Calc_NetworkV_2[United Energy],Calc_NetworkV_2[[Customer type]:[Customer type]],OP_Rates!$N48,Calc_NetworkV_2[[Cost item]:[Cost item]],OP_Rates!$L48))*(1+Calc_ROM_2[United Energy]))*(1+GST),0,1))</f>
        <v>-</v>
      </c>
    </row>
    <row r="49" spans="3:19" ht="15.5" x14ac:dyDescent="0.35">
      <c r="C49" s="21" t="s">
        <v>291</v>
      </c>
      <c r="D49" s="21" t="s">
        <v>284</v>
      </c>
      <c r="E49" s="21" t="s">
        <v>88</v>
      </c>
      <c r="F49" s="80" t="str" cm="1">
        <f t="array" ref="F49">IF(F37="-","-",
IF(F37=
((SUMIFS(Calc_Variable_2[Ausnet],Calc_Variable_2[[Customer type]:[Customer type]],"All")+SUMIFS(Calc_Variable_2[Ausnet],Calc_Variable_2[[Customer type]:[Customer type]],OP_Rates!$E49)+
SUMIFS(Calc_NetworkV_2[Ausnet],Calc_NetworkV_2[[Customer type]:[Customer type]],OP_Rates!$E49,Calc_NetworkV_2[[Cost item]:[Cost item]],OP_Rates!$C49))*(1+Calc_ROM_2[Ausnet]))*(1+GST),0,1))</f>
        <v>-</v>
      </c>
      <c r="G49" s="80" cm="1">
        <f t="array" ref="G49">IF(G37="-","-",
IF(G37=
((SUMIFS(Calc_Variable_2[Citipower],Calc_Variable_2[[Customer type]:[Customer type]],"All")+SUMIFS(Calc_Variable_2[Citipower],Calc_Variable_2[[Customer type]:[Customer type]],OP_Rates!$E49)+
SUMIFS(Calc_NetworkV_2[Citipower],Calc_NetworkV_2[[Customer type]:[Customer type]],OP_Rates!$E49,Calc_NetworkV_2[[Cost item]:[Cost item]],OP_Rates!$C49))*(1+Calc_ROM_2[Citipower]))*(1+GST),0,1))</f>
        <v>0</v>
      </c>
      <c r="H49" s="80" cm="1">
        <f t="array" ref="H49">IF(H37="-","-",
IF(H37=
((SUMIFS(Calc_Variable_2[Jemena],Calc_Variable_2[[Customer type]:[Customer type]],"All")+SUMIFS(Calc_Variable_2[Jemena],Calc_Variable_2[[Customer type]:[Customer type]],OP_Rates!$E49)+
SUMIFS(Calc_NetworkV_2[Jemena],Calc_NetworkV_2[[Customer type]:[Customer type]],OP_Rates!$E49,Calc_NetworkV_2[[Cost item]:[Cost item]],OP_Rates!$C49))*(1+Calc_ROM_2[Jemena]))*(1+GST),0,1))</f>
        <v>0</v>
      </c>
      <c r="I49" s="80" cm="1">
        <f t="array" ref="I49">IF(I37="-","-",
IF(I37=
((SUMIFS(Calc_Variable_2[Powercor],Calc_Variable_2[[Customer type]:[Customer type]],"All")+SUMIFS(Calc_Variable_2[Powercor],Calc_Variable_2[[Customer type]:[Customer type]],OP_Rates!$E49)+
SUMIFS(Calc_NetworkV_2[Powercor],Calc_NetworkV_2[[Customer type]:[Customer type]],OP_Rates!$E49,Calc_NetworkV_2[[Cost item]:[Cost item]],OP_Rates!$C49))*(1+Calc_ROM_2[Powercor]))*(1+GST),0,1))</f>
        <v>0</v>
      </c>
      <c r="J49" s="80" cm="1">
        <f t="array" ref="J49">IF(J37="-","-",
IF(J37=
((SUMIFS(Calc_Variable_2[United Energy],Calc_Variable_2[[Customer type]:[Customer type]],"All")+SUMIFS(Calc_Variable_2[United Energy],Calc_Variable_2[[Customer type]:[Customer type]],OP_Rates!$E49)+
SUMIFS(Calc_NetworkV_2[United Energy],Calc_NetworkV_2[[Customer type]:[Customer type]],OP_Rates!$E49,Calc_NetworkV_2[[Cost item]:[Cost item]],OP_Rates!$C49))*(1+Calc_ROM_2[United Energy]))*(1+GST),0,1))</f>
        <v>0</v>
      </c>
      <c r="L49" s="21" t="s">
        <v>291</v>
      </c>
      <c r="M49" s="21" t="s">
        <v>284</v>
      </c>
      <c r="N49" s="21" t="s">
        <v>89</v>
      </c>
      <c r="O49" s="80" t="str" cm="1">
        <f t="array" ref="O49">IF(O37="-","-",
IF(O37=
((SUMIFS(Calc_Variable_2[Ausnet],Calc_Variable_2[[Customer type]:[Customer type]],"All")+SUMIFS(Calc_Variable_2[Ausnet],Calc_Variable_2[[Customer type]:[Customer type]],OP_Rates!$N49)+
SUMIFS(Calc_NetworkV_2[Ausnet],Calc_NetworkV_2[[Customer type]:[Customer type]],OP_Rates!$N49,Calc_NetworkV_2[[Cost item]:[Cost item]],OP_Rates!$L49))*(1+Calc_ROM_2[Ausnet]))*(1+GST),0,1))</f>
        <v>-</v>
      </c>
      <c r="P49" s="80" cm="1">
        <f t="array" ref="P49">IF(P37="-","-",
IF(P37=
((SUMIFS(Calc_Variable_2[Citipower],Calc_Variable_2[[Customer type]:[Customer type]],"All")+SUMIFS(Calc_Variable_2[Citipower],Calc_Variable_2[[Customer type]:[Customer type]],OP_Rates!$N49)+
SUMIFS(Calc_NetworkV_2[Citipower],Calc_NetworkV_2[[Customer type]:[Customer type]],OP_Rates!$N49,Calc_NetworkV_2[[Cost item]:[Cost item]],OP_Rates!$L49))*(1+Calc_ROM_2[Citipower]))*(1+GST),0,1))</f>
        <v>0</v>
      </c>
      <c r="Q49" s="80" cm="1">
        <f t="array" ref="Q49">IF(Q37="-","-",
IF(Q37=
((SUMIFS(Calc_Variable_2[Jemena],Calc_Variable_2[[Customer type]:[Customer type]],"All")+SUMIFS(Calc_Variable_2[Jemena],Calc_Variable_2[[Customer type]:[Customer type]],OP_Rates!$N49)+
SUMIFS(Calc_NetworkV_2[Jemena],Calc_NetworkV_2[[Customer type]:[Customer type]],OP_Rates!$N49,Calc_NetworkV_2[[Cost item]:[Cost item]],OP_Rates!$L49))*(1+Calc_ROM_2[Jemena]))*(1+GST),0,1))</f>
        <v>0</v>
      </c>
      <c r="R49" s="80" cm="1">
        <f t="array" ref="R49">IF(R37="-","-",
IF(R37=
((SUMIFS(Calc_Variable_2[Powercor],Calc_Variable_2[[Customer type]:[Customer type]],"All")+SUMIFS(Calc_Variable_2[Powercor],Calc_Variable_2[[Customer type]:[Customer type]],OP_Rates!$N49)+
SUMIFS(Calc_NetworkV_2[Powercor],Calc_NetworkV_2[[Customer type]:[Customer type]],OP_Rates!$N49,Calc_NetworkV_2[[Cost item]:[Cost item]],OP_Rates!$L49))*(1+Calc_ROM_2[Powercor]))*(1+GST),0,1))</f>
        <v>0</v>
      </c>
      <c r="S49" s="80" cm="1">
        <f t="array" ref="S49">IF(S37="-","-",
IF(S37=
((SUMIFS(Calc_Variable_2[United Energy],Calc_Variable_2[[Customer type]:[Customer type]],"All")+SUMIFS(Calc_Variable_2[United Energy],Calc_Variable_2[[Customer type]:[Customer type]],OP_Rates!$N49)+
SUMIFS(Calc_NetworkV_2[United Energy],Calc_NetworkV_2[[Customer type]:[Customer type]],OP_Rates!$N49,Calc_NetworkV_2[[Cost item]:[Cost item]],OP_Rates!$L49))*(1+Calc_ROM_2[United Energy]))*(1+GST),0,1))</f>
        <v>0</v>
      </c>
    </row>
    <row r="50" spans="3:19" ht="15.5" x14ac:dyDescent="0.35">
      <c r="C50" s="21" t="s">
        <v>381</v>
      </c>
      <c r="D50" s="21" t="s">
        <v>102</v>
      </c>
      <c r="E50" s="21" t="s">
        <v>88</v>
      </c>
      <c r="F50" s="80" cm="1">
        <f t="array" ref="F50">IF(F38="-","-",
IF(ROUND(F38,5)=
ROUND((((SUMIFS(Calc_NetworkF_2[Ausnet],Calc_NetworkF_2[[Cost item]:[Cost item]],$C50,Calc_NetworkF_2[[Customer type]:[Customer type]],$E50)+SUMIFS(Calc_Fixed_2[Ausnet],Calc_Fixed_2[[Customer type]:[Customer type]],"All")+SUMIFS(Calc_Fixed_2[Ausnet],Calc_Fixed_2[[Customer type]:[Customer type]],$E50))/DiY)*(1+Calc_ROM_2[Ausnet]))*(1+GST),5),0,1))</f>
        <v>0</v>
      </c>
      <c r="G50" s="80" cm="1">
        <f t="array" ref="G50">IF(G38="-","-",
IF(ROUND(G38,5)=
ROUND((((SUMIFS(Calc_NetworkF_2[Citipower],Calc_NetworkF_2[[Cost item]:[Cost item]],$C50,Calc_NetworkF_2[[Customer type]:[Customer type]],$E50)+SUMIFS(Calc_Fixed_2[Citipower],Calc_Fixed_2[[Customer type]:[Customer type]],"All")+SUMIFS(Calc_Fixed_2[Citipower],Calc_Fixed_2[[Customer type]:[Customer type]],$E50))/DiY)*(1+Calc_ROM_2[Citipower]))*(1+GST),5),0,1))</f>
        <v>0</v>
      </c>
      <c r="H50" s="80" cm="1">
        <f t="array" ref="H50">IF(H38="-","-",
IF(ROUND(H38,5)=
ROUND((((SUMIFS(Calc_NetworkF_2[Jemena],Calc_NetworkF_2[[Cost item]:[Cost item]],$C50,Calc_NetworkF_2[[Customer type]:[Customer type]],$E50)+SUMIFS(Calc_Fixed_2[Jemena],Calc_Fixed_2[[Customer type]:[Customer type]],"All")+SUMIFS(Calc_Fixed_2[Jemena],Calc_Fixed_2[[Customer type]:[Customer type]],$E50))/DiY)*(1+Calc_ROM_2[Jemena]))*(1+GST),5),0,1))</f>
        <v>0</v>
      </c>
      <c r="I50" s="80" cm="1">
        <f t="array" ref="I50">IF(I38="-","-",
IF(ROUND(I38,5)=
ROUND((((SUMIFS(Calc_NetworkF_2[Powercor],Calc_NetworkF_2[[Cost item]:[Cost item]],$C50,Calc_NetworkF_2[[Customer type]:[Customer type]],$E50)+SUMIFS(Calc_Fixed_2[Powercor],Calc_Fixed_2[[Customer type]:[Customer type]],"All")+SUMIFS(Calc_Fixed_2[Powercor],Calc_Fixed_2[[Customer type]:[Customer type]],$E50))/DiY)*(1+Calc_ROM_2[Powercor]))*(1+GST),5),0,1))</f>
        <v>0</v>
      </c>
      <c r="J50" s="80" cm="1">
        <f t="array" ref="J50">IF(J38="-","-",
IF(ROUND(J38,5)=
ROUND((((SUMIFS(Calc_NetworkF_2[United Energy],Calc_NetworkF_2[[Cost item]:[Cost item]],$C50,Calc_NetworkF_2[[Customer type]:[Customer type]],$E50)+SUMIFS(Calc_Fixed_2[United Energy],Calc_Fixed_2[[Customer type]:[Customer type]],"All")+SUMIFS(Calc_Fixed_2[United Energy],Calc_Fixed_2[[Customer type]:[Customer type]],$E50))/DiY)*(1+Calc_ROM_2[United Energy]))*(1+GST),5),0,1))</f>
        <v>0</v>
      </c>
      <c r="L50" s="21" t="s">
        <v>381</v>
      </c>
      <c r="M50" s="21" t="s">
        <v>102</v>
      </c>
      <c r="N50" s="21" t="s">
        <v>89</v>
      </c>
      <c r="O50" s="80" cm="1">
        <f t="array" ref="O50">IF(O38="-","-",
IF(ROUND(O38,5)=
ROUND((((SUMIFS(Calc_NetworkF_2[Ausnet],Calc_NetworkF_2[[Cost item]:[Cost item]],$L50,Calc_NetworkF_2[[Customer type]:[Customer type]],$N50)+SUMIFS(Calc_Fixed_2[Ausnet],Calc_Fixed_2[[Customer type]:[Customer type]],"All")+SUMIFS(Calc_Fixed_2[Ausnet],Calc_Fixed_2[[Customer type]:[Customer type]],$N50))/DiY)*(1+Calc_ROM_2[Ausnet]))*(1+GST),5),0,1))</f>
        <v>0</v>
      </c>
      <c r="P50" s="80" cm="1">
        <f t="array" ref="P50">IF(P38="-","-",
IF(ROUND(P38,5)=
ROUND((((SUMIFS(Calc_NetworkF_2[Citipower],Calc_NetworkF_2[[Cost item]:[Cost item]],$L50,Calc_NetworkF_2[[Customer type]:[Customer type]],$N50)+SUMIFS(Calc_Fixed_2[Citipower],Calc_Fixed_2[[Customer type]:[Customer type]],"All")+SUMIFS(Calc_Fixed_2[Citipower],Calc_Fixed_2[[Customer type]:[Customer type]],$N50))/DiY)*(1+Calc_ROM_2[Citipower]))*(1+GST),5),0,1))</f>
        <v>0</v>
      </c>
      <c r="Q50" s="80" cm="1">
        <f t="array" ref="Q50">IF(Q38="-","-",
IF(ROUND(Q38,5)=
ROUND((((SUMIFS(Calc_NetworkF_2[Jemena],Calc_NetworkF_2[[Cost item]:[Cost item]],$L50,Calc_NetworkF_2[[Customer type]:[Customer type]],$N50)+SUMIFS(Calc_Fixed_2[Jemena],Calc_Fixed_2[[Customer type]:[Customer type]],"All")+SUMIFS(Calc_Fixed_2[Jemena],Calc_Fixed_2[[Customer type]:[Customer type]],$N50))/DiY)*(1+Calc_ROM_2[Jemena]))*(1+GST),5),0,1))</f>
        <v>0</v>
      </c>
      <c r="R50" s="80" cm="1">
        <f t="array" ref="R50">IF(R38="-","-",
IF(ROUND(R38,5)=
ROUND((((SUMIFS(Calc_NetworkF_2[Powercor],Calc_NetworkF_2[[Cost item]:[Cost item]],$L50,Calc_NetworkF_2[[Customer type]:[Customer type]],$N50)+SUMIFS(Calc_Fixed_2[Powercor],Calc_Fixed_2[[Customer type]:[Customer type]],"All")+SUMIFS(Calc_Fixed_2[Powercor],Calc_Fixed_2[[Customer type]:[Customer type]],$N50))/DiY)*(1+Calc_ROM_2[Powercor]))*(1+GST),5),0,1))</f>
        <v>0</v>
      </c>
      <c r="S50" s="80" cm="1">
        <f t="array" ref="S50">IF(S38="-","-",
IF(ROUND(S38,5)=
ROUND((((SUMIFS(Calc_NetworkF_2[United Energy],Calc_NetworkF_2[[Cost item]:[Cost item]],$L50,Calc_NetworkF_2[[Customer type]:[Customer type]],$N50)+SUMIFS(Calc_Fixed_2[United Energy],Calc_Fixed_2[[Customer type]:[Customer type]],"All")+SUMIFS(Calc_Fixed_2[United Energy],Calc_Fixed_2[[Customer type]:[Customer type]],$N50))/DiY)*(1+Calc_ROM_2[United Energy]))*(1+GST),5),0,1))</f>
        <v>0</v>
      </c>
    </row>
    <row r="51" spans="3:19" ht="15.5" x14ac:dyDescent="0.35">
      <c r="C51" s="21" t="s">
        <v>292</v>
      </c>
      <c r="D51" s="21" t="s">
        <v>284</v>
      </c>
      <c r="E51" s="21" t="s">
        <v>88</v>
      </c>
      <c r="F51" s="80" cm="1">
        <f t="array" ref="F51">IF(F39="-","-",
IF(F39=
((SUMIFS(Calc_Variable_2[Ausnet],Calc_Variable_2[[Customer type]:[Customer type]],"All")+SUMIFS(Calc_Variable_2[Ausnet],Calc_Variable_2[[Customer type]:[Customer type]],OP_Rates!$E51)+
SUMIFS(Calc_NetworkV_2[Ausnet],Calc_NetworkV_2[[Customer type]:[Customer type]],OP_Rates!$E51,Calc_NetworkV_2[[Cost item]:[Cost item]],OP_Rates!$C51))*(1+Calc_ROM_2[Ausnet]))*(1+GST),0,1))</f>
        <v>0</v>
      </c>
      <c r="G51" s="80" cm="1">
        <f t="array" ref="G51">IF(G39="-","-",
IF(G39=
((SUMIFS(Calc_Variable_2[Citipower],Calc_Variable_2[[Customer type]:[Customer type]],"All")+SUMIFS(Calc_Variable_2[Citipower],Calc_Variable_2[[Customer type]:[Customer type]],OP_Rates!$E51)+
SUMIFS(Calc_NetworkV_2[Citipower],Calc_NetworkV_2[[Customer type]:[Customer type]],OP_Rates!$E51,Calc_NetworkV_2[[Cost item]:[Cost item]],OP_Rates!$C51))*(1+Calc_ROM_2[Citipower]))*(1+GST),0,1))</f>
        <v>0</v>
      </c>
      <c r="H51" s="80" cm="1">
        <f t="array" ref="H51">IF(H39="-","-",
IF(H39=
((SUMIFS(Calc_Variable_2[Jemena],Calc_Variable_2[[Customer type]:[Customer type]],"All")+SUMIFS(Calc_Variable_2[Jemena],Calc_Variable_2[[Customer type]:[Customer type]],OP_Rates!$E51)+
SUMIFS(Calc_NetworkV_2[Jemena],Calc_NetworkV_2[[Customer type]:[Customer type]],OP_Rates!$E51,Calc_NetworkV_2[[Cost item]:[Cost item]],OP_Rates!$C51))*(1+Calc_ROM_2[Jemena]))*(1+GST),0,1))</f>
        <v>0</v>
      </c>
      <c r="I51" s="80" cm="1">
        <f t="array" ref="I51">IF(I39="-","-",
IF(I39=
((SUMIFS(Calc_Variable_2[Powercor],Calc_Variable_2[[Customer type]:[Customer type]],"All")+SUMIFS(Calc_Variable_2[Powercor],Calc_Variable_2[[Customer type]:[Customer type]],OP_Rates!$E51)+
SUMIFS(Calc_NetworkV_2[Powercor],Calc_NetworkV_2[[Customer type]:[Customer type]],OP_Rates!$E51,Calc_NetworkV_2[[Cost item]:[Cost item]],OP_Rates!$C51))*(1+Calc_ROM_2[Powercor]))*(1+GST),0,1))</f>
        <v>0</v>
      </c>
      <c r="J51" s="80" cm="1">
        <f t="array" ref="J51">IF(J39="-","-",
IF(J39=
((SUMIFS(Calc_Variable_2[United Energy],Calc_Variable_2[[Customer type]:[Customer type]],"All")+SUMIFS(Calc_Variable_2[United Energy],Calc_Variable_2[[Customer type]:[Customer type]],OP_Rates!$E51)+
SUMIFS(Calc_NetworkV_2[United Energy],Calc_NetworkV_2[[Customer type]:[Customer type]],OP_Rates!$E51,Calc_NetworkV_2[[Cost item]:[Cost item]],OP_Rates!$C51))*(1+Calc_ROM_2[United Energy]))*(1+GST),0,1))</f>
        <v>0</v>
      </c>
      <c r="L51" s="21" t="s">
        <v>292</v>
      </c>
      <c r="M51" s="21" t="s">
        <v>284</v>
      </c>
      <c r="N51" s="21" t="s">
        <v>89</v>
      </c>
      <c r="O51" s="80" cm="1">
        <f t="array" ref="O51">IF(O39="-","-",
IF(O39=
((SUMIFS(Calc_Variable_2[Ausnet],Calc_Variable_2[[Customer type]:[Customer type]],"All")+SUMIFS(Calc_Variable_2[Ausnet],Calc_Variable_2[[Customer type]:[Customer type]],OP_Rates!$N51)+
SUMIFS(Calc_NetworkV_2[Ausnet],Calc_NetworkV_2[[Customer type]:[Customer type]],OP_Rates!$N51,Calc_NetworkV_2[[Cost item]:[Cost item]],OP_Rates!$L51))*(1+Calc_ROM_2[Ausnet]))*(1+GST),0,1))</f>
        <v>0</v>
      </c>
      <c r="P51" s="80" cm="1">
        <f t="array" ref="P51">IF(P39="-","-",
IF(P39=
((SUMIFS(Calc_Variable_2[Citipower],Calc_Variable_2[[Customer type]:[Customer type]],"All")+SUMIFS(Calc_Variable_2[Citipower],Calc_Variable_2[[Customer type]:[Customer type]],OP_Rates!$N51)+
SUMIFS(Calc_NetworkV_2[Citipower],Calc_NetworkV_2[[Customer type]:[Customer type]],OP_Rates!$N51,Calc_NetworkV_2[[Cost item]:[Cost item]],OP_Rates!$L51))*(1+Calc_ROM_2[Citipower]))*(1+GST),0,1))</f>
        <v>0</v>
      </c>
      <c r="Q51" s="80" cm="1">
        <f t="array" ref="Q51">IF(Q39="-","-",
IF(Q39=
((SUMIFS(Calc_Variable_2[Jemena],Calc_Variable_2[[Customer type]:[Customer type]],"All")+SUMIFS(Calc_Variable_2[Jemena],Calc_Variable_2[[Customer type]:[Customer type]],OP_Rates!$N51)+
SUMIFS(Calc_NetworkV_2[Jemena],Calc_NetworkV_2[[Customer type]:[Customer type]],OP_Rates!$N51,Calc_NetworkV_2[[Cost item]:[Cost item]],OP_Rates!$L51))*(1+Calc_ROM_2[Jemena]))*(1+GST),0,1))</f>
        <v>0</v>
      </c>
      <c r="R51" s="80" cm="1">
        <f t="array" ref="R51">IF(R39="-","-",
IF(R39=
((SUMIFS(Calc_Variable_2[Powercor],Calc_Variable_2[[Customer type]:[Customer type]],"All")+SUMIFS(Calc_Variable_2[Powercor],Calc_Variable_2[[Customer type]:[Customer type]],OP_Rates!$N51)+
SUMIFS(Calc_NetworkV_2[Powercor],Calc_NetworkV_2[[Customer type]:[Customer type]],OP_Rates!$N51,Calc_NetworkV_2[[Cost item]:[Cost item]],OP_Rates!$L51))*(1+Calc_ROM_2[Powercor]))*(1+GST),0,1))</f>
        <v>0</v>
      </c>
      <c r="S51" s="80" cm="1">
        <f t="array" ref="S51">IF(S39="-","-",
IF(S39=
((SUMIFS(Calc_Variable_2[United Energy],Calc_Variable_2[[Customer type]:[Customer type]],"All")+SUMIFS(Calc_Variable_2[United Energy],Calc_Variable_2[[Customer type]:[Customer type]],OP_Rates!$N51)+
SUMIFS(Calc_NetworkV_2[United Energy],Calc_NetworkV_2[[Customer type]:[Customer type]],OP_Rates!$N51,Calc_NetworkV_2[[Cost item]:[Cost item]],OP_Rates!$L51))*(1+Calc_ROM_2[United Energy]))*(1+GST),0,1))</f>
        <v>0</v>
      </c>
    </row>
    <row r="52" spans="3:19" ht="15.5" x14ac:dyDescent="0.35">
      <c r="C52" s="21" t="s">
        <v>293</v>
      </c>
      <c r="D52" s="21" t="s">
        <v>284</v>
      </c>
      <c r="E52" s="21" t="s">
        <v>88</v>
      </c>
      <c r="F52" s="80" cm="1">
        <f t="array" ref="F52">IF(F40="-","-",
IF(F40=
((SUMIFS(Calc_Variable_2[Ausnet],Calc_Variable_2[[Customer type]:[Customer type]],"All")+SUMIFS(Calc_Variable_2[Ausnet],Calc_Variable_2[[Customer type]:[Customer type]],OP_Rates!$E52)+
SUMIFS(Calc_NetworkV_2[Ausnet],Calc_NetworkV_2[[Customer type]:[Customer type]],OP_Rates!$E52,Calc_NetworkV_2[[Cost item]:[Cost item]],OP_Rates!$C52))*(1+Calc_ROM_2[Ausnet]))*(1+GST),0,1))</f>
        <v>0</v>
      </c>
      <c r="G52" s="80" cm="1">
        <f t="array" ref="G52">IF(G40="-","-",
IF(G40=
((SUMIFS(Calc_Variable_2[Citipower],Calc_Variable_2[[Customer type]:[Customer type]],"All")+SUMIFS(Calc_Variable_2[Citipower],Calc_Variable_2[[Customer type]:[Customer type]],OP_Rates!$E52)+
SUMIFS(Calc_NetworkV_2[Citipower],Calc_NetworkV_2[[Customer type]:[Customer type]],OP_Rates!$E52,Calc_NetworkV_2[[Cost item]:[Cost item]],OP_Rates!$C52))*(1+Calc_ROM_2[Citipower]))*(1+GST),0,1))</f>
        <v>0</v>
      </c>
      <c r="H52" s="80" cm="1">
        <f t="array" ref="H52">IF(H40="-","-",
IF(H40=
((SUMIFS(Calc_Variable_2[Jemena],Calc_Variable_2[[Customer type]:[Customer type]],"All")+SUMIFS(Calc_Variable_2[Jemena],Calc_Variable_2[[Customer type]:[Customer type]],OP_Rates!$E52)+
SUMIFS(Calc_NetworkV_2[Jemena],Calc_NetworkV_2[[Customer type]:[Customer type]],OP_Rates!$E52,Calc_NetworkV_2[[Cost item]:[Cost item]],OP_Rates!$C52))*(1+Calc_ROM_2[Jemena]))*(1+GST),0,1))</f>
        <v>0</v>
      </c>
      <c r="I52" s="80" cm="1">
        <f t="array" ref="I52">IF(I40="-","-",
IF(I40=
((SUMIFS(Calc_Variable_2[Powercor],Calc_Variable_2[[Customer type]:[Customer type]],"All")+SUMIFS(Calc_Variable_2[Powercor],Calc_Variable_2[[Customer type]:[Customer type]],OP_Rates!$E52)+
SUMIFS(Calc_NetworkV_2[Powercor],Calc_NetworkV_2[[Customer type]:[Customer type]],OP_Rates!$E52,Calc_NetworkV_2[[Cost item]:[Cost item]],OP_Rates!$C52))*(1+Calc_ROM_2[Powercor]))*(1+GST),0,1))</f>
        <v>0</v>
      </c>
      <c r="J52" s="80" cm="1">
        <f t="array" ref="J52">IF(J40="-","-",
IF(J40=
((SUMIFS(Calc_Variable_2[United Energy],Calc_Variable_2[[Customer type]:[Customer type]],"All")+SUMIFS(Calc_Variable_2[United Energy],Calc_Variable_2[[Customer type]:[Customer type]],OP_Rates!$E52)+
SUMIFS(Calc_NetworkV_2[United Energy],Calc_NetworkV_2[[Customer type]:[Customer type]],OP_Rates!$E52,Calc_NetworkV_2[[Cost item]:[Cost item]],OP_Rates!$C52))*(1+Calc_ROM_2[United Energy]))*(1+GST),0,1))</f>
        <v>0</v>
      </c>
      <c r="L52" s="21" t="s">
        <v>293</v>
      </c>
      <c r="M52" s="21" t="s">
        <v>284</v>
      </c>
      <c r="N52" s="21" t="s">
        <v>89</v>
      </c>
      <c r="O52" s="80" cm="1">
        <f t="array" ref="O52">IF(O40="-","-",
IF(O40=
((SUMIFS(Calc_Variable_2[Ausnet],Calc_Variable_2[[Customer type]:[Customer type]],"All")+SUMIFS(Calc_Variable_2[Ausnet],Calc_Variable_2[[Customer type]:[Customer type]],OP_Rates!$N52)+
SUMIFS(Calc_NetworkV_2[Ausnet],Calc_NetworkV_2[[Customer type]:[Customer type]],OP_Rates!$N52,Calc_NetworkV_2[[Cost item]:[Cost item]],OP_Rates!$L52))*(1+Calc_ROM_2[Ausnet]))*(1+GST),0,1))</f>
        <v>0</v>
      </c>
      <c r="P52" s="80" cm="1">
        <f t="array" ref="P52">IF(P40="-","-",
IF(P40=
((SUMIFS(Calc_Variable_2[Citipower],Calc_Variable_2[[Customer type]:[Customer type]],"All")+SUMIFS(Calc_Variable_2[Citipower],Calc_Variable_2[[Customer type]:[Customer type]],OP_Rates!$N52)+
SUMIFS(Calc_NetworkV_2[Citipower],Calc_NetworkV_2[[Customer type]:[Customer type]],OP_Rates!$N52,Calc_NetworkV_2[[Cost item]:[Cost item]],OP_Rates!$L52))*(1+Calc_ROM_2[Citipower]))*(1+GST),0,1))</f>
        <v>0</v>
      </c>
      <c r="Q52" s="80" cm="1">
        <f t="array" ref="Q52">IF(Q40="-","-",
IF(Q40=
((SUMIFS(Calc_Variable_2[Jemena],Calc_Variable_2[[Customer type]:[Customer type]],"All")+SUMIFS(Calc_Variable_2[Jemena],Calc_Variable_2[[Customer type]:[Customer type]],OP_Rates!$N52)+
SUMIFS(Calc_NetworkV_2[Jemena],Calc_NetworkV_2[[Customer type]:[Customer type]],OP_Rates!$N52,Calc_NetworkV_2[[Cost item]:[Cost item]],OP_Rates!$L52))*(1+Calc_ROM_2[Jemena]))*(1+GST),0,1))</f>
        <v>0</v>
      </c>
      <c r="R52" s="80" cm="1">
        <f t="array" ref="R52">IF(R40="-","-",
IF(R40=
((SUMIFS(Calc_Variable_2[Powercor],Calc_Variable_2[[Customer type]:[Customer type]],"All")+SUMIFS(Calc_Variable_2[Powercor],Calc_Variable_2[[Customer type]:[Customer type]],OP_Rates!$N52)+
SUMIFS(Calc_NetworkV_2[Powercor],Calc_NetworkV_2[[Customer type]:[Customer type]],OP_Rates!$N52,Calc_NetworkV_2[[Cost item]:[Cost item]],OP_Rates!$L52))*(1+Calc_ROM_2[Powercor]))*(1+GST),0,1))</f>
        <v>0</v>
      </c>
      <c r="S52" s="80" cm="1">
        <f t="array" ref="S52">IF(S40="-","-",
IF(S40=
((SUMIFS(Calc_Variable_2[United Energy],Calc_Variable_2[[Customer type]:[Customer type]],"All")+SUMIFS(Calc_Variable_2[United Energy],Calc_Variable_2[[Customer type]:[Customer type]],OP_Rates!$N52)+
SUMIFS(Calc_NetworkV_2[United Energy],Calc_NetworkV_2[[Customer type]:[Customer type]],OP_Rates!$N52,Calc_NetworkV_2[[Cost item]:[Cost item]],OP_Rates!$L52))*(1+Calc_ROM_2[United Energy]))*(1+GST),0,1))</f>
        <v>0</v>
      </c>
    </row>
    <row r="53" spans="3:19" ht="15.5" x14ac:dyDescent="0.35">
      <c r="C53" s="21" t="s">
        <v>294</v>
      </c>
      <c r="D53" s="21" t="s">
        <v>284</v>
      </c>
      <c r="E53" s="21" t="s">
        <v>88</v>
      </c>
      <c r="F53" s="80" cm="1">
        <f t="array" ref="F53">IF(F41="-","-",
IF(F41=
((SUMIFS(Calc_Variable_2[Ausnet],Calc_Variable_2[[Customer type]:[Customer type]],"All")+SUMIFS(Calc_Variable_2[Ausnet],Calc_Variable_2[[Customer type]:[Customer type]],OP_Rates!$E53)+
SUMIFS(Calc_NetworkV_2[Ausnet],Calc_NetworkV_2[[Customer type]:[Customer type]],OP_Rates!$E53,Calc_NetworkV_2[[Cost item]:[Cost item]],OP_Rates!$C53))*(1+Calc_ROM_2[Ausnet]))*(1+GST),0,1))</f>
        <v>0</v>
      </c>
      <c r="G53" s="80" cm="1">
        <f t="array" ref="G53">IF(G41="-","-",
IF(G41=
((SUMIFS(Calc_Variable_2[Citipower],Calc_Variable_2[[Customer type]:[Customer type]],"All")+SUMIFS(Calc_Variable_2[Citipower],Calc_Variable_2[[Customer type]:[Customer type]],OP_Rates!$E53)+
SUMIFS(Calc_NetworkV_2[Citipower],Calc_NetworkV_2[[Customer type]:[Customer type]],OP_Rates!$E53,Calc_NetworkV_2[[Cost item]:[Cost item]],OP_Rates!$C53))*(1+Calc_ROM_2[Citipower]))*(1+GST),0,1))</f>
        <v>0</v>
      </c>
      <c r="H53" s="80" cm="1">
        <f t="array" ref="H53">IF(H41="-","-",
IF(H41=
((SUMIFS(Calc_Variable_2[Jemena],Calc_Variable_2[[Customer type]:[Customer type]],"All")+SUMIFS(Calc_Variable_2[Jemena],Calc_Variable_2[[Customer type]:[Customer type]],OP_Rates!$E53)+
SUMIFS(Calc_NetworkV_2[Jemena],Calc_NetworkV_2[[Customer type]:[Customer type]],OP_Rates!$E53,Calc_NetworkV_2[[Cost item]:[Cost item]],OP_Rates!$C53))*(1+Calc_ROM_2[Jemena]))*(1+GST),0,1))</f>
        <v>0</v>
      </c>
      <c r="I53" s="80" cm="1">
        <f t="array" ref="I53">IF(I41="-","-",
IF(I41=
((SUMIFS(Calc_Variable_2[Powercor],Calc_Variable_2[[Customer type]:[Customer type]],"All")+SUMIFS(Calc_Variable_2[Powercor],Calc_Variable_2[[Customer type]:[Customer type]],OP_Rates!$E53)+
SUMIFS(Calc_NetworkV_2[Powercor],Calc_NetworkV_2[[Customer type]:[Customer type]],OP_Rates!$E53,Calc_NetworkV_2[[Cost item]:[Cost item]],OP_Rates!$C53))*(1+Calc_ROM_2[Powercor]))*(1+GST),0,1))</f>
        <v>0</v>
      </c>
      <c r="J53" s="80" cm="1">
        <f t="array" ref="J53">IF(J41="-","-",
IF(J41=
((SUMIFS(Calc_Variable_2[United Energy],Calc_Variable_2[[Customer type]:[Customer type]],"All")+SUMIFS(Calc_Variable_2[United Energy],Calc_Variable_2[[Customer type]:[Customer type]],OP_Rates!$E53)+
SUMIFS(Calc_NetworkV_2[United Energy],Calc_NetworkV_2[[Customer type]:[Customer type]],OP_Rates!$E53,Calc_NetworkV_2[[Cost item]:[Cost item]],OP_Rates!$C53))*(1+Calc_ROM_2[United Energy]))*(1+GST),0,1))</f>
        <v>0</v>
      </c>
      <c r="L53" s="21" t="s">
        <v>294</v>
      </c>
      <c r="M53" s="21" t="s">
        <v>284</v>
      </c>
      <c r="N53" s="21" t="s">
        <v>89</v>
      </c>
      <c r="O53" s="80" t="str" cm="1">
        <f t="array" ref="O53">IF(O41="-","-",
IF(O41=
((SUMIFS(Calc_Variable_2[Ausnet],Calc_Variable_2[[Customer type]:[Customer type]],"All")+SUMIFS(Calc_Variable_2[Ausnet],Calc_Variable_2[[Customer type]:[Customer type]],OP_Rates!$N53)+
SUMIFS(Calc_NetworkV_2[Ausnet],Calc_NetworkV_2[[Customer type]:[Customer type]],OP_Rates!$N53,Calc_NetworkV_2[[Cost item]:[Cost item]],OP_Rates!$L53))*(1+Calc_ROM_2[Ausnet]))*(1+GST),0,1))</f>
        <v>-</v>
      </c>
      <c r="P53" s="80" t="str" cm="1">
        <f t="array" ref="P53">IF(P41="-","-",
IF(P41=
((SUMIFS(Calc_Variable_2[Citipower],Calc_Variable_2[[Customer type]:[Customer type]],"All")+SUMIFS(Calc_Variable_2[Citipower],Calc_Variable_2[[Customer type]:[Customer type]],OP_Rates!$N53)+
SUMIFS(Calc_NetworkV_2[Citipower],Calc_NetworkV_2[[Customer type]:[Customer type]],OP_Rates!$N53,Calc_NetworkV_2[[Cost item]:[Cost item]],OP_Rates!$L53))*(1+Calc_ROM_2[Citipower]))*(1+GST),0,1))</f>
        <v>-</v>
      </c>
      <c r="Q53" s="80" t="str" cm="1">
        <f t="array" ref="Q53">IF(Q41="-","-",
IF(Q41=
((SUMIFS(Calc_Variable_2[Jemena],Calc_Variable_2[[Customer type]:[Customer type]],"All")+SUMIFS(Calc_Variable_2[Jemena],Calc_Variable_2[[Customer type]:[Customer type]],OP_Rates!$N53)+
SUMIFS(Calc_NetworkV_2[Jemena],Calc_NetworkV_2[[Customer type]:[Customer type]],OP_Rates!$N53,Calc_NetworkV_2[[Cost item]:[Cost item]],OP_Rates!$L53))*(1+Calc_ROM_2[Jemena]))*(1+GST),0,1))</f>
        <v>-</v>
      </c>
      <c r="R53" s="80" t="str" cm="1">
        <f t="array" ref="R53">IF(R41="-","-",
IF(R41=
((SUMIFS(Calc_Variable_2[Powercor],Calc_Variable_2[[Customer type]:[Customer type]],"All")+SUMIFS(Calc_Variable_2[Powercor],Calc_Variable_2[[Customer type]:[Customer type]],OP_Rates!$N53)+
SUMIFS(Calc_NetworkV_2[Powercor],Calc_NetworkV_2[[Customer type]:[Customer type]],OP_Rates!$N53,Calc_NetworkV_2[[Cost item]:[Cost item]],OP_Rates!$L53))*(1+Calc_ROM_2[Powercor]))*(1+GST),0,1))</f>
        <v>-</v>
      </c>
      <c r="S53" s="80" t="str" cm="1">
        <f t="array" ref="S53">IF(S41="-","-",
IF(S41=
((SUMIFS(Calc_Variable_2[United Energy],Calc_Variable_2[[Customer type]:[Customer type]],"All")+SUMIFS(Calc_Variable_2[United Energy],Calc_Variable_2[[Customer type]:[Customer type]],OP_Rates!$N53)+
SUMIFS(Calc_NetworkV_2[United Energy],Calc_NetworkV_2[[Customer type]:[Customer type]],OP_Rates!$N53,Calc_NetworkV_2[[Cost item]:[Cost item]],OP_Rates!$L53))*(1+Calc_ROM_2[United Energy]))*(1+GST),0,1))</f>
        <v>-</v>
      </c>
    </row>
    <row r="57" spans="3:19" x14ac:dyDescent="0.35">
      <c r="F57" s="90"/>
      <c r="G57" s="90"/>
      <c r="H57" s="90"/>
      <c r="I57" s="90"/>
      <c r="J57" s="90"/>
    </row>
    <row r="58" spans="3:19" x14ac:dyDescent="0.35">
      <c r="F58" s="90"/>
      <c r="G58" s="90"/>
      <c r="H58" s="90"/>
      <c r="I58" s="90"/>
      <c r="J58" s="90"/>
    </row>
    <row r="59" spans="3:19" x14ac:dyDescent="0.35">
      <c r="F59" s="90"/>
      <c r="G59" s="90"/>
      <c r="H59" s="90"/>
      <c r="I59" s="90"/>
      <c r="J59" s="90"/>
    </row>
    <row r="60" spans="3:19" x14ac:dyDescent="0.35">
      <c r="F60" s="90"/>
      <c r="G60" s="90"/>
      <c r="H60" s="90"/>
      <c r="I60" s="90"/>
      <c r="J60" s="90"/>
    </row>
    <row r="61" spans="3:19" x14ac:dyDescent="0.35">
      <c r="F61" s="90"/>
      <c r="G61" s="90"/>
      <c r="H61" s="90"/>
      <c r="I61" s="90"/>
      <c r="J61" s="90"/>
    </row>
    <row r="62" spans="3:19" x14ac:dyDescent="0.35">
      <c r="F62" s="90"/>
      <c r="G62" s="90"/>
      <c r="H62" s="90"/>
      <c r="I62" s="90"/>
      <c r="J62" s="90"/>
    </row>
    <row r="63" spans="3:19" x14ac:dyDescent="0.35">
      <c r="F63" s="90"/>
      <c r="G63" s="90"/>
      <c r="H63" s="90"/>
      <c r="I63" s="90"/>
      <c r="J63" s="90"/>
    </row>
  </sheetData>
  <sheetProtection algorithmName="SHA-512" hashValue="fY9zsZGs5nowf+xrfNgfAMlQV/4VpqBpwEEjgNRdlJDZVhPixWRZyt/PC/f/zCWVoepRAxXcqSdqu1Ha5NSS4g==" saltValue="6dqlz2Qmili6MlGd26TNFQ==" spinCount="100000" sheet="1" objects="1" scenarios="1"/>
  <mergeCells count="1">
    <mergeCell ref="A2:A3"/>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N34:N41 E20:E27 N20:N27 E46:E53 E9:E16 N9:N16 E34:E41 N46:N53</xm:sqref>
        </x14:dataValidation>
        <x14:dataValidation type="list" allowBlank="1" showInputMessage="1" showErrorMessage="1" xr:uid="{1A9A4095-A88F-441F-8070-8597F2CE1034}">
          <x14:formula1>
            <xm:f>'Lookup refs'!$E$8:$E$18</xm:f>
          </x14:formula1>
          <xm:sqref>M46:M53 D9:D16 M34:M41 D34:D41 D46:D53 M20:M27 D20:D27 M9:M16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sheetPr>
  <dimension ref="A1:R38"/>
  <sheetViews>
    <sheetView showGridLines="0" topLeftCell="B1" zoomScale="85" zoomScaleNormal="85" workbookViewId="0">
      <pane ySplit="3" topLeftCell="A4" activePane="bottomLeft" state="frozen"/>
      <selection pane="bottomLeft" activeCell="F45" sqref="F45"/>
    </sheetView>
  </sheetViews>
  <sheetFormatPr defaultColWidth="9.1796875" defaultRowHeight="14.5" outlineLevelCol="1" x14ac:dyDescent="0.35"/>
  <cols>
    <col min="1" max="1" width="100.7265625" hidden="1" customWidth="1" outlineLevel="1"/>
    <col min="2" max="2" width="10.7265625" style="7" customWidth="1" collapsed="1"/>
    <col min="3" max="3" width="20.54296875" customWidth="1"/>
    <col min="4" max="4" width="23.81640625" bestFit="1" customWidth="1"/>
    <col min="5" max="9" width="20.54296875" customWidth="1"/>
    <col min="10" max="10" width="5.54296875" customWidth="1"/>
    <col min="11" max="18" width="20.54296875" customWidth="1"/>
  </cols>
  <sheetData>
    <row r="1" spans="1:18" ht="15" customHeight="1" x14ac:dyDescent="0.35">
      <c r="A1" s="2" t="s">
        <v>19</v>
      </c>
      <c r="B1" s="19"/>
      <c r="C1" s="20"/>
      <c r="D1" s="20"/>
      <c r="E1" s="20"/>
      <c r="F1" s="20"/>
      <c r="G1" s="96" t="s">
        <v>385</v>
      </c>
      <c r="H1" s="83"/>
      <c r="I1" s="20"/>
      <c r="J1" s="20"/>
      <c r="K1" s="20"/>
      <c r="L1" s="20"/>
      <c r="M1" s="20"/>
      <c r="N1" s="20"/>
      <c r="O1" s="20"/>
      <c r="P1" s="20"/>
      <c r="Q1" s="20"/>
      <c r="R1" s="20"/>
    </row>
    <row r="2" spans="1:18" s="5" customFormat="1" ht="50.15" customHeight="1" x14ac:dyDescent="0.35">
      <c r="A2" s="110" t="s">
        <v>20</v>
      </c>
      <c r="B2" s="22"/>
      <c r="C2" s="22" t="str">
        <f>Disclaimer!$B$1</f>
        <v>VDO calculation model</v>
      </c>
      <c r="D2" s="22"/>
      <c r="E2" s="22"/>
      <c r="F2" s="22"/>
      <c r="G2" s="37" t="str">
        <f>Calc_Rates!$D$5</f>
        <v>VDO 2021 - Final</v>
      </c>
      <c r="H2" s="107" t="str">
        <f>Calc_Rates!$D$244</f>
        <v>VDO 2021 - Variation draft</v>
      </c>
      <c r="I2" s="22"/>
      <c r="J2" s="22"/>
      <c r="K2" s="22"/>
      <c r="L2" s="22"/>
      <c r="M2" s="22"/>
      <c r="N2" s="22"/>
      <c r="O2" s="22"/>
      <c r="P2" s="22"/>
      <c r="Q2" s="22"/>
      <c r="R2" s="22"/>
    </row>
    <row r="3" spans="1:18" s="5" customFormat="1" ht="30" customHeight="1" x14ac:dyDescent="0.35">
      <c r="A3" s="111"/>
      <c r="B3" s="24">
        <f ca="1">_xlfn.SHEET()</f>
        <v>11</v>
      </c>
      <c r="C3" s="23" t="s">
        <v>329</v>
      </c>
      <c r="D3" s="23"/>
      <c r="E3" s="23"/>
      <c r="F3" s="23"/>
      <c r="G3" s="82">
        <f>SUM(E14:I16)+SUM(M14:Q16)</f>
        <v>0</v>
      </c>
      <c r="H3" s="82">
        <f>SUM(E27:I29)+SUM(M27:Q29)</f>
        <v>0</v>
      </c>
      <c r="I3" s="23"/>
      <c r="J3" s="23"/>
      <c r="K3" s="23"/>
      <c r="L3" s="23"/>
      <c r="M3" s="23"/>
      <c r="N3" s="23"/>
      <c r="O3" s="23"/>
      <c r="P3" s="23"/>
      <c r="Q3" s="23"/>
      <c r="R3" s="23"/>
    </row>
    <row r="4" spans="1:18" x14ac:dyDescent="0.35">
      <c r="B4"/>
    </row>
    <row r="5" spans="1:18" ht="16" thickBot="1" x14ac:dyDescent="0.4">
      <c r="A5" s="2" t="s">
        <v>22</v>
      </c>
      <c r="B5" s="8">
        <f ca="1">MAX(B$3:B4)+0.1</f>
        <v>11.1</v>
      </c>
      <c r="C5" s="25" t="str">
        <f>"CMAB amounts - "&amp;Calc_Rates!$D$5</f>
        <v>CMAB amounts - VDO 2021 - Final</v>
      </c>
      <c r="D5" s="25"/>
      <c r="E5" s="25"/>
      <c r="F5" s="25"/>
      <c r="G5" s="25"/>
      <c r="H5" s="25"/>
      <c r="I5" s="25"/>
      <c r="J5" s="25"/>
      <c r="K5" s="25"/>
      <c r="L5" s="25"/>
      <c r="M5" s="25"/>
      <c r="N5" s="25"/>
      <c r="O5" s="25"/>
      <c r="P5" s="25"/>
      <c r="Q5" s="25"/>
      <c r="R5" s="25"/>
    </row>
    <row r="7" spans="1:18" ht="15.5" x14ac:dyDescent="0.35">
      <c r="C7" s="51" t="s">
        <v>93</v>
      </c>
      <c r="D7" s="37" t="str">
        <f>Calc_Rates!$D$5</f>
        <v>VDO 2021 - Final</v>
      </c>
    </row>
    <row r="8" spans="1:18" ht="15.5" x14ac:dyDescent="0.35">
      <c r="C8" s="26" t="s">
        <v>88</v>
      </c>
      <c r="K8" s="26" t="s">
        <v>89</v>
      </c>
    </row>
    <row r="9" spans="1:18" ht="15.5" x14ac:dyDescent="0.35">
      <c r="C9" s="39" t="s">
        <v>87</v>
      </c>
      <c r="D9" s="39" t="s">
        <v>86</v>
      </c>
      <c r="E9" s="55" t="s">
        <v>270</v>
      </c>
      <c r="F9" s="55" t="s">
        <v>271</v>
      </c>
      <c r="G9" s="55" t="s">
        <v>272</v>
      </c>
      <c r="H9" s="55" t="s">
        <v>273</v>
      </c>
      <c r="I9" s="55" t="s">
        <v>274</v>
      </c>
      <c r="K9" s="39" t="s">
        <v>87</v>
      </c>
      <c r="L9" s="39" t="s">
        <v>86</v>
      </c>
      <c r="M9" s="55" t="s">
        <v>270</v>
      </c>
      <c r="N9" s="55" t="s">
        <v>271</v>
      </c>
      <c r="O9" s="55" t="s">
        <v>272</v>
      </c>
      <c r="P9" s="55" t="s">
        <v>273</v>
      </c>
      <c r="Q9" s="55" t="s">
        <v>274</v>
      </c>
    </row>
    <row r="10" spans="1:18" hidden="1" x14ac:dyDescent="0.35">
      <c r="C10" s="21" t="s">
        <v>88</v>
      </c>
      <c r="D10" s="21" t="s">
        <v>219</v>
      </c>
      <c r="E10" s="95">
        <f>IFERROR(
IF($D$7="VDO 2021 - Final",
ROUNDUP(
(INDEX(OP_Rates_RES_1[[Ausnet]:[United Energy]],MATCH("Anytime - supply charge",OP_Rates_RES_1[Rate name],0),MATCH(OP_CMAB!E$9,OP_Rates_RES_1[[#Headers],[Ausnet]:[United Energy]],0))*DiY)+
(IFERROR((INDEX(OP_Rates_RES_1[[Ausnet]:[United Energy]],MATCH("Anytime - Block 1 charge",OP_Rates_RES_1[Rate name],0),MATCH(OP_CMAB!E$9,OP_Rates_RES_1[[#Headers],[Ausnet]:[United Energy]],0))*
INDEX(Input_UsageAnytime[[F-CurrentVDO]:[F-NextVDO]],MATCH(OP_CMAB!$D10&amp;" - Block 1",Input_UsageAnytime[Ref],0),MATCH(OP_CMAB!$D$7,Inputs!$I$129:$M$129,0))),0)+
IFERROR((INDEX(OP_Rates_RES_1[[Ausnet]:[United Energy]],MATCH("Anytime - Balance charge",OP_Rates_RES_1[Rate name],0),MATCH(OP_CMAB!E$9,OP_Rates_RES_1[[#Headers],[Ausnet]:[United Energy]],0))*
INDEX(Input_UsageAnytime[[F-CurrentVDO]:[F-NextVDO]],MATCH(OP_CMAB!$D10&amp;" - Balance",Input_UsageAnytime[Ref],0),MATCH(OP_CMAB!$D$7,Inputs!$I$129:$M$129,0))),0)+
IFERROR((INDEX(OP_Rates_RES_1[[Ausnet]:[United Energy]],MATCH("Anytime - Single rate charge",OP_Rates_RES_1[Rate name],0),MATCH(OP_CMAB!E$9,OP_Rates_RES_1[[#Headers],[Ausnet]:[United Energy]],0))*
INDEX(Input_UsageAnytime[[F-CurrentVDO]:[F-NextVDO]],MATCH(OP_CMAB!$D10&amp;" - Annual",Input_UsageAnytime[Ref],0),MATCH(OP_CMAB!$D$7,Inputs!$I$129:$M$129,0))),0)),0),
ROUNDUP(
(INDEX(OP_Rates_RES_1[[Ausnet]:[United Energy]],MATCH("TOU - supply charge",OP_Rates_RES_1[Rate name],0),MATCH(OP_CMAB!E$9,OP_Rates_RES_1[[#Headers],[Ausnet]:[United Energy]],0))*DiY)+
(INDEX(OP_Rates_RES_1[[Ausnet]:[United Energy]],MATCH("TOU - Peak charge",OP_Rates_RES_1[Rate name],0),MATCH(OP_CMAB!E$9,OP_Rates_RES_1[[#Headers],[Ausnet]:[United Energy]],0))*
INDEX(Input_UsageTOU[[F-CurrentVDO]:[F-NextVDO]],MATCH($D10&amp;" - Peak",Input_UsageTOU[Ref],0),MATCH($D$7,Inputs!$I$155:$M$155,0)))+
IFERROR((INDEX(OP_Rates_RES_1[[Ausnet]:[United Energy]],MATCH("TOU - Shoulder charge",OP_Rates_RES_1[Rate name],0),MATCH(OP_CMAB!E$9,OP_Rates_RES_1[[#Headers],[Ausnet]:[United Energy]],0))*
INDEX(Input_UsageTOU[[F-CurrentVDO]:[F-NextVDO]],MATCH($D10&amp;" - Shoulder",Input_UsageTOU[Ref],0),MATCH($D$7,Inputs!$I$155:$M$155,0))),0)+
(INDEX(OP_Rates_RES_1[[Ausnet]:[United Energy]],MATCH("TOU - Off peak charge",OP_Rates_RES_1[Rate name],0),MATCH(OP_CMAB!E$9,OP_Rates_RES_1[[#Headers],[Ausnet]:[United Energy]],0))*
INDEX(Input_UsageTOU[[F-CurrentVDO]:[F-NextVDO]],MATCH($D10&amp;" - Off-peak",Input_UsageTOU[Ref],0),MATCH($D$7,Inputs!$I$155:$M$155,0))),0)),"-")</f>
        <v>966</v>
      </c>
      <c r="F10" s="95">
        <f>IFERROR(
IF($D$7="VDO 2021 - Final",
ROUNDUP(
(INDEX(OP_Rates_RES_1[[Ausnet]:[United Energy]],MATCH("Anytime - supply charge",OP_Rates_RES_1[[Rate name]:[Rate name]],0),MATCH(OP_CMAB!F$9,OP_Rates_RES_1[[#Headers],[Ausnet]:[United Energy]],0))*DiY)+
(IFERROR((INDEX(OP_Rates_RES_1[[Ausnet]:[United Energy]],MATCH("Anytime - Block 1 charge",OP_Rates_RES_1[[Rate name]:[Rate name]],0),MATCH(OP_CMAB!F$9,OP_Rates_RES_1[[#Headers],[Ausnet]:[United Energy]],0))*
INDEX(Input_UsageAnytime[[F-CurrentVDO]:[F-NextVDO]],MATCH(OP_CMAB!$D10&amp;" - Block 1",Input_UsageAnytime[[Ref]:[Ref]],0),MATCH(OP_CMAB!$D$7,Inputs!$I$129:$M$129,0))),0)+
IFERROR((INDEX(OP_Rates_RES_1[[Ausnet]:[United Energy]],MATCH("Anytime - Balance charge",OP_Rates_RES_1[[Rate name]:[Rate name]],0),MATCH(OP_CMAB!F$9,OP_Rates_RES_1[[#Headers],[Ausnet]:[United Energy]],0))*
INDEX(Input_UsageAnytime[[F-CurrentVDO]:[F-NextVDO]],MATCH(OP_CMAB!$D10&amp;" - Balance",Input_UsageAnytime[[Ref]:[Ref]],0),MATCH(OP_CMAB!$D$7,Inputs!$I$129:$M$129,0))),0)+
IFERROR((INDEX(OP_Rates_RES_1[[Ausnet]:[United Energy]],MATCH("Anytime - Single rate charge",OP_Rates_RES_1[[Rate name]:[Rate name]],0),MATCH(OP_CMAB!F$9,OP_Rates_RES_1[[#Headers],[Ausnet]:[United Energy]],0))*
INDEX(Input_UsageAnytime[[F-CurrentVDO]:[F-NextVDO]],MATCH(OP_CMAB!$D10&amp;" - Annual",Input_UsageAnytime[[Ref]:[Ref]],0),MATCH(OP_CMAB!$D$7,Inputs!$I$129:$M$129,0))),0)),0),
ROUNDUP(
(INDEX(OP_Rates_RES_1[[Ausnet]:[United Energy]],MATCH("TOU - supply charge",OP_Rates_RES_1[[Rate name]:[Rate name]],0),MATCH(OP_CMAB!F$9,OP_Rates_RES_1[[#Headers],[Ausnet]:[United Energy]],0))*DiY)+
(INDEX(OP_Rates_RES_1[[Ausnet]:[United Energy]],MATCH("TOU - Peak charge",OP_Rates_RES_1[[Rate name]:[Rate name]],0),MATCH(OP_CMAB!F$9,OP_Rates_RES_1[[#Headers],[Ausnet]:[United Energy]],0))*
INDEX(Input_UsageTOU[[F-CurrentVDO]:[F-NextVDO]],MATCH($D10&amp;" - Peak",Input_UsageTOU[[Ref]:[Ref]],0),MATCH($D$7,Inputs!$I$155:$M$155,0)))+
IFERROR((INDEX(OP_Rates_RES_1[[Ausnet]:[United Energy]],MATCH("TOU - Shoulder charge",OP_Rates_RES_1[[Rate name]:[Rate name]],0),MATCH(OP_CMAB!F$9,OP_Rates_RES_1[[#Headers],[Ausnet]:[United Energy]],0))*
INDEX(Input_UsageTOU[[F-CurrentVDO]:[F-NextVDO]],MATCH($D10&amp;" - Shoulder",Input_UsageTOU[[Ref]:[Ref]],0),MATCH($D$7,Inputs!$I$155:$M$155,0))),0)+
(INDEX(OP_Rates_RES_1[[Ausnet]:[United Energy]],MATCH("TOU - Off peak charge",OP_Rates_RES_1[[Rate name]:[Rate name]],0),MATCH(OP_CMAB!F$9,OP_Rates_RES_1[[#Headers],[Ausnet]:[United Energy]],0))*
INDEX(Input_UsageTOU[[F-CurrentVDO]:[F-NextVDO]],MATCH($D10&amp;" - Off-peak",Input_UsageTOU[[Ref]:[Ref]],0),MATCH($D$7,Inputs!$I$155:$M$155,0))),0)),"-")</f>
        <v>842</v>
      </c>
      <c r="G10" s="95">
        <f>IFERROR(
IF($D$7="VDO 2021 - Final",
ROUNDUP(
(INDEX(OP_Rates_RES_1[[Ausnet]:[United Energy]],MATCH("Anytime - supply charge",OP_Rates_RES_1[[Rate name]:[Rate name]],0),MATCH(OP_CMAB!G$9,OP_Rates_RES_1[[#Headers],[Ausnet]:[United Energy]],0))*DiY)+
(IFERROR((INDEX(OP_Rates_RES_1[[Ausnet]:[United Energy]],MATCH("Anytime - Block 1 charge",OP_Rates_RES_1[[Rate name]:[Rate name]],0),MATCH(OP_CMAB!G$9,OP_Rates_RES_1[[#Headers],[Ausnet]:[United Energy]],0))*
INDEX(Input_UsageAnytime[[F-CurrentVDO]:[F-NextVDO]],MATCH(OP_CMAB!$D10&amp;" - Block 1",Input_UsageAnytime[[Ref]:[Ref]],0),MATCH(OP_CMAB!$D$7,Inputs!$I$129:$M$129,0))),0)+
IFERROR((INDEX(OP_Rates_RES_1[[Ausnet]:[United Energy]],MATCH("Anytime - Balance charge",OP_Rates_RES_1[[Rate name]:[Rate name]],0),MATCH(OP_CMAB!G$9,OP_Rates_RES_1[[#Headers],[Ausnet]:[United Energy]],0))*
INDEX(Input_UsageAnytime[[F-CurrentVDO]:[F-NextVDO]],MATCH(OP_CMAB!$D10&amp;" - Balance",Input_UsageAnytime[[Ref]:[Ref]],0),MATCH(OP_CMAB!$D$7,Inputs!$I$129:$M$129,0))),0)+
IFERROR((INDEX(OP_Rates_RES_1[[Ausnet]:[United Energy]],MATCH("Anytime - Single rate charge",OP_Rates_RES_1[[Rate name]:[Rate name]],0),MATCH(OP_CMAB!G$9,OP_Rates_RES_1[[#Headers],[Ausnet]:[United Energy]],0))*
INDEX(Input_UsageAnytime[[F-CurrentVDO]:[F-NextVDO]],MATCH(OP_CMAB!$D10&amp;" - Annual",Input_UsageAnytime[[Ref]:[Ref]],0),MATCH(OP_CMAB!$D$7,Inputs!$I$129:$M$129,0))),0)),0),
ROUNDUP(
(INDEX(OP_Rates_RES_1[[Ausnet]:[United Energy]],MATCH("TOU - supply charge",OP_Rates_RES_1[[Rate name]:[Rate name]],0),MATCH(OP_CMAB!G$9,OP_Rates_RES_1[[#Headers],[Ausnet]:[United Energy]],0))*DiY)+
(INDEX(OP_Rates_RES_1[[Ausnet]:[United Energy]],MATCH("TOU - Peak charge",OP_Rates_RES_1[[Rate name]:[Rate name]],0),MATCH(OP_CMAB!G$9,OP_Rates_RES_1[[#Headers],[Ausnet]:[United Energy]],0))*
INDEX(Input_UsageTOU[[F-CurrentVDO]:[F-NextVDO]],MATCH($D10&amp;" - Peak",Input_UsageTOU[[Ref]:[Ref]],0),MATCH($D$7,Inputs!$I$155:$M$155,0)))+
IFERROR((INDEX(OP_Rates_RES_1[[Ausnet]:[United Energy]],MATCH("TOU - Shoulder charge",OP_Rates_RES_1[[Rate name]:[Rate name]],0),MATCH(OP_CMAB!G$9,OP_Rates_RES_1[[#Headers],[Ausnet]:[United Energy]],0))*
INDEX(Input_UsageTOU[[F-CurrentVDO]:[F-NextVDO]],MATCH($D10&amp;" - Shoulder",Input_UsageTOU[[Ref]:[Ref]],0),MATCH($D$7,Inputs!$I$155:$M$155,0))),0)+
(INDEX(OP_Rates_RES_1[[Ausnet]:[United Energy]],MATCH("TOU - Off peak charge",OP_Rates_RES_1[[Rate name]:[Rate name]],0),MATCH(OP_CMAB!G$9,OP_Rates_RES_1[[#Headers],[Ausnet]:[United Energy]],0))*
INDEX(Input_UsageTOU[[F-CurrentVDO]:[F-NextVDO]],MATCH($D10&amp;" - Off-peak",Input_UsageTOU[[Ref]:[Ref]],0),MATCH($D$7,Inputs!$I$155:$M$155,0))),0)),"-")</f>
        <v>859</v>
      </c>
      <c r="H10" s="95">
        <f>IFERROR(
IF($D$7="VDO 2021 - Final",
ROUNDUP(
(INDEX(OP_Rates_RES_1[[Ausnet]:[United Energy]],MATCH("Anytime - supply charge",OP_Rates_RES_1[[Rate name]:[Rate name]],0),MATCH(OP_CMAB!H$9,OP_Rates_RES_1[[#Headers],[Ausnet]:[United Energy]],0))*DiY)+
(IFERROR((INDEX(OP_Rates_RES_1[[Ausnet]:[United Energy]],MATCH("Anytime - Block 1 charge",OP_Rates_RES_1[[Rate name]:[Rate name]],0),MATCH(OP_CMAB!H$9,OP_Rates_RES_1[[#Headers],[Ausnet]:[United Energy]],0))*
INDEX(Input_UsageAnytime[[F-CurrentVDO]:[F-NextVDO]],MATCH(OP_CMAB!$D10&amp;" - Block 1",Input_UsageAnytime[[Ref]:[Ref]],0),MATCH(OP_CMAB!$D$7,Inputs!$I$129:$M$129,0))),0)+
IFERROR((INDEX(OP_Rates_RES_1[[Ausnet]:[United Energy]],MATCH("Anytime - Balance charge",OP_Rates_RES_1[[Rate name]:[Rate name]],0),MATCH(OP_CMAB!H$9,OP_Rates_RES_1[[#Headers],[Ausnet]:[United Energy]],0))*
INDEX(Input_UsageAnytime[[F-CurrentVDO]:[F-NextVDO]],MATCH(OP_CMAB!$D10&amp;" - Balance",Input_UsageAnytime[[Ref]:[Ref]],0),MATCH(OP_CMAB!$D$7,Inputs!$I$129:$M$129,0))),0)+
IFERROR((INDEX(OP_Rates_RES_1[[Ausnet]:[United Energy]],MATCH("Anytime - Single rate charge",OP_Rates_RES_1[[Rate name]:[Rate name]],0),MATCH(OP_CMAB!H$9,OP_Rates_RES_1[[#Headers],[Ausnet]:[United Energy]],0))*
INDEX(Input_UsageAnytime[[F-CurrentVDO]:[F-NextVDO]],MATCH(OP_CMAB!$D10&amp;" - Annual",Input_UsageAnytime[[Ref]:[Ref]],0),MATCH(OP_CMAB!$D$7,Inputs!$I$129:$M$129,0))),0)),0),
ROUNDUP(
(INDEX(OP_Rates_RES_1[[Ausnet]:[United Energy]],MATCH("TOU - supply charge",OP_Rates_RES_1[[Rate name]:[Rate name]],0),MATCH(OP_CMAB!H$9,OP_Rates_RES_1[[#Headers],[Ausnet]:[United Energy]],0))*DiY)+
(INDEX(OP_Rates_RES_1[[Ausnet]:[United Energy]],MATCH("TOU - Peak charge",OP_Rates_RES_1[[Rate name]:[Rate name]],0),MATCH(OP_CMAB!H$9,OP_Rates_RES_1[[#Headers],[Ausnet]:[United Energy]],0))*
INDEX(Input_UsageTOU[[F-CurrentVDO]:[F-NextVDO]],MATCH($D10&amp;" - Peak",Input_UsageTOU[[Ref]:[Ref]],0),MATCH($D$7,Inputs!$I$155:$M$155,0)))+
IFERROR((INDEX(OP_Rates_RES_1[[Ausnet]:[United Energy]],MATCH("TOU - Shoulder charge",OP_Rates_RES_1[[Rate name]:[Rate name]],0),MATCH(OP_CMAB!H$9,OP_Rates_RES_1[[#Headers],[Ausnet]:[United Energy]],0))*
INDEX(Input_UsageTOU[[F-CurrentVDO]:[F-NextVDO]],MATCH($D10&amp;" - Shoulder",Input_UsageTOU[[Ref]:[Ref]],0),MATCH($D$7,Inputs!$I$155:$M$155,0))),0)+
(INDEX(OP_Rates_RES_1[[Ausnet]:[United Energy]],MATCH("TOU - Off peak charge",OP_Rates_RES_1[[Rate name]:[Rate name]],0),MATCH(OP_CMAB!H$9,OP_Rates_RES_1[[#Headers],[Ausnet]:[United Energy]],0))*
INDEX(Input_UsageTOU[[F-CurrentVDO]:[F-NextVDO]],MATCH($D10&amp;" - Off-peak",Input_UsageTOU[[Ref]:[Ref]],0),MATCH($D$7,Inputs!$I$155:$M$155,0))),0)),"-")</f>
        <v>920</v>
      </c>
      <c r="I10" s="95">
        <f>IFERROR(
IF($D$7="VDO 2021 - Final",
ROUNDUP(
(INDEX(OP_Rates_RES_1[[Ausnet]:[United Energy]],MATCH("Anytime - supply charge",OP_Rates_RES_1[[Rate name]:[Rate name]],0),MATCH(OP_CMAB!I$9,OP_Rates_RES_1[[#Headers],[Ausnet]:[United Energy]],0))*DiY)+
(IFERROR((INDEX(OP_Rates_RES_1[[Ausnet]:[United Energy]],MATCH("Anytime - Block 1 charge",OP_Rates_RES_1[[Rate name]:[Rate name]],0),MATCH(OP_CMAB!I$9,OP_Rates_RES_1[[#Headers],[Ausnet]:[United Energy]],0))*
INDEX(Input_UsageAnytime[[F-CurrentVDO]:[F-NextVDO]],MATCH(OP_CMAB!$D10&amp;" - Block 1",Input_UsageAnytime[[Ref]:[Ref]],0),MATCH(OP_CMAB!$D$7,Inputs!$I$129:$M$129,0))),0)+
IFERROR((INDEX(OP_Rates_RES_1[[Ausnet]:[United Energy]],MATCH("Anytime - Balance charge",OP_Rates_RES_1[[Rate name]:[Rate name]],0),MATCH(OP_CMAB!I$9,OP_Rates_RES_1[[#Headers],[Ausnet]:[United Energy]],0))*
INDEX(Input_UsageAnytime[[F-CurrentVDO]:[F-NextVDO]],MATCH(OP_CMAB!$D10&amp;" - Balance",Input_UsageAnytime[[Ref]:[Ref]],0),MATCH(OP_CMAB!$D$7,Inputs!$I$129:$M$129,0))),0)+
IFERROR((INDEX(OP_Rates_RES_1[[Ausnet]:[United Energy]],MATCH("Anytime - Single rate charge",OP_Rates_RES_1[[Rate name]:[Rate name]],0),MATCH(OP_CMAB!I$9,OP_Rates_RES_1[[#Headers],[Ausnet]:[United Energy]],0))*
INDEX(Input_UsageAnytime[[F-CurrentVDO]:[F-NextVDO]],MATCH(OP_CMAB!$D10&amp;" - Annual",Input_UsageAnytime[[Ref]:[Ref]],0),MATCH(OP_CMAB!$D$7,Inputs!$I$129:$M$129,0))),0)),0),
ROUNDUP(
(INDEX(OP_Rates_RES_1[[Ausnet]:[United Energy]],MATCH("TOU - supply charge",OP_Rates_RES_1[[Rate name]:[Rate name]],0),MATCH(OP_CMAB!I$9,OP_Rates_RES_1[[#Headers],[Ausnet]:[United Energy]],0))*DiY)+
(INDEX(OP_Rates_RES_1[[Ausnet]:[United Energy]],MATCH("TOU - Peak charge",OP_Rates_RES_1[[Rate name]:[Rate name]],0),MATCH(OP_CMAB!I$9,OP_Rates_RES_1[[#Headers],[Ausnet]:[United Energy]],0))*
INDEX(Input_UsageTOU[[F-CurrentVDO]:[F-NextVDO]],MATCH($D10&amp;" - Peak",Input_UsageTOU[[Ref]:[Ref]],0),MATCH($D$7,Inputs!$I$155:$M$155,0)))+
IFERROR((INDEX(OP_Rates_RES_1[[Ausnet]:[United Energy]],MATCH("TOU - Shoulder charge",OP_Rates_RES_1[[Rate name]:[Rate name]],0),MATCH(OP_CMAB!I$9,OP_Rates_RES_1[[#Headers],[Ausnet]:[United Energy]],0))*
INDEX(Input_UsageTOU[[F-CurrentVDO]:[F-NextVDO]],MATCH($D10&amp;" - Shoulder",Input_UsageTOU[[Ref]:[Ref]],0),MATCH($D$7,Inputs!$I$155:$M$155,0))),0)+
(INDEX(OP_Rates_RES_1[[Ausnet]:[United Energy]],MATCH("TOU - Off peak charge",OP_Rates_RES_1[[Rate name]:[Rate name]],0),MATCH(OP_CMAB!I$9,OP_Rates_RES_1[[#Headers],[Ausnet]:[United Energy]],0))*
INDEX(Input_UsageTOU[[F-CurrentVDO]:[F-NextVDO]],MATCH($D10&amp;" - Off-peak",Input_UsageTOU[[Ref]:[Ref]],0),MATCH($D$7,Inputs!$I$155:$M$155,0))),0)),"-")</f>
        <v>839</v>
      </c>
      <c r="K10" s="21" t="s">
        <v>89</v>
      </c>
      <c r="L10" s="21" t="s">
        <v>224</v>
      </c>
      <c r="M10" s="95">
        <f>IFERROR(
IF($D$7="VDO 2021 - Final",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INDEX(Input_UsageAnytime[[F-CurrentVDO]:[F-NextVDO]],MATCH(OP_CMAB!$L10&amp;" - Block 1",Input_UsageAnytime[Ref],0),MATCH(OP_CMAB!$D$7,Inputs!$I$129:$M$129,0))),0)+
IFERROR((INDEX(OP_Rates_SME_1[[Ausnet]:[United Energy]],MATCH("Anytime - Balance charge",OP_Rates_SME_1[Rate name],0),MATCH(OP_CMAB!M$9,OP_Rates_SME_1[[#Headers],[Ausnet]:[United Energy]],0))*
INDEX(Input_UsageAnytime[[F-CurrentVDO]:[F-NextVDO]],MATCH(OP_CMAB!$L10&amp;" - Balance",Input_UsageAnytime[Ref],0),MATCH(OP_CMAB!$D$7,Inputs!$I$129:$M$129,0))),0)+
IFERROR((INDEX(OP_Rates_SME_1[[Ausnet]:[United Energy]],MATCH("Anytime - Single rate charge",OP_Rates_SME_1[Rate name],0),MATCH(OP_CMAB!M$9,OP_Rates_SME_1[[#Headers],[Ausnet]:[United Energy]],0))*
INDEX(Input_UsageAnytime[[F-CurrentVDO]:[F-NextVDO]],MATCH(OP_CMAB!$L10&amp;" - Annual",Input_UsageAnytime[Ref],0),MATCH(OP_CMAB!$D$7,Inputs!$I$129:$M$129,0))),0)),0),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INDEX(Input_UsageTOU[[F-CurrentVDO]:[F-NextVDO]],MATCH($L10&amp;" - Peak",Input_UsageTOU[Ref],0),MATCH($D$7,Inputs!$I$155:$M$155,0)))+
IFERROR((INDEX(OP_Rates_SME_1[[Ausnet]:[United Energy]],MATCH("TOU - Shoulder charge",OP_Rates_SME_1[Rate name],0),MATCH(OP_CMAB!M$9,OP_Rates_SME_1[[#Headers],[Ausnet]:[United Energy]],0))*
INDEX(Input_UsageTOU[[F-CurrentVDO]:[F-NextVDO]],MATCH($L10&amp;" - Shoulder",Input_UsageTOU[Ref],0),MATCH($D$7,Inputs!$I$155:$M$155,0))),0)+
(INDEX(OP_Rates_SME_1[[Ausnet]:[United Energy]],MATCH("TOU - Off peak charge",OP_Rates_SME_1[Rate name],0),MATCH(OP_CMAB!M$9,OP_Rates_SME_1[[#Headers],[Ausnet]:[United Energy]],0))*
INDEX(Input_UsageTOU[[F-CurrentVDO]:[F-NextVDO]],MATCH($L10&amp;" - Off-peak",Input_UsageTOU[Ref],0),MATCH($D$7,Inputs!$I$155:$M$155,0))),0)),"-")</f>
        <v>4246</v>
      </c>
      <c r="N10" s="95">
        <f>IFERROR(
IF($D$7="VDO 2021 - Final",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INDEX(Input_UsageAnytime[[F-CurrentVDO]:[F-NextVDO]],MATCH(OP_CMAB!$L10&amp;" - Block 1",Input_UsageAnytime[Ref],0),MATCH(OP_CMAB!$D$7,Inputs!$I$129:$M$129,0))),0)+
IFERROR((INDEX(OP_Rates_SME_1[[Ausnet]:[United Energy]],MATCH("Anytime - Balance charge",OP_Rates_SME_1[Rate name],0),MATCH(OP_CMAB!N$9,OP_Rates_SME_1[[#Headers],[Ausnet]:[United Energy]],0))*
INDEX(Input_UsageAnytime[[F-CurrentVDO]:[F-NextVDO]],MATCH(OP_CMAB!$L10&amp;" - Balance",Input_UsageAnytime[Ref],0),MATCH(OP_CMAB!$D$7,Inputs!$I$129:$M$129,0))),0)+
IFERROR((INDEX(OP_Rates_SME_1[[Ausnet]:[United Energy]],MATCH("Anytime - Single rate charge",OP_Rates_SME_1[Rate name],0),MATCH(OP_CMAB!N$9,OP_Rates_SME_1[[#Headers],[Ausnet]:[United Energy]],0))*
INDEX(Input_UsageAnytime[[F-CurrentVDO]:[F-NextVDO]],MATCH(OP_CMAB!$L10&amp;" - Annual",Input_UsageAnytime[Ref],0),MATCH(OP_CMAB!$D$7,Inputs!$I$129:$M$129,0))),0)),0),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INDEX(Input_UsageTOU[[F-CurrentVDO]:[F-NextVDO]],MATCH($L10&amp;" - Peak",Input_UsageTOU[Ref],0),MATCH($D$7,Inputs!$I$155:$M$155,0)))+
IFERROR((INDEX(OP_Rates_SME_1[[Ausnet]:[United Energy]],MATCH("TOU - Shoulder charge",OP_Rates_SME_1[Rate name],0),MATCH(OP_CMAB!N$9,OP_Rates_SME_1[[#Headers],[Ausnet]:[United Energy]],0))*
INDEX(Input_UsageTOU[[F-CurrentVDO]:[F-NextVDO]],MATCH($L10&amp;" - Shoulder",Input_UsageTOU[Ref],0),MATCH($D$7,Inputs!$I$155:$M$155,0))),0)+
(INDEX(OP_Rates_SME_1[[Ausnet]:[United Energy]],MATCH("TOU - Off peak charge",OP_Rates_SME_1[Rate name],0),MATCH(OP_CMAB!N$9,OP_Rates_SME_1[[#Headers],[Ausnet]:[United Energy]],0))*
INDEX(Input_UsageTOU[[F-CurrentVDO]:[F-NextVDO]],MATCH($L10&amp;" - Off-peak",Input_UsageTOU[Ref],0),MATCH($D$7,Inputs!$I$155:$M$155,0))),0)),"-")</f>
        <v>3157</v>
      </c>
      <c r="O10" s="95">
        <f>IFERROR(
IF($D$7="VDO 2021 - Final",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INDEX(Input_UsageAnytime[[F-CurrentVDO]:[F-NextVDO]],MATCH(OP_CMAB!$L10&amp;" - Block 1",Input_UsageAnytime[Ref],0),MATCH(OP_CMAB!$D$7,Inputs!$I$129:$M$129,0))),0)+
IFERROR((INDEX(OP_Rates_SME_1[[Ausnet]:[United Energy]],MATCH("Anytime - Balance charge",OP_Rates_SME_1[Rate name],0),MATCH(OP_CMAB!O$9,OP_Rates_SME_1[[#Headers],[Ausnet]:[United Energy]],0))*
INDEX(Input_UsageAnytime[[F-CurrentVDO]:[F-NextVDO]],MATCH(OP_CMAB!$L10&amp;" - Balance",Input_UsageAnytime[Ref],0),MATCH(OP_CMAB!$D$7,Inputs!$I$129:$M$129,0))),0)+
IFERROR((INDEX(OP_Rates_SME_1[[Ausnet]:[United Energy]],MATCH("Anytime - Single rate charge",OP_Rates_SME_1[Rate name],0),MATCH(OP_CMAB!O$9,OP_Rates_SME_1[[#Headers],[Ausnet]:[United Energy]],0))*
INDEX(Input_UsageAnytime[[F-CurrentVDO]:[F-NextVDO]],MATCH(OP_CMAB!$L10&amp;" - Annual",Input_UsageAnytime[Ref],0),MATCH(OP_CMAB!$D$7,Inputs!$I$129:$M$129,0))),0)),0),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INDEX(Input_UsageTOU[[F-CurrentVDO]:[F-NextVDO]],MATCH($L10&amp;" - Peak",Input_UsageTOU[Ref],0),MATCH($D$7,Inputs!$I$155:$M$155,0)))+
IFERROR((INDEX(OP_Rates_SME_1[[Ausnet]:[United Energy]],MATCH("TOU - Shoulder charge",OP_Rates_SME_1[Rate name],0),MATCH(OP_CMAB!O$9,OP_Rates_SME_1[[#Headers],[Ausnet]:[United Energy]],0))*
INDEX(Input_UsageTOU[[F-CurrentVDO]:[F-NextVDO]],MATCH($L10&amp;" - Shoulder",Input_UsageTOU[Ref],0),MATCH($D$7,Inputs!$I$155:$M$155,0))),0)+
(INDEX(OP_Rates_SME_1[[Ausnet]:[United Energy]],MATCH("TOU - Off peak charge",OP_Rates_SME_1[Rate name],0),MATCH(OP_CMAB!O$9,OP_Rates_SME_1[[#Headers],[Ausnet]:[United Energy]],0))*
INDEX(Input_UsageTOU[[F-CurrentVDO]:[F-NextVDO]],MATCH($L10&amp;" - Off-peak",Input_UsageTOU[Ref],0),MATCH($D$7,Inputs!$I$155:$M$155,0))),0)),"-")</f>
        <v>3334</v>
      </c>
      <c r="P10" s="95">
        <f>IFERROR(
IF($D$7="VDO 2021 - Final",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INDEX(Input_UsageAnytime[[F-CurrentVDO]:[F-NextVDO]],MATCH(OP_CMAB!$L10&amp;" - Block 1",Input_UsageAnytime[Ref],0),MATCH(OP_CMAB!$D$7,Inputs!$I$129:$M$129,0))),0)+
IFERROR((INDEX(OP_Rates_SME_1[[Ausnet]:[United Energy]],MATCH("Anytime - Balance charge",OP_Rates_SME_1[Rate name],0),MATCH(OP_CMAB!P$9,OP_Rates_SME_1[[#Headers],[Ausnet]:[United Energy]],0))*
INDEX(Input_UsageAnytime[[F-CurrentVDO]:[F-NextVDO]],MATCH(OP_CMAB!$L10&amp;" - Balance",Input_UsageAnytime[Ref],0),MATCH(OP_CMAB!$D$7,Inputs!$I$129:$M$129,0))),0)+
IFERROR((INDEX(OP_Rates_SME_1[[Ausnet]:[United Energy]],MATCH("Anytime - Single rate charge",OP_Rates_SME_1[Rate name],0),MATCH(OP_CMAB!P$9,OP_Rates_SME_1[[#Headers],[Ausnet]:[United Energy]],0))*
INDEX(Input_UsageAnytime[[F-CurrentVDO]:[F-NextVDO]],MATCH(OP_CMAB!$L10&amp;" - Annual",Input_UsageAnytime[Ref],0),MATCH(OP_CMAB!$D$7,Inputs!$I$129:$M$129,0))),0)),0),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INDEX(Input_UsageTOU[[F-CurrentVDO]:[F-NextVDO]],MATCH($L10&amp;" - Peak",Input_UsageTOU[Ref],0),MATCH($D$7,Inputs!$I$155:$M$155,0)))+
IFERROR((INDEX(OP_Rates_SME_1[[Ausnet]:[United Energy]],MATCH("TOU - Shoulder charge",OP_Rates_SME_1[Rate name],0),MATCH(OP_CMAB!P$9,OP_Rates_SME_1[[#Headers],[Ausnet]:[United Energy]],0))*
INDEX(Input_UsageTOU[[F-CurrentVDO]:[F-NextVDO]],MATCH($L10&amp;" - Shoulder",Input_UsageTOU[Ref],0),MATCH($D$7,Inputs!$I$155:$M$155,0))),0)+
(INDEX(OP_Rates_SME_1[[Ausnet]:[United Energy]],MATCH("TOU - Off peak charge",OP_Rates_SME_1[Rate name],0),MATCH(OP_CMAB!P$9,OP_Rates_SME_1[[#Headers],[Ausnet]:[United Energy]],0))*
INDEX(Input_UsageTOU[[F-CurrentVDO]:[F-NextVDO]],MATCH($L10&amp;" - Off-peak",Input_UsageTOU[Ref],0),MATCH($D$7,Inputs!$I$155:$M$155,0))),0)),"-")</f>
        <v>3265</v>
      </c>
      <c r="Q10" s="95">
        <f>IFERROR(
IF($D$7="VDO 2021 - Final",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INDEX(Input_UsageAnytime[[F-CurrentVDO]:[F-NextVDO]],MATCH(OP_CMAB!$L10&amp;" - Block 1",Input_UsageAnytime[Ref],0),MATCH(OP_CMAB!$D$7,Inputs!$I$129:$M$129,0))),0)+
IFERROR((INDEX(OP_Rates_SME_1[[Ausnet]:[United Energy]],MATCH("Anytime - Balance charge",OP_Rates_SME_1[Rate name],0),MATCH(OP_CMAB!Q$9,OP_Rates_SME_1[[#Headers],[Ausnet]:[United Energy]],0))*
INDEX(Input_UsageAnytime[[F-CurrentVDO]:[F-NextVDO]],MATCH(OP_CMAB!$L10&amp;" - Balance",Input_UsageAnytime[Ref],0),MATCH(OP_CMAB!$D$7,Inputs!$I$129:$M$129,0))),0)+
IFERROR((INDEX(OP_Rates_SME_1[[Ausnet]:[United Energy]],MATCH("Anytime - Single rate charge",OP_Rates_SME_1[Rate name],0),MATCH(OP_CMAB!Q$9,OP_Rates_SME_1[[#Headers],[Ausnet]:[United Energy]],0))*
INDEX(Input_UsageAnytime[[F-CurrentVDO]:[F-NextVDO]],MATCH(OP_CMAB!$L10&amp;" - Annual",Input_UsageAnytime[Ref],0),MATCH(OP_CMAB!$D$7,Inputs!$I$129:$M$129,0))),0)),0),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INDEX(Input_UsageTOU[[F-CurrentVDO]:[F-NextVDO]],MATCH($L10&amp;" - Peak",Input_UsageTOU[Ref],0),MATCH($D$7,Inputs!$I$155:$M$155,0)))+
IFERROR((INDEX(OP_Rates_SME_1[[Ausnet]:[United Energy]],MATCH("TOU - Shoulder charge",OP_Rates_SME_1[Rate name],0),MATCH(OP_CMAB!Q$9,OP_Rates_SME_1[[#Headers],[Ausnet]:[United Energy]],0))*
INDEX(Input_UsageTOU[[F-CurrentVDO]:[F-NextVDO]],MATCH($L10&amp;" - Shoulder",Input_UsageTOU[Ref],0),MATCH($D$7,Inputs!$I$155:$M$155,0))),0)+
(INDEX(OP_Rates_SME_1[[Ausnet]:[United Energy]],MATCH("TOU - Off peak charge",OP_Rates_SME_1[Rate name],0),MATCH(OP_CMAB!Q$9,OP_Rates_SME_1[[#Headers],[Ausnet]:[United Energy]],0))*
INDEX(Input_UsageTOU[[F-CurrentVDO]:[F-NextVDO]],MATCH($L10&amp;" - Off-peak",Input_UsageTOU[Ref],0),MATCH($D$7,Inputs!$I$155:$M$155,0))),0)),"-")</f>
        <v>3315</v>
      </c>
    </row>
    <row r="11" spans="1:18" x14ac:dyDescent="0.35">
      <c r="C11" s="21" t="s">
        <v>88</v>
      </c>
      <c r="D11" s="21" t="s">
        <v>222</v>
      </c>
      <c r="E11" s="95">
        <f>IFERROR(
IF($D$7="VDO 2021 - Final",
ROUNDUP(
(INDEX(OP_Rates_RES_1[[Ausnet]:[United Energy]],MATCH("Anytime - supply charge",OP_Rates_RES_1[[Rate name]:[Rate name]],0),MATCH(OP_CMAB!E$9,OP_Rates_RES_1[[#Headers],[Ausnet]:[United Energy]],0))*DiY)+
(IFERROR((INDEX(OP_Rates_RES_1[[Ausnet]:[United Energy]],MATCH("Anytime - Block 1 charge",OP_Rates_RES_1[[Rate name]:[Rate name]],0),MATCH(OP_CMAB!E$9,OP_Rates_RES_1[[#Headers],[Ausnet]:[United Energy]],0))*
INDEX(Input_UsageAnytime[[F-CurrentVDO]:[F-NextVDO]],MATCH(OP_CMAB!$D11&amp;" - Block 1",Input_UsageAnytime[[Ref]:[Ref]],0),MATCH(OP_CMAB!$D$7,Inputs!$I$129:$M$129,0))),0)+
IFERROR((INDEX(OP_Rates_RES_1[[Ausnet]:[United Energy]],MATCH("Anytime - Balance charge",OP_Rates_RES_1[[Rate name]:[Rate name]],0),MATCH(OP_CMAB!E$9,OP_Rates_RES_1[[#Headers],[Ausnet]:[United Energy]],0))*
INDEX(Input_UsageAnytime[[F-CurrentVDO]:[F-NextVDO]],MATCH(OP_CMAB!$D11&amp;" - Balance",Input_UsageAnytime[[Ref]:[Ref]],0),MATCH(OP_CMAB!$D$7,Inputs!$I$129:$M$129,0))),0)+
IFERROR((INDEX(OP_Rates_RES_1[[Ausnet]:[United Energy]],MATCH("Anytime - Single rate charge",OP_Rates_RES_1[[Rate name]:[Rate name]],0),MATCH(OP_CMAB!E$9,OP_Rates_RES_1[[#Headers],[Ausnet]:[United Energy]],0))*
INDEX(Input_UsageAnytime[[F-CurrentVDO]:[F-NextVDO]],MATCH(OP_CMAB!$D11&amp;" - Annual",Input_UsageAnytime[[Ref]:[Ref]],0),MATCH(OP_CMAB!$D$7,Inputs!$I$129:$M$129,0))),0)),0),
ROUNDUP(
(INDEX(OP_Rates_RES_1[[Ausnet]:[United Energy]],MATCH("TOU - supply charge",OP_Rates_RES_1[[Rate name]:[Rate name]],0),MATCH(OP_CMAB!E$9,OP_Rates_RES_1[[#Headers],[Ausnet]:[United Energy]],0))*DiY)+
(INDEX(OP_Rates_RES_1[[Ausnet]:[United Energy]],MATCH("TOU - Peak charge",OP_Rates_RES_1[[Rate name]:[Rate name]],0),MATCH(OP_CMAB!E$9,OP_Rates_RES_1[[#Headers],[Ausnet]:[United Energy]],0))*
INDEX(Input_UsageTOU[[F-CurrentVDO]:[F-NextVDO]],MATCH($D11&amp;" - Peak",Input_UsageTOU[[Ref]:[Ref]],0),MATCH($D$7,Inputs!$I$155:$M$155,0)))+
IFERROR((INDEX(OP_Rates_RES_1[[Ausnet]:[United Energy]],MATCH("TOU - Shoulder charge",OP_Rates_RES_1[[Rate name]:[Rate name]],0),MATCH(OP_CMAB!E$9,OP_Rates_RES_1[[#Headers],[Ausnet]:[United Energy]],0))*
INDEX(Input_UsageTOU[[F-CurrentVDO]:[F-NextVDO]],MATCH($D11&amp;" - Shoulder",Input_UsageTOU[[Ref]:[Ref]],0),MATCH($D$7,Inputs!$I$155:$M$155,0))),0)+
(INDEX(OP_Rates_RES_1[[Ausnet]:[United Energy]],MATCH("TOU - Off peak charge",OP_Rates_RES_1[[Rate name]:[Rate name]],0),MATCH(OP_CMAB!E$9,OP_Rates_RES_1[[#Headers],[Ausnet]:[United Energy]],0))*
INDEX(Input_UsageTOU[[F-CurrentVDO]:[F-NextVDO]],MATCH($D11&amp;" - Off-peak",Input_UsageTOU[[Ref]:[Ref]],0),MATCH($D$7,Inputs!$I$155:$M$155,0))),0)),"-")</f>
        <v>1507</v>
      </c>
      <c r="F11" s="95">
        <f>IFERROR(
IF($D$7="VDO 2021 - Final",
ROUNDUP(
(INDEX(OP_Rates_RES_1[[Ausnet]:[United Energy]],MATCH("Anytime - supply charge",OP_Rates_RES_1[[Rate name]:[Rate name]],0),MATCH(OP_CMAB!F$9,OP_Rates_RES_1[[#Headers],[Ausnet]:[United Energy]],0))*DiY)+
(IFERROR((INDEX(OP_Rates_RES_1[[Ausnet]:[United Energy]],MATCH("Anytime - Block 1 charge",OP_Rates_RES_1[[Rate name]:[Rate name]],0),MATCH(OP_CMAB!F$9,OP_Rates_RES_1[[#Headers],[Ausnet]:[United Energy]],0))*
INDEX(Input_UsageAnytime[[F-CurrentVDO]:[F-NextVDO]],MATCH(OP_CMAB!$D11&amp;" - Block 1",Input_UsageAnytime[[Ref]:[Ref]],0),MATCH(OP_CMAB!$D$7,Inputs!$I$129:$M$129,0))),0)+
IFERROR((INDEX(OP_Rates_RES_1[[Ausnet]:[United Energy]],MATCH("Anytime - Balance charge",OP_Rates_RES_1[[Rate name]:[Rate name]],0),MATCH(OP_CMAB!F$9,OP_Rates_RES_1[[#Headers],[Ausnet]:[United Energy]],0))*
INDEX(Input_UsageAnytime[[F-CurrentVDO]:[F-NextVDO]],MATCH(OP_CMAB!$D11&amp;" - Balance",Input_UsageAnytime[[Ref]:[Ref]],0),MATCH(OP_CMAB!$D$7,Inputs!$I$129:$M$129,0))),0)+
IFERROR((INDEX(OP_Rates_RES_1[[Ausnet]:[United Energy]],MATCH("Anytime - Single rate charge",OP_Rates_RES_1[[Rate name]:[Rate name]],0),MATCH(OP_CMAB!F$9,OP_Rates_RES_1[[#Headers],[Ausnet]:[United Energy]],0))*
INDEX(Input_UsageAnytime[[F-CurrentVDO]:[F-NextVDO]],MATCH(OP_CMAB!$D11&amp;" - Annual",Input_UsageAnytime[[Ref]:[Ref]],0),MATCH(OP_CMAB!$D$7,Inputs!$I$129:$M$129,0))),0)),0),
ROUNDUP(
(INDEX(OP_Rates_RES_1[[Ausnet]:[United Energy]],MATCH("TOU - supply charge",OP_Rates_RES_1[[Rate name]:[Rate name]],0),MATCH(OP_CMAB!F$9,OP_Rates_RES_1[[#Headers],[Ausnet]:[United Energy]],0))*DiY)+
(INDEX(OP_Rates_RES_1[[Ausnet]:[United Energy]],MATCH("TOU - Peak charge",OP_Rates_RES_1[[Rate name]:[Rate name]],0),MATCH(OP_CMAB!F$9,OP_Rates_RES_1[[#Headers],[Ausnet]:[United Energy]],0))*
INDEX(Input_UsageTOU[[F-CurrentVDO]:[F-NextVDO]],MATCH($D11&amp;" - Peak",Input_UsageTOU[[Ref]:[Ref]],0),MATCH($D$7,Inputs!$I$155:$M$155,0)))+
IFERROR((INDEX(OP_Rates_RES_1[[Ausnet]:[United Energy]],MATCH("TOU - Shoulder charge",OP_Rates_RES_1[[Rate name]:[Rate name]],0),MATCH(OP_CMAB!F$9,OP_Rates_RES_1[[#Headers],[Ausnet]:[United Energy]],0))*
INDEX(Input_UsageTOU[[F-CurrentVDO]:[F-NextVDO]],MATCH($D11&amp;" - Shoulder",Input_UsageTOU[[Ref]:[Ref]],0),MATCH($D$7,Inputs!$I$155:$M$155,0))),0)+
(INDEX(OP_Rates_RES_1[[Ausnet]:[United Energy]],MATCH("TOU - Off peak charge",OP_Rates_RES_1[[Rate name]:[Rate name]],0),MATCH(OP_CMAB!F$9,OP_Rates_RES_1[[#Headers],[Ausnet]:[United Energy]],0))*
INDEX(Input_UsageTOU[[F-CurrentVDO]:[F-NextVDO]],MATCH($D11&amp;" - Off-peak",Input_UsageTOU[[Ref]:[Ref]],0),MATCH($D$7,Inputs!$I$155:$M$155,0))),0)),"-")</f>
        <v>1270</v>
      </c>
      <c r="G11" s="95">
        <f>IFERROR(
IF($D$7="VDO 2021 - Final",
ROUNDUP(
(INDEX(OP_Rates_RES_1[[Ausnet]:[United Energy]],MATCH("Anytime - supply charge",OP_Rates_RES_1[[Rate name]:[Rate name]],0),MATCH(OP_CMAB!G$9,OP_Rates_RES_1[[#Headers],[Ausnet]:[United Energy]],0))*DiY)+
(IFERROR((INDEX(OP_Rates_RES_1[[Ausnet]:[United Energy]],MATCH("Anytime - Block 1 charge",OP_Rates_RES_1[[Rate name]:[Rate name]],0),MATCH(OP_CMAB!G$9,OP_Rates_RES_1[[#Headers],[Ausnet]:[United Energy]],0))*
INDEX(Input_UsageAnytime[[F-CurrentVDO]:[F-NextVDO]],MATCH(OP_CMAB!$D11&amp;" - Block 1",Input_UsageAnytime[[Ref]:[Ref]],0),MATCH(OP_CMAB!$D$7,Inputs!$I$129:$M$129,0))),0)+
IFERROR((INDEX(OP_Rates_RES_1[[Ausnet]:[United Energy]],MATCH("Anytime - Balance charge",OP_Rates_RES_1[[Rate name]:[Rate name]],0),MATCH(OP_CMAB!G$9,OP_Rates_RES_1[[#Headers],[Ausnet]:[United Energy]],0))*
INDEX(Input_UsageAnytime[[F-CurrentVDO]:[F-NextVDO]],MATCH(OP_CMAB!$D11&amp;" - Balance",Input_UsageAnytime[[Ref]:[Ref]],0),MATCH(OP_CMAB!$D$7,Inputs!$I$129:$M$129,0))),0)+
IFERROR((INDEX(OP_Rates_RES_1[[Ausnet]:[United Energy]],MATCH("Anytime - Single rate charge",OP_Rates_RES_1[[Rate name]:[Rate name]],0),MATCH(OP_CMAB!G$9,OP_Rates_RES_1[[#Headers],[Ausnet]:[United Energy]],0))*
INDEX(Input_UsageAnytime[[F-CurrentVDO]:[F-NextVDO]],MATCH(OP_CMAB!$D11&amp;" - Annual",Input_UsageAnytime[[Ref]:[Ref]],0),MATCH(OP_CMAB!$D$7,Inputs!$I$129:$M$129,0))),0)),0),
ROUNDUP(
(INDEX(OP_Rates_RES_1[[Ausnet]:[United Energy]],MATCH("TOU - supply charge",OP_Rates_RES_1[[Rate name]:[Rate name]],0),MATCH(OP_CMAB!G$9,OP_Rates_RES_1[[#Headers],[Ausnet]:[United Energy]],0))*DiY)+
(INDEX(OP_Rates_RES_1[[Ausnet]:[United Energy]],MATCH("TOU - Peak charge",OP_Rates_RES_1[[Rate name]:[Rate name]],0),MATCH(OP_CMAB!G$9,OP_Rates_RES_1[[#Headers],[Ausnet]:[United Energy]],0))*
INDEX(Input_UsageTOU[[F-CurrentVDO]:[F-NextVDO]],MATCH($D11&amp;" - Peak",Input_UsageTOU[[Ref]:[Ref]],0),MATCH($D$7,Inputs!$I$155:$M$155,0)))+
IFERROR((INDEX(OP_Rates_RES_1[[Ausnet]:[United Energy]],MATCH("TOU - Shoulder charge",OP_Rates_RES_1[[Rate name]:[Rate name]],0),MATCH(OP_CMAB!G$9,OP_Rates_RES_1[[#Headers],[Ausnet]:[United Energy]],0))*
INDEX(Input_UsageTOU[[F-CurrentVDO]:[F-NextVDO]],MATCH($D11&amp;" - Shoulder",Input_UsageTOU[[Ref]:[Ref]],0),MATCH($D$7,Inputs!$I$155:$M$155,0))),0)+
(INDEX(OP_Rates_RES_1[[Ausnet]:[United Energy]],MATCH("TOU - Off peak charge",OP_Rates_RES_1[[Rate name]:[Rate name]],0),MATCH(OP_CMAB!G$9,OP_Rates_RES_1[[#Headers],[Ausnet]:[United Energy]],0))*
INDEX(Input_UsageTOU[[F-CurrentVDO]:[F-NextVDO]],MATCH($D11&amp;" - Off-peak",Input_UsageTOU[[Ref]:[Ref]],0),MATCH($D$7,Inputs!$I$155:$M$155,0))),0)),"-")</f>
        <v>1328</v>
      </c>
      <c r="H11" s="95">
        <f>IFERROR(
IF($D$7="VDO 2021 - Final",
ROUNDUP(
(INDEX(OP_Rates_RES_1[[Ausnet]:[United Energy]],MATCH("Anytime - supply charge",OP_Rates_RES_1[[Rate name]:[Rate name]],0),MATCH(OP_CMAB!H$9,OP_Rates_RES_1[[#Headers],[Ausnet]:[United Energy]],0))*DiY)+
(IFERROR((INDEX(OP_Rates_RES_1[[Ausnet]:[United Energy]],MATCH("Anytime - Block 1 charge",OP_Rates_RES_1[[Rate name]:[Rate name]],0),MATCH(OP_CMAB!H$9,OP_Rates_RES_1[[#Headers],[Ausnet]:[United Energy]],0))*
INDEX(Input_UsageAnytime[[F-CurrentVDO]:[F-NextVDO]],MATCH(OP_CMAB!$D11&amp;" - Block 1",Input_UsageAnytime[[Ref]:[Ref]],0),MATCH(OP_CMAB!$D$7,Inputs!$I$129:$M$129,0))),0)+
IFERROR((INDEX(OP_Rates_RES_1[[Ausnet]:[United Energy]],MATCH("Anytime - Balance charge",OP_Rates_RES_1[[Rate name]:[Rate name]],0),MATCH(OP_CMAB!H$9,OP_Rates_RES_1[[#Headers],[Ausnet]:[United Energy]],0))*
INDEX(Input_UsageAnytime[[F-CurrentVDO]:[F-NextVDO]],MATCH(OP_CMAB!$D11&amp;" - Balance",Input_UsageAnytime[[Ref]:[Ref]],0),MATCH(OP_CMAB!$D$7,Inputs!$I$129:$M$129,0))),0)+
IFERROR((INDEX(OP_Rates_RES_1[[Ausnet]:[United Energy]],MATCH("Anytime - Single rate charge",OP_Rates_RES_1[[Rate name]:[Rate name]],0),MATCH(OP_CMAB!H$9,OP_Rates_RES_1[[#Headers],[Ausnet]:[United Energy]],0))*
INDEX(Input_UsageAnytime[[F-CurrentVDO]:[F-NextVDO]],MATCH(OP_CMAB!$D11&amp;" - Annual",Input_UsageAnytime[[Ref]:[Ref]],0),MATCH(OP_CMAB!$D$7,Inputs!$I$129:$M$129,0))),0)),0),
ROUNDUP(
(INDEX(OP_Rates_RES_1[[Ausnet]:[United Energy]],MATCH("TOU - supply charge",OP_Rates_RES_1[[Rate name]:[Rate name]],0),MATCH(OP_CMAB!H$9,OP_Rates_RES_1[[#Headers],[Ausnet]:[United Energy]],0))*DiY)+
(INDEX(OP_Rates_RES_1[[Ausnet]:[United Energy]],MATCH("TOU - Peak charge",OP_Rates_RES_1[[Rate name]:[Rate name]],0),MATCH(OP_CMAB!H$9,OP_Rates_RES_1[[#Headers],[Ausnet]:[United Energy]],0))*
INDEX(Input_UsageTOU[[F-CurrentVDO]:[F-NextVDO]],MATCH($D11&amp;" - Peak",Input_UsageTOU[[Ref]:[Ref]],0),MATCH($D$7,Inputs!$I$155:$M$155,0)))+
IFERROR((INDEX(OP_Rates_RES_1[[Ausnet]:[United Energy]],MATCH("TOU - Shoulder charge",OP_Rates_RES_1[[Rate name]:[Rate name]],0),MATCH(OP_CMAB!H$9,OP_Rates_RES_1[[#Headers],[Ausnet]:[United Energy]],0))*
INDEX(Input_UsageTOU[[F-CurrentVDO]:[F-NextVDO]],MATCH($D11&amp;" - Shoulder",Input_UsageTOU[[Ref]:[Ref]],0),MATCH($D$7,Inputs!$I$155:$M$155,0))),0)+
(INDEX(OP_Rates_RES_1[[Ausnet]:[United Energy]],MATCH("TOU - Off peak charge",OP_Rates_RES_1[[Rate name]:[Rate name]],0),MATCH(OP_CMAB!H$9,OP_Rates_RES_1[[#Headers],[Ausnet]:[United Energy]],0))*
INDEX(Input_UsageTOU[[F-CurrentVDO]:[F-NextVDO]],MATCH($D11&amp;" - Off-peak",Input_UsageTOU[[Ref]:[Ref]],0),MATCH($D$7,Inputs!$I$155:$M$155,0))),0)),"-")</f>
        <v>1368</v>
      </c>
      <c r="I11" s="95">
        <f>IFERROR(
IF($D$7="VDO 2021 - Final",
ROUNDUP(
(INDEX(OP_Rates_RES_1[[Ausnet]:[United Energy]],MATCH("Anytime - supply charge",OP_Rates_RES_1[[Rate name]:[Rate name]],0),MATCH(OP_CMAB!I$9,OP_Rates_RES_1[[#Headers],[Ausnet]:[United Energy]],0))*DiY)+
(IFERROR((INDEX(OP_Rates_RES_1[[Ausnet]:[United Energy]],MATCH("Anytime - Block 1 charge",OP_Rates_RES_1[[Rate name]:[Rate name]],0),MATCH(OP_CMAB!I$9,OP_Rates_RES_1[[#Headers],[Ausnet]:[United Energy]],0))*
INDEX(Input_UsageAnytime[[F-CurrentVDO]:[F-NextVDO]],MATCH(OP_CMAB!$D11&amp;" - Block 1",Input_UsageAnytime[[Ref]:[Ref]],0),MATCH(OP_CMAB!$D$7,Inputs!$I$129:$M$129,0))),0)+
IFERROR((INDEX(OP_Rates_RES_1[[Ausnet]:[United Energy]],MATCH("Anytime - Balance charge",OP_Rates_RES_1[[Rate name]:[Rate name]],0),MATCH(OP_CMAB!I$9,OP_Rates_RES_1[[#Headers],[Ausnet]:[United Energy]],0))*
INDEX(Input_UsageAnytime[[F-CurrentVDO]:[F-NextVDO]],MATCH(OP_CMAB!$D11&amp;" - Balance",Input_UsageAnytime[[Ref]:[Ref]],0),MATCH(OP_CMAB!$D$7,Inputs!$I$129:$M$129,0))),0)+
IFERROR((INDEX(OP_Rates_RES_1[[Ausnet]:[United Energy]],MATCH("Anytime - Single rate charge",OP_Rates_RES_1[[Rate name]:[Rate name]],0),MATCH(OP_CMAB!I$9,OP_Rates_RES_1[[#Headers],[Ausnet]:[United Energy]],0))*
INDEX(Input_UsageAnytime[[F-CurrentVDO]:[F-NextVDO]],MATCH(OP_CMAB!$D11&amp;" - Annual",Input_UsageAnytime[[Ref]:[Ref]],0),MATCH(OP_CMAB!$D$7,Inputs!$I$129:$M$129,0))),0)),0),
ROUNDUP(
(INDEX(OP_Rates_RES_1[[Ausnet]:[United Energy]],MATCH("TOU - supply charge",OP_Rates_RES_1[[Rate name]:[Rate name]],0),MATCH(OP_CMAB!I$9,OP_Rates_RES_1[[#Headers],[Ausnet]:[United Energy]],0))*DiY)+
(INDEX(OP_Rates_RES_1[[Ausnet]:[United Energy]],MATCH("TOU - Peak charge",OP_Rates_RES_1[[Rate name]:[Rate name]],0),MATCH(OP_CMAB!I$9,OP_Rates_RES_1[[#Headers],[Ausnet]:[United Energy]],0))*
INDEX(Input_UsageTOU[[F-CurrentVDO]:[F-NextVDO]],MATCH($D11&amp;" - Peak",Input_UsageTOU[[Ref]:[Ref]],0),MATCH($D$7,Inputs!$I$155:$M$155,0)))+
IFERROR((INDEX(OP_Rates_RES_1[[Ausnet]:[United Energy]],MATCH("TOU - Shoulder charge",OP_Rates_RES_1[[Rate name]:[Rate name]],0),MATCH(OP_CMAB!I$9,OP_Rates_RES_1[[#Headers],[Ausnet]:[United Energy]],0))*
INDEX(Input_UsageTOU[[F-CurrentVDO]:[F-NextVDO]],MATCH($D11&amp;" - Shoulder",Input_UsageTOU[[Ref]:[Ref]],0),MATCH($D$7,Inputs!$I$155:$M$155,0))),0)+
(INDEX(OP_Rates_RES_1[[Ausnet]:[United Energy]],MATCH("TOU - Off peak charge",OP_Rates_RES_1[[Rate name]:[Rate name]],0),MATCH(OP_CMAB!I$9,OP_Rates_RES_1[[#Headers],[Ausnet]:[United Energy]],0))*
INDEX(Input_UsageTOU[[F-CurrentVDO]:[F-NextVDO]],MATCH($D11&amp;" - Off-peak",Input_UsageTOU[[Ref]:[Ref]],0),MATCH($D$7,Inputs!$I$155:$M$155,0))),0)),"-")</f>
        <v>1319</v>
      </c>
      <c r="K11" s="21" t="s">
        <v>89</v>
      </c>
      <c r="L11" s="21" t="s">
        <v>225</v>
      </c>
      <c r="M11" s="95">
        <f>IFERROR(
IF($D$7="VDO 2021 - Final",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INDEX(Input_UsageAnytime[[F-CurrentVDO]:[F-NextVDO]],MATCH(OP_CMAB!$L11&amp;" - Block 1",Input_UsageAnytime[Ref],0),MATCH(OP_CMAB!$D$7,Inputs!$I$129:$M$129,0))),0)+
IFERROR((INDEX(OP_Rates_SME_1[[Ausnet]:[United Energy]],MATCH("Anytime - Balance charge",OP_Rates_SME_1[Rate name],0),MATCH(OP_CMAB!M$9,OP_Rates_SME_1[[#Headers],[Ausnet]:[United Energy]],0))*
INDEX(Input_UsageAnytime[[F-CurrentVDO]:[F-NextVDO]],MATCH(OP_CMAB!$L11&amp;" - Balance",Input_UsageAnytime[Ref],0),MATCH(OP_CMAB!$D$7,Inputs!$I$129:$M$129,0))),0)+
IFERROR((INDEX(OP_Rates_SME_1[[Ausnet]:[United Energy]],MATCH("Anytime - Single rate charge",OP_Rates_SME_1[Rate name],0),MATCH(OP_CMAB!M$9,OP_Rates_SME_1[[#Headers],[Ausnet]:[United Energy]],0))*
INDEX(Input_UsageAnytime[[F-CurrentVDO]:[F-NextVDO]],MATCH(OP_CMAB!$L11&amp;" - Annual",Input_UsageAnytime[Ref],0),MATCH(OP_CMAB!$D$7,Inputs!$I$129:$M$129,0))),0)),0),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INDEX(Input_UsageTOU[[F-CurrentVDO]:[F-NextVDO]],MATCH($L11&amp;" - Peak",Input_UsageTOU[Ref],0),MATCH($D$7,Inputs!$I$155:$M$155,0)))+
IFERROR((INDEX(OP_Rates_SME_1[[Ausnet]:[United Energy]],MATCH("TOU - Shoulder charge",OP_Rates_SME_1[Rate name],0),MATCH(OP_CMAB!M$9,OP_Rates_SME_1[[#Headers],[Ausnet]:[United Energy]],0))*
INDEX(Input_UsageTOU[[F-CurrentVDO]:[F-NextVDO]],MATCH($L11&amp;" - Shoulder",Input_UsageTOU[Ref],0),MATCH($D$7,Inputs!$I$155:$M$155,0))),0)+
(INDEX(OP_Rates_SME_1[[Ausnet]:[United Energy]],MATCH("TOU - Off peak charge",OP_Rates_SME_1[Rate name],0),MATCH(OP_CMAB!M$9,OP_Rates_SME_1[[#Headers],[Ausnet]:[United Energy]],0))*
INDEX(Input_UsageTOU[[F-CurrentVDO]:[F-NextVDO]],MATCH($L11&amp;" - Off-peak",Input_UsageTOU[Ref],0),MATCH($D$7,Inputs!$I$155:$M$155,0))),0)),"-")</f>
        <v>6887</v>
      </c>
      <c r="N11" s="95">
        <f>IFERROR(
IF($D$7="VDO 2021 - Final",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INDEX(Input_UsageAnytime[[F-CurrentVDO]:[F-NextVDO]],MATCH(OP_CMAB!$L11&amp;" - Block 1",Input_UsageAnytime[Ref],0),MATCH(OP_CMAB!$D$7,Inputs!$I$129:$M$129,0))),0)+
IFERROR((INDEX(OP_Rates_SME_1[[Ausnet]:[United Energy]],MATCH("Anytime - Balance charge",OP_Rates_SME_1[Rate name],0),MATCH(OP_CMAB!N$9,OP_Rates_SME_1[[#Headers],[Ausnet]:[United Energy]],0))*
INDEX(Input_UsageAnytime[[F-CurrentVDO]:[F-NextVDO]],MATCH(OP_CMAB!$L11&amp;" - Balance",Input_UsageAnytime[Ref],0),MATCH(OP_CMAB!$D$7,Inputs!$I$129:$M$129,0))),0)+
IFERROR((INDEX(OP_Rates_SME_1[[Ausnet]:[United Energy]],MATCH("Anytime - Single rate charge",OP_Rates_SME_1[Rate name],0),MATCH(OP_CMAB!N$9,OP_Rates_SME_1[[#Headers],[Ausnet]:[United Energy]],0))*
INDEX(Input_UsageAnytime[[F-CurrentVDO]:[F-NextVDO]],MATCH(OP_CMAB!$L11&amp;" - Annual",Input_UsageAnytime[Ref],0),MATCH(OP_CMAB!$D$7,Inputs!$I$129:$M$129,0))),0)),0),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INDEX(Input_UsageTOU[[F-CurrentVDO]:[F-NextVDO]],MATCH($L11&amp;" - Peak",Input_UsageTOU[Ref],0),MATCH($D$7,Inputs!$I$155:$M$155,0)))+
IFERROR((INDEX(OP_Rates_SME_1[[Ausnet]:[United Energy]],MATCH("TOU - Shoulder charge",OP_Rates_SME_1[Rate name],0),MATCH(OP_CMAB!N$9,OP_Rates_SME_1[[#Headers],[Ausnet]:[United Energy]],0))*
INDEX(Input_UsageTOU[[F-CurrentVDO]:[F-NextVDO]],MATCH($L11&amp;" - Shoulder",Input_UsageTOU[Ref],0),MATCH($D$7,Inputs!$I$155:$M$155,0))),0)+
(INDEX(OP_Rates_SME_1[[Ausnet]:[United Energy]],MATCH("TOU - Off peak charge",OP_Rates_SME_1[Rate name],0),MATCH(OP_CMAB!N$9,OP_Rates_SME_1[[#Headers],[Ausnet]:[United Energy]],0))*
INDEX(Input_UsageTOU[[F-CurrentVDO]:[F-NextVDO]],MATCH($L11&amp;" - Off-peak",Input_UsageTOU[Ref],0),MATCH($D$7,Inputs!$I$155:$M$155,0))),0)),"-")</f>
        <v>4931</v>
      </c>
      <c r="O11" s="95">
        <f>IFERROR(
IF($D$7="VDO 2021 - Final",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INDEX(Input_UsageAnytime[[F-CurrentVDO]:[F-NextVDO]],MATCH(OP_CMAB!$L11&amp;" - Block 1",Input_UsageAnytime[Ref],0),MATCH(OP_CMAB!$D$7,Inputs!$I$129:$M$129,0))),0)+
IFERROR((INDEX(OP_Rates_SME_1[[Ausnet]:[United Energy]],MATCH("Anytime - Balance charge",OP_Rates_SME_1[Rate name],0),MATCH(OP_CMAB!O$9,OP_Rates_SME_1[[#Headers],[Ausnet]:[United Energy]],0))*
INDEX(Input_UsageAnytime[[F-CurrentVDO]:[F-NextVDO]],MATCH(OP_CMAB!$L11&amp;" - Balance",Input_UsageAnytime[Ref],0),MATCH(OP_CMAB!$D$7,Inputs!$I$129:$M$129,0))),0)+
IFERROR((INDEX(OP_Rates_SME_1[[Ausnet]:[United Energy]],MATCH("Anytime - Single rate charge",OP_Rates_SME_1[Rate name],0),MATCH(OP_CMAB!O$9,OP_Rates_SME_1[[#Headers],[Ausnet]:[United Energy]],0))*
INDEX(Input_UsageAnytime[[F-CurrentVDO]:[F-NextVDO]],MATCH(OP_CMAB!$L11&amp;" - Annual",Input_UsageAnytime[Ref],0),MATCH(OP_CMAB!$D$7,Inputs!$I$129:$M$129,0))),0)),0),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INDEX(Input_UsageTOU[[F-CurrentVDO]:[F-NextVDO]],MATCH($L11&amp;" - Peak",Input_UsageTOU[Ref],0),MATCH($D$7,Inputs!$I$155:$M$155,0)))+
IFERROR((INDEX(OP_Rates_SME_1[[Ausnet]:[United Energy]],MATCH("TOU - Shoulder charge",OP_Rates_SME_1[Rate name],0),MATCH(OP_CMAB!O$9,OP_Rates_SME_1[[#Headers],[Ausnet]:[United Energy]],0))*
INDEX(Input_UsageTOU[[F-CurrentVDO]:[F-NextVDO]],MATCH($L11&amp;" - Shoulder",Input_UsageTOU[Ref],0),MATCH($D$7,Inputs!$I$155:$M$155,0))),0)+
(INDEX(OP_Rates_SME_1[[Ausnet]:[United Energy]],MATCH("TOU - Off peak charge",OP_Rates_SME_1[Rate name],0),MATCH(OP_CMAB!O$9,OP_Rates_SME_1[[#Headers],[Ausnet]:[United Energy]],0))*
INDEX(Input_UsageTOU[[F-CurrentVDO]:[F-NextVDO]],MATCH($L11&amp;" - Off-peak",Input_UsageTOU[Ref],0),MATCH($D$7,Inputs!$I$155:$M$155,0))),0)),"-")</f>
        <v>5258</v>
      </c>
      <c r="P11" s="95">
        <f>IFERROR(
IF($D$7="VDO 2021 - Final",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INDEX(Input_UsageAnytime[[F-CurrentVDO]:[F-NextVDO]],MATCH(OP_CMAB!$L11&amp;" - Block 1",Input_UsageAnytime[Ref],0),MATCH(OP_CMAB!$D$7,Inputs!$I$129:$M$129,0))),0)+
IFERROR((INDEX(OP_Rates_SME_1[[Ausnet]:[United Energy]],MATCH("Anytime - Balance charge",OP_Rates_SME_1[Rate name],0),MATCH(OP_CMAB!P$9,OP_Rates_SME_1[[#Headers],[Ausnet]:[United Energy]],0))*
INDEX(Input_UsageAnytime[[F-CurrentVDO]:[F-NextVDO]],MATCH(OP_CMAB!$L11&amp;" - Balance",Input_UsageAnytime[Ref],0),MATCH(OP_CMAB!$D$7,Inputs!$I$129:$M$129,0))),0)+
IFERROR((INDEX(OP_Rates_SME_1[[Ausnet]:[United Energy]],MATCH("Anytime - Single rate charge",OP_Rates_SME_1[Rate name],0),MATCH(OP_CMAB!P$9,OP_Rates_SME_1[[#Headers],[Ausnet]:[United Energy]],0))*
INDEX(Input_UsageAnytime[[F-CurrentVDO]:[F-NextVDO]],MATCH(OP_CMAB!$L11&amp;" - Annual",Input_UsageAnytime[Ref],0),MATCH(OP_CMAB!$D$7,Inputs!$I$129:$M$129,0))),0)),0),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INDEX(Input_UsageTOU[[F-CurrentVDO]:[F-NextVDO]],MATCH($L11&amp;" - Peak",Input_UsageTOU[Ref],0),MATCH($D$7,Inputs!$I$155:$M$155,0)))+
IFERROR((INDEX(OP_Rates_SME_1[[Ausnet]:[United Energy]],MATCH("TOU - Shoulder charge",OP_Rates_SME_1[Rate name],0),MATCH(OP_CMAB!P$9,OP_Rates_SME_1[[#Headers],[Ausnet]:[United Energy]],0))*
INDEX(Input_UsageTOU[[F-CurrentVDO]:[F-NextVDO]],MATCH($L11&amp;" - Shoulder",Input_UsageTOU[Ref],0),MATCH($D$7,Inputs!$I$155:$M$155,0))),0)+
(INDEX(OP_Rates_SME_1[[Ausnet]:[United Energy]],MATCH("TOU - Off peak charge",OP_Rates_SME_1[Rate name],0),MATCH(OP_CMAB!P$9,OP_Rates_SME_1[[#Headers],[Ausnet]:[United Energy]],0))*
INDEX(Input_UsageTOU[[F-CurrentVDO]:[F-NextVDO]],MATCH($L11&amp;" - Off-peak",Input_UsageTOU[Ref],0),MATCH($D$7,Inputs!$I$155:$M$155,0))),0)),"-")</f>
        <v>5095</v>
      </c>
      <c r="Q11" s="95">
        <f>IFERROR(
IF($D$7="VDO 2021 - Final",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INDEX(Input_UsageAnytime[[F-CurrentVDO]:[F-NextVDO]],MATCH(OP_CMAB!$L11&amp;" - Block 1",Input_UsageAnytime[Ref],0),MATCH(OP_CMAB!$D$7,Inputs!$I$129:$M$129,0))),0)+
IFERROR((INDEX(OP_Rates_SME_1[[Ausnet]:[United Energy]],MATCH("Anytime - Balance charge",OP_Rates_SME_1[Rate name],0),MATCH(OP_CMAB!Q$9,OP_Rates_SME_1[[#Headers],[Ausnet]:[United Energy]],0))*
INDEX(Input_UsageAnytime[[F-CurrentVDO]:[F-NextVDO]],MATCH(OP_CMAB!$L11&amp;" - Balance",Input_UsageAnytime[Ref],0),MATCH(OP_CMAB!$D$7,Inputs!$I$129:$M$129,0))),0)+
IFERROR((INDEX(OP_Rates_SME_1[[Ausnet]:[United Energy]],MATCH("Anytime - Single rate charge",OP_Rates_SME_1[Rate name],0),MATCH(OP_CMAB!Q$9,OP_Rates_SME_1[[#Headers],[Ausnet]:[United Energy]],0))*
INDEX(Input_UsageAnytime[[F-CurrentVDO]:[F-NextVDO]],MATCH(OP_CMAB!$L11&amp;" - Annual",Input_UsageAnytime[Ref],0),MATCH(OP_CMAB!$D$7,Inputs!$I$129:$M$129,0))),0)),0),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INDEX(Input_UsageTOU[[F-CurrentVDO]:[F-NextVDO]],MATCH($L11&amp;" - Peak",Input_UsageTOU[Ref],0),MATCH($D$7,Inputs!$I$155:$M$155,0)))+
IFERROR((INDEX(OP_Rates_SME_1[[Ausnet]:[United Energy]],MATCH("TOU - Shoulder charge",OP_Rates_SME_1[Rate name],0),MATCH(OP_CMAB!Q$9,OP_Rates_SME_1[[#Headers],[Ausnet]:[United Energy]],0))*
INDEX(Input_UsageTOU[[F-CurrentVDO]:[F-NextVDO]],MATCH($L11&amp;" - Shoulder",Input_UsageTOU[Ref],0),MATCH($D$7,Inputs!$I$155:$M$155,0))),0)+
(INDEX(OP_Rates_SME_1[[Ausnet]:[United Energy]],MATCH("TOU - Off peak charge",OP_Rates_SME_1[Rate name],0),MATCH(OP_CMAB!Q$9,OP_Rates_SME_1[[#Headers],[Ausnet]:[United Energy]],0))*
INDEX(Input_UsageTOU[[F-CurrentVDO]:[F-NextVDO]],MATCH($L11&amp;" - Off-peak",Input_UsageTOU[Ref],0),MATCH($D$7,Inputs!$I$155:$M$155,0))),0)),"-")</f>
        <v>5270</v>
      </c>
    </row>
    <row r="12" spans="1:18" hidden="1" x14ac:dyDescent="0.35">
      <c r="C12" s="40" t="s">
        <v>88</v>
      </c>
      <c r="D12" s="40" t="s">
        <v>223</v>
      </c>
      <c r="E12" s="103">
        <f>IFERROR(
IF($D$7="VDO 2021 - Final",
ROUNDUP(
(INDEX(OP_Rates_RES_1[[Ausnet]:[United Energy]],MATCH("Anytime - supply charge",OP_Rates_RES_1[[Rate name]:[Rate name]],0),MATCH(OP_CMAB!E$9,OP_Rates_RES_1[[#Headers],[Ausnet]:[United Energy]],0))*DiY)+
(IFERROR((INDEX(OP_Rates_RES_1[[Ausnet]:[United Energy]],MATCH("Anytime - Block 1 charge",OP_Rates_RES_1[[Rate name]:[Rate name]],0),MATCH(OP_CMAB!E$9,OP_Rates_RES_1[[#Headers],[Ausnet]:[United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name]],0),MATCH(OP_CMAB!E$9,OP_Rates_RES_1[[#Headers],[Ausnet]:[United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name]],0),MATCH(OP_CMAB!E$9,OP_Rates_RES_1[[#Headers],[Ausnet]:[United Energy]],0))*
INDEX(Input_UsageAnytime[[F-CurrentVDO]:[F-NextVDO]],MATCH(OP_CMAB!$D12&amp;" - Annual",Input_UsageAnytime[[Ref]:[Ref]],0),MATCH(OP_CMAB!$D$7,Inputs!$I$129:$M$129,0))),0)),0),
ROUNDUP(
(INDEX(OP_Rates_RES_1[[Ausnet]:[United Energy]],MATCH("TOU - supply charge",OP_Rates_RES_1[[Rate name]:[Rate name]],0),MATCH(OP_CMAB!E$9,OP_Rates_RES_1[[#Headers],[Ausnet]:[United Energy]],0))*DiY)+
(INDEX(OP_Rates_RES_1[[Ausnet]:[United Energy]],MATCH("TOU - Peak charge",OP_Rates_RES_1[[Rate name]:[Rate name]],0),MATCH(OP_CMAB!E$9,OP_Rates_RES_1[[#Headers],[Ausnet]:[United Energy]],0))*
INDEX(Input_UsageTOU[[F-CurrentVDO]:[F-NextVDO]],MATCH($D12&amp;" - Peak",Input_UsageTOU[[Ref]:[Ref]],0),MATCH($D$7,Inputs!$I$155:$M$155,0)))+
IFERROR((INDEX(OP_Rates_RES_1[[Ausnet]:[United Energy]],MATCH("TOU - Shoulder charge",OP_Rates_RES_1[[Rate name]:[Rate name]],0),MATCH(OP_CMAB!E$9,OP_Rates_RES_1[[#Headers],[Ausnet]:[United Energy]],0))*
INDEX(Input_UsageTOU[[F-CurrentVDO]:[F-NextVDO]],MATCH($D12&amp;" - Shoulder",Input_UsageTOU[[Ref]:[Ref]],0),MATCH($D$7,Inputs!$I$155:$M$155,0))),0)+
(INDEX(OP_Rates_RES_1[[Ausnet]:[United Energy]],MATCH("TOU - Off peak charge",OP_Rates_RES_1[[Rate name]:[Rate name]],0),MATCH(OP_CMAB!E$9,OP_Rates_RES_1[[#Headers],[Ausnet]:[United Energy]],0))*
INDEX(Input_UsageTOU[[F-CurrentVDO]:[F-NextVDO]],MATCH($D12&amp;" - Off-peak",Input_UsageTOU[[Ref]:[Ref]],0),MATCH($D$7,Inputs!$I$155:$M$155,0))),0)),"-")</f>
        <v>2658</v>
      </c>
      <c r="F12" s="103">
        <f>IFERROR(
IF($D$7="VDO 2021 - Final",
ROUNDUP(
(INDEX(OP_Rates_RES_1[[Ausnet]:[United Energy]],MATCH("Anytime - supply charge",OP_Rates_RES_1[[Rate name]:[Rate name]],0),MATCH(OP_CMAB!F$9,OP_Rates_RES_1[[#Headers],[Ausnet]:[United Energy]],0))*DiY)+
(IFERROR((INDEX(OP_Rates_RES_1[[Ausnet]:[United Energy]],MATCH("Anytime - Block 1 charge",OP_Rates_RES_1[[Rate name]:[Rate name]],0),MATCH(OP_CMAB!F$9,OP_Rates_RES_1[[#Headers],[Ausnet]:[United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name]],0),MATCH(OP_CMAB!F$9,OP_Rates_RES_1[[#Headers],[Ausnet]:[United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name]],0),MATCH(OP_CMAB!F$9,OP_Rates_RES_1[[#Headers],[Ausnet]:[United Energy]],0))*
INDEX(Input_UsageAnytime[[F-CurrentVDO]:[F-NextVDO]],MATCH(OP_CMAB!$D12&amp;" - Annual",Input_UsageAnytime[[Ref]:[Ref]],0),MATCH(OP_CMAB!$D$7,Inputs!$I$129:$M$129,0))),0)),0),
ROUNDUP(
(INDEX(OP_Rates_RES_1[[Ausnet]:[United Energy]],MATCH("TOU - supply charge",OP_Rates_RES_1[[Rate name]:[Rate name]],0),MATCH(OP_CMAB!F$9,OP_Rates_RES_1[[#Headers],[Ausnet]:[United Energy]],0))*DiY)+
(INDEX(OP_Rates_RES_1[[Ausnet]:[United Energy]],MATCH("TOU - Peak charge",OP_Rates_RES_1[[Rate name]:[Rate name]],0),MATCH(OP_CMAB!F$9,OP_Rates_RES_1[[#Headers],[Ausnet]:[United Energy]],0))*
INDEX(Input_UsageTOU[[F-CurrentVDO]:[F-NextVDO]],MATCH($D12&amp;" - Peak",Input_UsageTOU[[Ref]:[Ref]],0),MATCH($D$7,Inputs!$I$155:$M$155,0)))+
IFERROR((INDEX(OP_Rates_RES_1[[Ausnet]:[United Energy]],MATCH("TOU - Shoulder charge",OP_Rates_RES_1[[Rate name]:[Rate name]],0),MATCH(OP_CMAB!F$9,OP_Rates_RES_1[[#Headers],[Ausnet]:[United Energy]],0))*
INDEX(Input_UsageTOU[[F-CurrentVDO]:[F-NextVDO]],MATCH($D12&amp;" - Shoulder",Input_UsageTOU[[Ref]:[Ref]],0),MATCH($D$7,Inputs!$I$155:$M$155,0))),0)+
(INDEX(OP_Rates_RES_1[[Ausnet]:[United Energy]],MATCH("TOU - Off peak charge",OP_Rates_RES_1[[Rate name]:[Rate name]],0),MATCH(OP_CMAB!F$9,OP_Rates_RES_1[[#Headers],[Ausnet]:[United Energy]],0))*
INDEX(Input_UsageTOU[[F-CurrentVDO]:[F-NextVDO]],MATCH($D12&amp;" - Off-peak",Input_UsageTOU[[Ref]:[Ref]],0),MATCH($D$7,Inputs!$I$155:$M$155,0))),0)),"-")</f>
        <v>2126</v>
      </c>
      <c r="G12" s="103">
        <f>IFERROR(
IF($D$7="VDO 2021 - Final",
ROUNDUP(
(INDEX(OP_Rates_RES_1[[Ausnet]:[United Energy]],MATCH("Anytime - supply charge",OP_Rates_RES_1[[Rate name]:[Rate name]],0),MATCH(OP_CMAB!G$9,OP_Rates_RES_1[[#Headers],[Ausnet]:[United Energy]],0))*DiY)+
(IFERROR((INDEX(OP_Rates_RES_1[[Ausnet]:[United Energy]],MATCH("Anytime - Block 1 charge",OP_Rates_RES_1[[Rate name]:[Rate name]],0),MATCH(OP_CMAB!G$9,OP_Rates_RES_1[[#Headers],[Ausnet]:[United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name]],0),MATCH(OP_CMAB!G$9,OP_Rates_RES_1[[#Headers],[Ausnet]:[United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name]],0),MATCH(OP_CMAB!G$9,OP_Rates_RES_1[[#Headers],[Ausnet]:[United Energy]],0))*
INDEX(Input_UsageAnytime[[F-CurrentVDO]:[F-NextVDO]],MATCH(OP_CMAB!$D12&amp;" - Annual",Input_UsageAnytime[[Ref]:[Ref]],0),MATCH(OP_CMAB!$D$7,Inputs!$I$129:$M$129,0))),0)),0),
ROUNDUP(
(INDEX(OP_Rates_RES_1[[Ausnet]:[United Energy]],MATCH("TOU - supply charge",OP_Rates_RES_1[[Rate name]:[Rate name]],0),MATCH(OP_CMAB!G$9,OP_Rates_RES_1[[#Headers],[Ausnet]:[United Energy]],0))*DiY)+
(INDEX(OP_Rates_RES_1[[Ausnet]:[United Energy]],MATCH("TOU - Peak charge",OP_Rates_RES_1[[Rate name]:[Rate name]],0),MATCH(OP_CMAB!G$9,OP_Rates_RES_1[[#Headers],[Ausnet]:[United Energy]],0))*
INDEX(Input_UsageTOU[[F-CurrentVDO]:[F-NextVDO]],MATCH($D12&amp;" - Peak",Input_UsageTOU[[Ref]:[Ref]],0),MATCH($D$7,Inputs!$I$155:$M$155,0)))+
IFERROR((INDEX(OP_Rates_RES_1[[Ausnet]:[United Energy]],MATCH("TOU - Shoulder charge",OP_Rates_RES_1[[Rate name]:[Rate name]],0),MATCH(OP_CMAB!G$9,OP_Rates_RES_1[[#Headers],[Ausnet]:[United Energy]],0))*
INDEX(Input_UsageTOU[[F-CurrentVDO]:[F-NextVDO]],MATCH($D12&amp;" - Shoulder",Input_UsageTOU[[Ref]:[Ref]],0),MATCH($D$7,Inputs!$I$155:$M$155,0))),0)+
(INDEX(OP_Rates_RES_1[[Ausnet]:[United Energy]],MATCH("TOU - Off peak charge",OP_Rates_RES_1[[Rate name]:[Rate name]],0),MATCH(OP_CMAB!G$9,OP_Rates_RES_1[[#Headers],[Ausnet]:[United Energy]],0))*
INDEX(Input_UsageTOU[[F-CurrentVDO]:[F-NextVDO]],MATCH($D12&amp;" - Off-peak",Input_UsageTOU[[Ref]:[Ref]],0),MATCH($D$7,Inputs!$I$155:$M$155,0))),0)),"-")</f>
        <v>2265</v>
      </c>
      <c r="H12" s="103">
        <f>IFERROR(
IF($D$7="VDO 2021 - Final",
ROUNDUP(
(INDEX(OP_Rates_RES_1[[Ausnet]:[United Energy]],MATCH("Anytime - supply charge",OP_Rates_RES_1[[Rate name]:[Rate name]],0),MATCH(OP_CMAB!H$9,OP_Rates_RES_1[[#Headers],[Ausnet]:[United Energy]],0))*DiY)+
(IFERROR((INDEX(OP_Rates_RES_1[[Ausnet]:[United Energy]],MATCH("Anytime - Block 1 charge",OP_Rates_RES_1[[Rate name]:[Rate name]],0),MATCH(OP_CMAB!H$9,OP_Rates_RES_1[[#Headers],[Ausnet]:[United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name]],0),MATCH(OP_CMAB!H$9,OP_Rates_RES_1[[#Headers],[Ausnet]:[United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name]],0),MATCH(OP_CMAB!H$9,OP_Rates_RES_1[[#Headers],[Ausnet]:[United Energy]],0))*
INDEX(Input_UsageAnytime[[F-CurrentVDO]:[F-NextVDO]],MATCH(OP_CMAB!$D12&amp;" - Annual",Input_UsageAnytime[[Ref]:[Ref]],0),MATCH(OP_CMAB!$D$7,Inputs!$I$129:$M$129,0))),0)),0),
ROUNDUP(
(INDEX(OP_Rates_RES_1[[Ausnet]:[United Energy]],MATCH("TOU - supply charge",OP_Rates_RES_1[[Rate name]:[Rate name]],0),MATCH(OP_CMAB!H$9,OP_Rates_RES_1[[#Headers],[Ausnet]:[United Energy]],0))*DiY)+
(INDEX(OP_Rates_RES_1[[Ausnet]:[United Energy]],MATCH("TOU - Peak charge",OP_Rates_RES_1[[Rate name]:[Rate name]],0),MATCH(OP_CMAB!H$9,OP_Rates_RES_1[[#Headers],[Ausnet]:[United Energy]],0))*
INDEX(Input_UsageTOU[[F-CurrentVDO]:[F-NextVDO]],MATCH($D12&amp;" - Peak",Input_UsageTOU[[Ref]:[Ref]],0),MATCH($D$7,Inputs!$I$155:$M$155,0)))+
IFERROR((INDEX(OP_Rates_RES_1[[Ausnet]:[United Energy]],MATCH("TOU - Shoulder charge",OP_Rates_RES_1[[Rate name]:[Rate name]],0),MATCH(OP_CMAB!H$9,OP_Rates_RES_1[[#Headers],[Ausnet]:[United Energy]],0))*
INDEX(Input_UsageTOU[[F-CurrentVDO]:[F-NextVDO]],MATCH($D12&amp;" - Shoulder",Input_UsageTOU[[Ref]:[Ref]],0),MATCH($D$7,Inputs!$I$155:$M$155,0))),0)+
(INDEX(OP_Rates_RES_1[[Ausnet]:[United Energy]],MATCH("TOU - Off peak charge",OP_Rates_RES_1[[Rate name]:[Rate name]],0),MATCH(OP_CMAB!H$9,OP_Rates_RES_1[[#Headers],[Ausnet]:[United Energy]],0))*
INDEX(Input_UsageTOU[[F-CurrentVDO]:[F-NextVDO]],MATCH($D12&amp;" - Off-peak",Input_UsageTOU[[Ref]:[Ref]],0),MATCH($D$7,Inputs!$I$155:$M$155,0))),0)),"-")</f>
        <v>2264</v>
      </c>
      <c r="I12" s="103">
        <f>IFERROR(
IF($D$7="VDO 2021 - Final",
ROUNDUP(
(INDEX(OP_Rates_RES_1[[Ausnet]:[United Energy]],MATCH("Anytime - supply charge",OP_Rates_RES_1[[Rate name]:[Rate name]],0),MATCH(OP_CMAB!I$9,OP_Rates_RES_1[[#Headers],[Ausnet]:[United Energy]],0))*DiY)+
(IFERROR((INDEX(OP_Rates_RES_1[[Ausnet]:[United Energy]],MATCH("Anytime - Block 1 charge",OP_Rates_RES_1[[Rate name]:[Rate name]],0),MATCH(OP_CMAB!I$9,OP_Rates_RES_1[[#Headers],[Ausnet]:[United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name]],0),MATCH(OP_CMAB!I$9,OP_Rates_RES_1[[#Headers],[Ausnet]:[United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name]],0),MATCH(OP_CMAB!I$9,OP_Rates_RES_1[[#Headers],[Ausnet]:[United Energy]],0))*
INDEX(Input_UsageAnytime[[F-CurrentVDO]:[F-NextVDO]],MATCH(OP_CMAB!$D12&amp;" - Annual",Input_UsageAnytime[[Ref]:[Ref]],0),MATCH(OP_CMAB!$D$7,Inputs!$I$129:$M$129,0))),0)),0),
ROUNDUP(
(INDEX(OP_Rates_RES_1[[Ausnet]:[United Energy]],MATCH("TOU - supply charge",OP_Rates_RES_1[[Rate name]:[Rate name]],0),MATCH(OP_CMAB!I$9,OP_Rates_RES_1[[#Headers],[Ausnet]:[United Energy]],0))*DiY)+
(INDEX(OP_Rates_RES_1[[Ausnet]:[United Energy]],MATCH("TOU - Peak charge",OP_Rates_RES_1[[Rate name]:[Rate name]],0),MATCH(OP_CMAB!I$9,OP_Rates_RES_1[[#Headers],[Ausnet]:[United Energy]],0))*
INDEX(Input_UsageTOU[[F-CurrentVDO]:[F-NextVDO]],MATCH($D12&amp;" - Peak",Input_UsageTOU[[Ref]:[Ref]],0),MATCH($D$7,Inputs!$I$155:$M$155,0)))+
IFERROR((INDEX(OP_Rates_RES_1[[Ausnet]:[United Energy]],MATCH("TOU - Shoulder charge",OP_Rates_RES_1[[Rate name]:[Rate name]],0),MATCH(OP_CMAB!I$9,OP_Rates_RES_1[[#Headers],[Ausnet]:[United Energy]],0))*
INDEX(Input_UsageTOU[[F-CurrentVDO]:[F-NextVDO]],MATCH($D12&amp;" - Shoulder",Input_UsageTOU[[Ref]:[Ref]],0),MATCH($D$7,Inputs!$I$155:$M$155,0))),0)+
(INDEX(OP_Rates_RES_1[[Ausnet]:[United Energy]],MATCH("TOU - Off peak charge",OP_Rates_RES_1[[Rate name]:[Rate name]],0),MATCH(OP_CMAB!I$9,OP_Rates_RES_1[[#Headers],[Ausnet]:[United Energy]],0))*
INDEX(Input_UsageTOU[[F-CurrentVDO]:[F-NextVDO]],MATCH($D12&amp;" - Off-peak",Input_UsageTOU[[Ref]:[Ref]],0),MATCH($D$7,Inputs!$I$155:$M$155,0))),0)),"-")</f>
        <v>2279</v>
      </c>
      <c r="K12" s="40" t="s">
        <v>89</v>
      </c>
      <c r="L12" s="40" t="s">
        <v>226</v>
      </c>
      <c r="M12" s="103">
        <f>IFERROR(
IF($D$7="VDO 2021 - Final",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INDEX(Input_UsageAnytime[[F-CurrentVDO]:[F-NextVDO]],MATCH(OP_CMAB!$L12&amp;" - Block 1",Input_UsageAnytime[Ref],0),MATCH(OP_CMAB!$D$7,Inputs!$I$129:$M$129,0))),0)+
IFERROR((INDEX(OP_Rates_SME_1[[Ausnet]:[United Energy]],MATCH("Anytime - Balance charge",OP_Rates_SME_1[Rate name],0),MATCH(OP_CMAB!M$9,OP_Rates_SME_1[[#Headers],[Ausnet]:[United Energy]],0))*
INDEX(Input_UsageAnytime[[F-CurrentVDO]:[F-NextVDO]],MATCH(OP_CMAB!$L12&amp;" - Balance",Input_UsageAnytime[Ref],0),MATCH(OP_CMAB!$D$7,Inputs!$I$129:$M$129,0))),0)+
IFERROR((INDEX(OP_Rates_SME_1[[Ausnet]:[United Energy]],MATCH("Anytime - Single rate charge",OP_Rates_SME_1[Rate name],0),MATCH(OP_CMAB!M$9,OP_Rates_SME_1[[#Headers],[Ausnet]:[United Energy]],0))*
INDEX(Input_UsageAnytime[[F-CurrentVDO]:[F-NextVDO]],MATCH(OP_CMAB!$L12&amp;" - Annual",Input_UsageAnytime[Ref],0),MATCH(OP_CMAB!$D$7,Inputs!$I$129:$M$129,0))),0)),0),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INDEX(Input_UsageTOU[[F-CurrentVDO]:[F-NextVDO]],MATCH($L12&amp;" - Peak",Input_UsageTOU[Ref],0),MATCH($D$7,Inputs!$I$155:$M$155,0)))+
IFERROR((INDEX(OP_Rates_SME_1[[Ausnet]:[United Energy]],MATCH("TOU - Shoulder charge",OP_Rates_SME_1[Rate name],0),MATCH(OP_CMAB!M$9,OP_Rates_SME_1[[#Headers],[Ausnet]:[United Energy]],0))*
INDEX(Input_UsageTOU[[F-CurrentVDO]:[F-NextVDO]],MATCH($L12&amp;" - Shoulder",Input_UsageTOU[Ref],0),MATCH($D$7,Inputs!$I$155:$M$155,0))),0)+
(INDEX(OP_Rates_SME_1[[Ausnet]:[United Energy]],MATCH("TOU - Off peak charge",OP_Rates_SME_1[Rate name],0),MATCH(OP_CMAB!M$9,OP_Rates_SME_1[[#Headers],[Ausnet]:[United Energy]],0))*
INDEX(Input_UsageTOU[[F-CurrentVDO]:[F-NextVDO]],MATCH($L12&amp;" - Off-peak",Input_UsageTOU[Ref],0),MATCH($D$7,Inputs!$I$155:$M$155,0))),0)),"-")</f>
        <v>13490</v>
      </c>
      <c r="N12" s="103">
        <f>IFERROR(
IF($D$7="VDO 2021 - Final",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INDEX(Input_UsageAnytime[[F-CurrentVDO]:[F-NextVDO]],MATCH(OP_CMAB!$L12&amp;" - Block 1",Input_UsageAnytime[Ref],0),MATCH(OP_CMAB!$D$7,Inputs!$I$129:$M$129,0))),0)+
IFERROR((INDEX(OP_Rates_SME_1[[Ausnet]:[United Energy]],MATCH("Anytime - Balance charge",OP_Rates_SME_1[Rate name],0),MATCH(OP_CMAB!N$9,OP_Rates_SME_1[[#Headers],[Ausnet]:[United Energy]],0))*
INDEX(Input_UsageAnytime[[F-CurrentVDO]:[F-NextVDO]],MATCH(OP_CMAB!$L12&amp;" - Balance",Input_UsageAnytime[Ref],0),MATCH(OP_CMAB!$D$7,Inputs!$I$129:$M$129,0))),0)+
IFERROR((INDEX(OP_Rates_SME_1[[Ausnet]:[United Energy]],MATCH("Anytime - Single rate charge",OP_Rates_SME_1[Rate name],0),MATCH(OP_CMAB!N$9,OP_Rates_SME_1[[#Headers],[Ausnet]:[United Energy]],0))*
INDEX(Input_UsageAnytime[[F-CurrentVDO]:[F-NextVDO]],MATCH(OP_CMAB!$L12&amp;" - Annual",Input_UsageAnytime[Ref],0),MATCH(OP_CMAB!$D$7,Inputs!$I$129:$M$129,0))),0)),0),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INDEX(Input_UsageTOU[[F-CurrentVDO]:[F-NextVDO]],MATCH($L12&amp;" - Peak",Input_UsageTOU[Ref],0),MATCH($D$7,Inputs!$I$155:$M$155,0)))+
IFERROR((INDEX(OP_Rates_SME_1[[Ausnet]:[United Energy]],MATCH("TOU - Shoulder charge",OP_Rates_SME_1[Rate name],0),MATCH(OP_CMAB!N$9,OP_Rates_SME_1[[#Headers],[Ausnet]:[United Energy]],0))*
INDEX(Input_UsageTOU[[F-CurrentVDO]:[F-NextVDO]],MATCH($L12&amp;" - Shoulder",Input_UsageTOU[Ref],0),MATCH($D$7,Inputs!$I$155:$M$155,0))),0)+
(INDEX(OP_Rates_SME_1[[Ausnet]:[United Energy]],MATCH("TOU - Off peak charge",OP_Rates_SME_1[Rate name],0),MATCH(OP_CMAB!N$9,OP_Rates_SME_1[[#Headers],[Ausnet]:[United Energy]],0))*
INDEX(Input_UsageTOU[[F-CurrentVDO]:[F-NextVDO]],MATCH($L12&amp;" - Off-peak",Input_UsageTOU[Ref],0),MATCH($D$7,Inputs!$I$155:$M$155,0))),0)),"-")</f>
        <v>9367</v>
      </c>
      <c r="O12" s="103">
        <f>IFERROR(
IF($D$7="VDO 2021 - Final",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INDEX(Input_UsageAnytime[[F-CurrentVDO]:[F-NextVDO]],MATCH(OP_CMAB!$L12&amp;" - Block 1",Input_UsageAnytime[Ref],0),MATCH(OP_CMAB!$D$7,Inputs!$I$129:$M$129,0))),0)+
IFERROR((INDEX(OP_Rates_SME_1[[Ausnet]:[United Energy]],MATCH("Anytime - Balance charge",OP_Rates_SME_1[Rate name],0),MATCH(OP_CMAB!O$9,OP_Rates_SME_1[[#Headers],[Ausnet]:[United Energy]],0))*
INDEX(Input_UsageAnytime[[F-CurrentVDO]:[F-NextVDO]],MATCH(OP_CMAB!$L12&amp;" - Balance",Input_UsageAnytime[Ref],0),MATCH(OP_CMAB!$D$7,Inputs!$I$129:$M$129,0))),0)+
IFERROR((INDEX(OP_Rates_SME_1[[Ausnet]:[United Energy]],MATCH("Anytime - Single rate charge",OP_Rates_SME_1[Rate name],0),MATCH(OP_CMAB!O$9,OP_Rates_SME_1[[#Headers],[Ausnet]:[United Energy]],0))*
INDEX(Input_UsageAnytime[[F-CurrentVDO]:[F-NextVDO]],MATCH(OP_CMAB!$L12&amp;" - Annual",Input_UsageAnytime[Ref],0),MATCH(OP_CMAB!$D$7,Inputs!$I$129:$M$129,0))),0)),0),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INDEX(Input_UsageTOU[[F-CurrentVDO]:[F-NextVDO]],MATCH($L12&amp;" - Peak",Input_UsageTOU[Ref],0),MATCH($D$7,Inputs!$I$155:$M$155,0)))+
IFERROR((INDEX(OP_Rates_SME_1[[Ausnet]:[United Energy]],MATCH("TOU - Shoulder charge",OP_Rates_SME_1[Rate name],0),MATCH(OP_CMAB!O$9,OP_Rates_SME_1[[#Headers],[Ausnet]:[United Energy]],0))*
INDEX(Input_UsageTOU[[F-CurrentVDO]:[F-NextVDO]],MATCH($L12&amp;" - Shoulder",Input_UsageTOU[Ref],0),MATCH($D$7,Inputs!$I$155:$M$155,0))),0)+
(INDEX(OP_Rates_SME_1[[Ausnet]:[United Energy]],MATCH("TOU - Off peak charge",OP_Rates_SME_1[Rate name],0),MATCH(OP_CMAB!O$9,OP_Rates_SME_1[[#Headers],[Ausnet]:[United Energy]],0))*
INDEX(Input_UsageTOU[[F-CurrentVDO]:[F-NextVDO]],MATCH($L12&amp;" - Off-peak",Input_UsageTOU[Ref],0),MATCH($D$7,Inputs!$I$155:$M$155,0))),0)),"-")</f>
        <v>10067</v>
      </c>
      <c r="P12" s="103">
        <f>IFERROR(
IF($D$7="VDO 2021 - Final",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INDEX(Input_UsageAnytime[[F-CurrentVDO]:[F-NextVDO]],MATCH(OP_CMAB!$L12&amp;" - Block 1",Input_UsageAnytime[Ref],0),MATCH(OP_CMAB!$D$7,Inputs!$I$129:$M$129,0))),0)+
IFERROR((INDEX(OP_Rates_SME_1[[Ausnet]:[United Energy]],MATCH("Anytime - Balance charge",OP_Rates_SME_1[Rate name],0),MATCH(OP_CMAB!P$9,OP_Rates_SME_1[[#Headers],[Ausnet]:[United Energy]],0))*
INDEX(Input_UsageAnytime[[F-CurrentVDO]:[F-NextVDO]],MATCH(OP_CMAB!$L12&amp;" - Balance",Input_UsageAnytime[Ref],0),MATCH(OP_CMAB!$D$7,Inputs!$I$129:$M$129,0))),0)+
IFERROR((INDEX(OP_Rates_SME_1[[Ausnet]:[United Energy]],MATCH("Anytime - Single rate charge",OP_Rates_SME_1[Rate name],0),MATCH(OP_CMAB!P$9,OP_Rates_SME_1[[#Headers],[Ausnet]:[United Energy]],0))*
INDEX(Input_UsageAnytime[[F-CurrentVDO]:[F-NextVDO]],MATCH(OP_CMAB!$L12&amp;" - Annual",Input_UsageAnytime[Ref],0),MATCH(OP_CMAB!$D$7,Inputs!$I$129:$M$129,0))),0)),0),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INDEX(Input_UsageTOU[[F-CurrentVDO]:[F-NextVDO]],MATCH($L12&amp;" - Peak",Input_UsageTOU[Ref],0),MATCH($D$7,Inputs!$I$155:$M$155,0)))+
IFERROR((INDEX(OP_Rates_SME_1[[Ausnet]:[United Energy]],MATCH("TOU - Shoulder charge",OP_Rates_SME_1[Rate name],0),MATCH(OP_CMAB!P$9,OP_Rates_SME_1[[#Headers],[Ausnet]:[United Energy]],0))*
INDEX(Input_UsageTOU[[F-CurrentVDO]:[F-NextVDO]],MATCH($L12&amp;" - Shoulder",Input_UsageTOU[Ref],0),MATCH($D$7,Inputs!$I$155:$M$155,0))),0)+
(INDEX(OP_Rates_SME_1[[Ausnet]:[United Energy]],MATCH("TOU - Off peak charge",OP_Rates_SME_1[Rate name],0),MATCH(OP_CMAB!P$9,OP_Rates_SME_1[[#Headers],[Ausnet]:[United Energy]],0))*
INDEX(Input_UsageTOU[[F-CurrentVDO]:[F-NextVDO]],MATCH($L12&amp;" - Off-peak",Input_UsageTOU[Ref],0),MATCH($D$7,Inputs!$I$155:$M$155,0))),0)),"-")</f>
        <v>9671</v>
      </c>
      <c r="Q12" s="103">
        <f>IFERROR(
IF($D$7="VDO 2021 - Final",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INDEX(Input_UsageAnytime[[F-CurrentVDO]:[F-NextVDO]],MATCH(OP_CMAB!$L12&amp;" - Block 1",Input_UsageAnytime[Ref],0),MATCH(OP_CMAB!$D$7,Inputs!$I$129:$M$129,0))),0)+
IFERROR((INDEX(OP_Rates_SME_1[[Ausnet]:[United Energy]],MATCH("Anytime - Balance charge",OP_Rates_SME_1[Rate name],0),MATCH(OP_CMAB!Q$9,OP_Rates_SME_1[[#Headers],[Ausnet]:[United Energy]],0))*
INDEX(Input_UsageAnytime[[F-CurrentVDO]:[F-NextVDO]],MATCH(OP_CMAB!$L12&amp;" - Balance",Input_UsageAnytime[Ref],0),MATCH(OP_CMAB!$D$7,Inputs!$I$129:$M$129,0))),0)+
IFERROR((INDEX(OP_Rates_SME_1[[Ausnet]:[United Energy]],MATCH("Anytime - Single rate charge",OP_Rates_SME_1[Rate name],0),MATCH(OP_CMAB!Q$9,OP_Rates_SME_1[[#Headers],[Ausnet]:[United Energy]],0))*
INDEX(Input_UsageAnytime[[F-CurrentVDO]:[F-NextVDO]],MATCH(OP_CMAB!$L12&amp;" - Annual",Input_UsageAnytime[Ref],0),MATCH(OP_CMAB!$D$7,Inputs!$I$129:$M$129,0))),0)),0),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INDEX(Input_UsageTOU[[F-CurrentVDO]:[F-NextVDO]],MATCH($L12&amp;" - Peak",Input_UsageTOU[Ref],0),MATCH($D$7,Inputs!$I$155:$M$155,0)))+
IFERROR((INDEX(OP_Rates_SME_1[[Ausnet]:[United Energy]],MATCH("TOU - Shoulder charge",OP_Rates_SME_1[Rate name],0),MATCH(OP_CMAB!Q$9,OP_Rates_SME_1[[#Headers],[Ausnet]:[United Energy]],0))*
INDEX(Input_UsageTOU[[F-CurrentVDO]:[F-NextVDO]],MATCH($L12&amp;" - Shoulder",Input_UsageTOU[Ref],0),MATCH($D$7,Inputs!$I$155:$M$155,0))),0)+
(INDEX(OP_Rates_SME_1[[Ausnet]:[United Energy]],MATCH("TOU - Off peak charge",OP_Rates_SME_1[Rate name],0),MATCH(OP_CMAB!Q$9,OP_Rates_SME_1[[#Headers],[Ausnet]:[United Energy]],0))*
INDEX(Input_UsageTOU[[F-CurrentVDO]:[F-NextVDO]],MATCH($L12&amp;" - Off-peak",Input_UsageTOU[Ref],0),MATCH($D$7,Inputs!$I$155:$M$155,0))),0)),"-")</f>
        <v>10157</v>
      </c>
    </row>
    <row r="14" spans="1:18" ht="15.5" hidden="1" x14ac:dyDescent="0.35">
      <c r="E14" s="80">
        <f>IF($D$7="VDO 2021 - Final",
IF(E10=
ROUNDUP(
(INDEX(OP_Rates_RES_1[[Ausnet]:[United Energy]],MATCH("Anytime - supply charge",OP_Rates_RES_1[Rate name],0),MATCH(OP_CMAB!E$9,OP_Rates_RES_1[[#Headers],[Ausnet]:[United Energy]],0))*DiY)+
(IFERROR((INDEX(OP_Rates_RES_1[[Ausnet]:[United Energy]],MATCH("Anytime - Block 1 charge",OP_Rates_RES_1[Rate name],0),MATCH(OP_CMAB!E$9,OP_Rates_RES_1[[#Headers],[Ausnet]:[United Energy]],0))*
INDEX(Input_UsageAnytime[[F-CurrentVDO]:[F-NextVDO]],MATCH(OP_CMAB!$D10&amp;" - Block 1",Input_UsageAnytime[Ref],0),MATCH(OP_CMAB!$D$7,Inputs!$I$129:$M$129,0))),0)+
IFERROR((INDEX(OP_Rates_RES_1[[Ausnet]:[United Energy]],MATCH("Anytime - Balance charge",OP_Rates_RES_1[Rate name],0),MATCH(OP_CMAB!E$9,OP_Rates_RES_1[[#Headers],[Ausnet]:[United Energy]],0))*
INDEX(Input_UsageAnytime[[F-CurrentVDO]:[F-NextVDO]],MATCH(OP_CMAB!$D10&amp;" - Balance",Input_UsageAnytime[Ref],0),MATCH(OP_CMAB!$D$7,Inputs!$I$129:$M$129,0))),0)+
IFERROR((INDEX(OP_Rates_RES_1[[Ausnet]:[United Energy]],MATCH("Anytime - Single rate charge",OP_Rates_RES_1[Rate name],0),MATCH(OP_CMAB!E$9,OP_Rates_RES_1[[#Headers],[Ausnet]:[United Energy]],0))*
INDEX(Input_UsageAnytime[[F-CurrentVDO]:[F-NextVDO]],MATCH(OP_CMAB!$D10&amp;" - Annual",Input_UsageAnytime[Ref],0),MATCH(OP_CMAB!$D$7,Inputs!$I$129:$M$129,0))),0)),0),0,1),
IF(E10=
ROUNDUP(
(INDEX(OP_Rates_RES_1[[Ausnet]:[United Energy]],MATCH("TOU - supply charge",OP_Rates_RES_1[Rate name],0),MATCH(OP_CMAB!E$9,OP_Rates_RES_1[[#Headers],[Ausnet]:[United Energy]],0))*DiY)+
(INDEX(OP_Rates_RES_1[[Ausnet]:[United Energy]],MATCH("TOU - Peak charge",OP_Rates_RES_1[Rate name],0),MATCH(OP_CMAB!E$9,OP_Rates_RES_1[[#Headers],[Ausnet]:[United Energy]],0))*
INDEX(Input_UsageTOU[[F-CurrentVDO]:[F-NextVDO]],MATCH($D10&amp;" - Peak",Input_UsageTOU[Ref],0),MATCH($D$7,Inputs!$I$155:$M$155,0)))+
IFERROR((INDEX(OP_Rates_RES_1[[Ausnet]:[United Energy]],MATCH("TOU - Shoulder charge",OP_Rates_RES_1[Rate name],0),MATCH(OP_CMAB!E$9,OP_Rates_RES_1[[#Headers],[Ausnet]:[United Energy]],0))*
INDEX(Input_UsageTOU[[F-CurrentVDO]:[F-NextVDO]],MATCH($D10&amp;" - Shoulder",Input_UsageTOU[Ref],0),MATCH($D$7,Inputs!$I$155:$M$155,0))),0)+
(INDEX(OP_Rates_RES_1[[Ausnet]:[United Energy]],MATCH("TOU - Off peak charge",OP_Rates_RES_1[Rate name],0),MATCH(OP_CMAB!E$9,OP_Rates_RES_1[[#Headers],[Ausnet]:[United Energy]],0))*
INDEX(Input_UsageTOU[[F-CurrentVDO]:[F-NextVDO]],MATCH($D10&amp;" - Off-peak",Input_UsageTOU[Ref],0),MATCH($D$7,Inputs!$I$155:$M$155,0))),0),0,1))</f>
        <v>0</v>
      </c>
      <c r="F14" s="80">
        <f>IF($D$7="VDO 2021 - Final",
IF(F10=
ROUNDUP(
(INDEX(OP_Rates_RES_1[[Ausnet]:[United Energy]],MATCH("Anytime - supply charge",OP_Rates_RES_1[Rate name],0),MATCH(OP_CMAB!F$9,OP_Rates_RES_1[[#Headers],[Ausnet]:[United Energy]],0))*DiY)+
(IFERROR((INDEX(OP_Rates_RES_1[[Ausnet]:[United Energy]],MATCH("Anytime - Block 1 charge",OP_Rates_RES_1[Rate name],0),MATCH(OP_CMAB!F$9,OP_Rates_RES_1[[#Headers],[Ausnet]:[United Energy]],0))*
INDEX(Input_UsageAnytime[[F-CurrentVDO]:[F-NextVDO]],MATCH(OP_CMAB!$D10&amp;" - Block 1",Input_UsageAnytime[Ref],0),MATCH(OP_CMAB!$D$7,Inputs!$I$129:$M$129,0))),0)+
IFERROR((INDEX(OP_Rates_RES_1[[Ausnet]:[United Energy]],MATCH("Anytime - Balance charge",OP_Rates_RES_1[Rate name],0),MATCH(OP_CMAB!F$9,OP_Rates_RES_1[[#Headers],[Ausnet]:[United Energy]],0))*
INDEX(Input_UsageAnytime[[F-CurrentVDO]:[F-NextVDO]],MATCH(OP_CMAB!$D10&amp;" - Balance",Input_UsageAnytime[Ref],0),MATCH(OP_CMAB!$D$7,Inputs!$I$129:$M$129,0))),0)+
IFERROR((INDEX(OP_Rates_RES_1[[Ausnet]:[United Energy]],MATCH("Anytime - Single rate charge",OP_Rates_RES_1[Rate name],0),MATCH(OP_CMAB!F$9,OP_Rates_RES_1[[#Headers],[Ausnet]:[United Energy]],0))*
INDEX(Input_UsageAnytime[[F-CurrentVDO]:[F-NextVDO]],MATCH(OP_CMAB!$D10&amp;" - Annual",Input_UsageAnytime[Ref],0),MATCH(OP_CMAB!$D$7,Inputs!$I$129:$M$129,0))),0)),0),0,1),
IF(F10=
ROUNDUP(
(INDEX(OP_Rates_RES_1[[Ausnet]:[United Energy]],MATCH("TOU - supply charge",OP_Rates_RES_1[Rate name],0),MATCH(OP_CMAB!F$9,OP_Rates_RES_1[[#Headers],[Ausnet]:[United Energy]],0))*DiY)+
(INDEX(OP_Rates_RES_1[[Ausnet]:[United Energy]],MATCH("TOU - Peak charge",OP_Rates_RES_1[Rate name],0),MATCH(OP_CMAB!F$9,OP_Rates_RES_1[[#Headers],[Ausnet]:[United Energy]],0))*
INDEX(Input_UsageTOU[[F-CurrentVDO]:[F-NextVDO]],MATCH($D10&amp;" - Peak",Input_UsageTOU[Ref],0),MATCH($D$7,Inputs!$I$155:$M$155,0)))+
IFERROR((INDEX(OP_Rates_RES_1[[Ausnet]:[United Energy]],MATCH("TOU - Shoulder charge",OP_Rates_RES_1[Rate name],0),MATCH(OP_CMAB!F$9,OP_Rates_RES_1[[#Headers],[Ausnet]:[United Energy]],0))*
INDEX(Input_UsageTOU[[F-CurrentVDO]:[F-NextVDO]],MATCH($D10&amp;" - Shoulder",Input_UsageTOU[Ref],0),MATCH($D$7,Inputs!$I$155:$M$155,0))),0)+
(INDEX(OP_Rates_RES_1[[Ausnet]:[United Energy]],MATCH("TOU - Off peak charge",OP_Rates_RES_1[Rate name],0),MATCH(OP_CMAB!F$9,OP_Rates_RES_1[[#Headers],[Ausnet]:[United Energy]],0))*
INDEX(Input_UsageTOU[[F-CurrentVDO]:[F-NextVDO]],MATCH($D10&amp;" - Off-peak",Input_UsageTOU[Ref],0),MATCH($D$7,Inputs!$I$155:$M$155,0))),0),0,1))</f>
        <v>0</v>
      </c>
      <c r="G14" s="80">
        <f>IF($D$7="VDO 2021 - Final",
IF(G10=
ROUNDUP(
(INDEX(OP_Rates_RES_1[[Ausnet]:[United Energy]],MATCH("Anytime - supply charge",OP_Rates_RES_1[Rate name],0),MATCH(OP_CMAB!G$9,OP_Rates_RES_1[[#Headers],[Ausnet]:[United Energy]],0))*DiY)+
(IFERROR((INDEX(OP_Rates_RES_1[[Ausnet]:[United Energy]],MATCH("Anytime - Block 1 charge",OP_Rates_RES_1[Rate name],0),MATCH(OP_CMAB!G$9,OP_Rates_RES_1[[#Headers],[Ausnet]:[United Energy]],0))*
INDEX(Input_UsageAnytime[[F-CurrentVDO]:[F-NextVDO]],MATCH(OP_CMAB!$D10&amp;" - Block 1",Input_UsageAnytime[Ref],0),MATCH(OP_CMAB!$D$7,Inputs!$I$129:$M$129,0))),0)+
IFERROR((INDEX(OP_Rates_RES_1[[Ausnet]:[United Energy]],MATCH("Anytime - Balance charge",OP_Rates_RES_1[Rate name],0),MATCH(OP_CMAB!G$9,OP_Rates_RES_1[[#Headers],[Ausnet]:[United Energy]],0))*
INDEX(Input_UsageAnytime[[F-CurrentVDO]:[F-NextVDO]],MATCH(OP_CMAB!$D10&amp;" - Balance",Input_UsageAnytime[Ref],0),MATCH(OP_CMAB!$D$7,Inputs!$I$129:$M$129,0))),0)+
IFERROR((INDEX(OP_Rates_RES_1[[Ausnet]:[United Energy]],MATCH("Anytime - Single rate charge",OP_Rates_RES_1[Rate name],0),MATCH(OP_CMAB!G$9,OP_Rates_RES_1[[#Headers],[Ausnet]:[United Energy]],0))*
INDEX(Input_UsageAnytime[[F-CurrentVDO]:[F-NextVDO]],MATCH(OP_CMAB!$D10&amp;" - Annual",Input_UsageAnytime[Ref],0),MATCH(OP_CMAB!$D$7,Inputs!$I$129:$M$129,0))),0)),0),0,1),
IF(G10=
ROUNDUP(
(INDEX(OP_Rates_RES_1[[Ausnet]:[United Energy]],MATCH("TOU - supply charge",OP_Rates_RES_1[Rate name],0),MATCH(OP_CMAB!G$9,OP_Rates_RES_1[[#Headers],[Ausnet]:[United Energy]],0))*DiY)+
(INDEX(OP_Rates_RES_1[[Ausnet]:[United Energy]],MATCH("TOU - Peak charge",OP_Rates_RES_1[Rate name],0),MATCH(OP_CMAB!G$9,OP_Rates_RES_1[[#Headers],[Ausnet]:[United Energy]],0))*
INDEX(Input_UsageTOU[[F-CurrentVDO]:[F-NextVDO]],MATCH($D10&amp;" - Peak",Input_UsageTOU[Ref],0),MATCH($D$7,Inputs!$I$155:$M$155,0)))+
IFERROR((INDEX(OP_Rates_RES_1[[Ausnet]:[United Energy]],MATCH("TOU - Shoulder charge",OP_Rates_RES_1[Rate name],0),MATCH(OP_CMAB!G$9,OP_Rates_RES_1[[#Headers],[Ausnet]:[United Energy]],0))*
INDEX(Input_UsageTOU[[F-CurrentVDO]:[F-NextVDO]],MATCH($D10&amp;" - Shoulder",Input_UsageTOU[Ref],0),MATCH($D$7,Inputs!$I$155:$M$155,0))),0)+
(INDEX(OP_Rates_RES_1[[Ausnet]:[United Energy]],MATCH("TOU - Off peak charge",OP_Rates_RES_1[Rate name],0),MATCH(OP_CMAB!G$9,OP_Rates_RES_1[[#Headers],[Ausnet]:[United Energy]],0))*
INDEX(Input_UsageTOU[[F-CurrentVDO]:[F-NextVDO]],MATCH($D10&amp;" - Off-peak",Input_UsageTOU[Ref],0),MATCH($D$7,Inputs!$I$155:$M$155,0))),0),0,1))</f>
        <v>0</v>
      </c>
      <c r="H14" s="80">
        <f>IF($D$7="VDO 2021 - Final",
IF(H10=
ROUNDUP(
(INDEX(OP_Rates_RES_1[[Ausnet]:[United Energy]],MATCH("Anytime - supply charge",OP_Rates_RES_1[Rate name],0),MATCH(OP_CMAB!H$9,OP_Rates_RES_1[[#Headers],[Ausnet]:[United Energy]],0))*DiY)+
(IFERROR((INDEX(OP_Rates_RES_1[[Ausnet]:[United Energy]],MATCH("Anytime - Block 1 charge",OP_Rates_RES_1[Rate name],0),MATCH(OP_CMAB!H$9,OP_Rates_RES_1[[#Headers],[Ausnet]:[United Energy]],0))*
INDEX(Input_UsageAnytime[[F-CurrentVDO]:[F-NextVDO]],MATCH(OP_CMAB!$D10&amp;" - Block 1",Input_UsageAnytime[Ref],0),MATCH(OP_CMAB!$D$7,Inputs!$I$129:$M$129,0))),0)+
IFERROR((INDEX(OP_Rates_RES_1[[Ausnet]:[United Energy]],MATCH("Anytime - Balance charge",OP_Rates_RES_1[Rate name],0),MATCH(OP_CMAB!H$9,OP_Rates_RES_1[[#Headers],[Ausnet]:[United Energy]],0))*
INDEX(Input_UsageAnytime[[F-CurrentVDO]:[F-NextVDO]],MATCH(OP_CMAB!$D10&amp;" - Balance",Input_UsageAnytime[Ref],0),MATCH(OP_CMAB!$D$7,Inputs!$I$129:$M$129,0))),0)+
IFERROR((INDEX(OP_Rates_RES_1[[Ausnet]:[United Energy]],MATCH("Anytime - Single rate charge",OP_Rates_RES_1[Rate name],0),MATCH(OP_CMAB!H$9,OP_Rates_RES_1[[#Headers],[Ausnet]:[United Energy]],0))*
INDEX(Input_UsageAnytime[[F-CurrentVDO]:[F-NextVDO]],MATCH(OP_CMAB!$D10&amp;" - Annual",Input_UsageAnytime[Ref],0),MATCH(OP_CMAB!$D$7,Inputs!$I$129:$M$129,0))),0)),0),0,1),
IF(H10=
ROUNDUP(
(INDEX(OP_Rates_RES_1[[Ausnet]:[United Energy]],MATCH("TOU - supply charge",OP_Rates_RES_1[Rate name],0),MATCH(OP_CMAB!H$9,OP_Rates_RES_1[[#Headers],[Ausnet]:[United Energy]],0))*DiY)+
(INDEX(OP_Rates_RES_1[[Ausnet]:[United Energy]],MATCH("TOU - Peak charge",OP_Rates_RES_1[Rate name],0),MATCH(OP_CMAB!H$9,OP_Rates_RES_1[[#Headers],[Ausnet]:[United Energy]],0))*
INDEX(Input_UsageTOU[[F-CurrentVDO]:[F-NextVDO]],MATCH($D10&amp;" - Peak",Input_UsageTOU[Ref],0),MATCH($D$7,Inputs!$I$155:$M$155,0)))+
IFERROR((INDEX(OP_Rates_RES_1[[Ausnet]:[United Energy]],MATCH("TOU - Shoulder charge",OP_Rates_RES_1[Rate name],0),MATCH(OP_CMAB!H$9,OP_Rates_RES_1[[#Headers],[Ausnet]:[United Energy]],0))*
INDEX(Input_UsageTOU[[F-CurrentVDO]:[F-NextVDO]],MATCH($D10&amp;" - Shoulder",Input_UsageTOU[Ref],0),MATCH($D$7,Inputs!$I$155:$M$155,0))),0)+
(INDEX(OP_Rates_RES_1[[Ausnet]:[United Energy]],MATCH("TOU - Off peak charge",OP_Rates_RES_1[Rate name],0),MATCH(OP_CMAB!H$9,OP_Rates_RES_1[[#Headers],[Ausnet]:[United Energy]],0))*
INDEX(Input_UsageTOU[[F-CurrentVDO]:[F-NextVDO]],MATCH($D10&amp;" - Off-peak",Input_UsageTOU[Ref],0),MATCH($D$7,Inputs!$I$155:$M$155,0))),0),0,1))</f>
        <v>0</v>
      </c>
      <c r="I14" s="80">
        <f>IF($D$7="VDO 2021 - Final",
IF(I10=
ROUNDUP(
(INDEX(OP_Rates_RES_1[[Ausnet]:[United Energy]],MATCH("Anytime - supply charge",OP_Rates_RES_1[Rate name],0),MATCH(OP_CMAB!I$9,OP_Rates_RES_1[[#Headers],[Ausnet]:[United Energy]],0))*DiY)+
(IFERROR((INDEX(OP_Rates_RES_1[[Ausnet]:[United Energy]],MATCH("Anytime - Block 1 charge",OP_Rates_RES_1[Rate name],0),MATCH(OP_CMAB!I$9,OP_Rates_RES_1[[#Headers],[Ausnet]:[United Energy]],0))*
INDEX(Input_UsageAnytime[[F-CurrentVDO]:[F-NextVDO]],MATCH(OP_CMAB!$D10&amp;" - Block 1",Input_UsageAnytime[Ref],0),MATCH(OP_CMAB!$D$7,Inputs!$I$129:$M$129,0))),0)+
IFERROR((INDEX(OP_Rates_RES_1[[Ausnet]:[United Energy]],MATCH("Anytime - Balance charge",OP_Rates_RES_1[Rate name],0),MATCH(OP_CMAB!I$9,OP_Rates_RES_1[[#Headers],[Ausnet]:[United Energy]],0))*
INDEX(Input_UsageAnytime[[F-CurrentVDO]:[F-NextVDO]],MATCH(OP_CMAB!$D10&amp;" - Balance",Input_UsageAnytime[Ref],0),MATCH(OP_CMAB!$D$7,Inputs!$I$129:$M$129,0))),0)+
IFERROR((INDEX(OP_Rates_RES_1[[Ausnet]:[United Energy]],MATCH("Anytime - Single rate charge",OP_Rates_RES_1[Rate name],0),MATCH(OP_CMAB!I$9,OP_Rates_RES_1[[#Headers],[Ausnet]:[United Energy]],0))*
INDEX(Input_UsageAnytime[[F-CurrentVDO]:[F-NextVDO]],MATCH(OP_CMAB!$D10&amp;" - Annual",Input_UsageAnytime[Ref],0),MATCH(OP_CMAB!$D$7,Inputs!$I$129:$M$129,0))),0)),0),0,1),
IF(I10=
ROUNDUP(
(INDEX(OP_Rates_RES_1[[Ausnet]:[United Energy]],MATCH("TOU - supply charge",OP_Rates_RES_1[Rate name],0),MATCH(OP_CMAB!I$9,OP_Rates_RES_1[[#Headers],[Ausnet]:[United Energy]],0))*DiY)+
(INDEX(OP_Rates_RES_1[[Ausnet]:[United Energy]],MATCH("TOU - Peak charge",OP_Rates_RES_1[Rate name],0),MATCH(OP_CMAB!I$9,OP_Rates_RES_1[[#Headers],[Ausnet]:[United Energy]],0))*
INDEX(Input_UsageTOU[[F-CurrentVDO]:[F-NextVDO]],MATCH($D10&amp;" - Peak",Input_UsageTOU[Ref],0),MATCH($D$7,Inputs!$I$155:$M$155,0)))+
IFERROR((INDEX(OP_Rates_RES_1[[Ausnet]:[United Energy]],MATCH("TOU - Shoulder charge",OP_Rates_RES_1[Rate name],0),MATCH(OP_CMAB!I$9,OP_Rates_RES_1[[#Headers],[Ausnet]:[United Energy]],0))*
INDEX(Input_UsageTOU[[F-CurrentVDO]:[F-NextVDO]],MATCH($D10&amp;" - Shoulder",Input_UsageTOU[Ref],0),MATCH($D$7,Inputs!$I$155:$M$155,0))),0)+
(INDEX(OP_Rates_RES_1[[Ausnet]:[United Energy]],MATCH("TOU - Off peak charge",OP_Rates_RES_1[Rate name],0),MATCH(OP_CMAB!I$9,OP_Rates_RES_1[[#Headers],[Ausnet]:[United Energy]],0))*
INDEX(Input_UsageTOU[[F-CurrentVDO]:[F-NextVDO]],MATCH($D10&amp;" - Off-peak",Input_UsageTOU[Ref],0),MATCH($D$7,Inputs!$I$155:$M$155,0))),0),0,1))</f>
        <v>0</v>
      </c>
      <c r="M14" s="80">
        <f>IF($D$7="VDO 2021 - Final",
IF(M10=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INDEX(Input_UsageAnytime[[F-CurrentVDO]:[F-NextVDO]],MATCH(OP_CMAB!$L10&amp;" - Block 1",Input_UsageAnytime[Ref],0),MATCH(OP_CMAB!$D$7,Inputs!$I$129:$M$129,0))),0)+
IFERROR((INDEX(OP_Rates_SME_1[[Ausnet]:[United Energy]],MATCH("Anytime - Balance charge",OP_Rates_SME_1[Rate name],0),MATCH(OP_CMAB!M$9,OP_Rates_SME_1[[#Headers],[Ausnet]:[United Energy]],0))*
INDEX(Input_UsageAnytime[[F-CurrentVDO]:[F-NextVDO]],MATCH(OP_CMAB!$L10&amp;" - Balance",Input_UsageAnytime[Ref],0),MATCH(OP_CMAB!$D$7,Inputs!$I$129:$M$129,0))),0)+
IFERROR((INDEX(OP_Rates_SME_1[[Ausnet]:[United Energy]],MATCH("Anytime - Single rate charge",OP_Rates_SME_1[Rate name],0),MATCH(OP_CMAB!M$9,OP_Rates_SME_1[[#Headers],[Ausnet]:[United Energy]],0))*
INDEX(Input_UsageAnytime[[F-CurrentVDO]:[F-NextVDO]],MATCH(OP_CMAB!$L10&amp;" - Annual",Input_UsageAnytime[Ref],0),MATCH(OP_CMAB!$D$7,Inputs!$I$129:$M$129,0))),0)),0),0,1),
IF(M10=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INDEX(Input_UsageTOU[[F-CurrentVDO]:[F-NextVDO]],MATCH($L10&amp;" - Peak",Input_UsageTOU[Ref],0),MATCH($D$7,Inputs!$I$155:$M$155,0)))+
IFERROR((INDEX(OP_Rates_SME_1[[Ausnet]:[United Energy]],MATCH("TOU - Shoulder charge",OP_Rates_SME_1[Rate name],0),MATCH(OP_CMAB!M$9,OP_Rates_SME_1[[#Headers],[Ausnet]:[United Energy]],0))*
INDEX(Input_UsageTOU[[F-CurrentVDO]:[F-NextVDO]],MATCH($L10&amp;" - Shoulder",Input_UsageTOU[Ref],0),MATCH($D$7,Inputs!$I$155:$M$155,0))),0)+
(INDEX(OP_Rates_SME_1[[Ausnet]:[United Energy]],MATCH("TOU - Off peak charge",OP_Rates_SME_1[Rate name],0),MATCH(OP_CMAB!M$9,OP_Rates_SME_1[[#Headers],[Ausnet]:[United Energy]],0))*
INDEX(Input_UsageTOU[[F-CurrentVDO]:[F-NextVDO]],MATCH($L10&amp;" - Off-peak",Input_UsageTOU[Ref],0),MATCH($D$7,Inputs!$I$155:$M$155,0))),0),0,1))</f>
        <v>0</v>
      </c>
      <c r="N14" s="80">
        <f>IF($D$7="VDO 2021 - Final",
IF(N10=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INDEX(Input_UsageAnytime[[F-CurrentVDO]:[F-NextVDO]],MATCH(OP_CMAB!$L10&amp;" - Block 1",Input_UsageAnytime[Ref],0),MATCH(OP_CMAB!$D$7,Inputs!$I$129:$M$129,0))),0)+
IFERROR((INDEX(OP_Rates_SME_1[[Ausnet]:[United Energy]],MATCH("Anytime - Balance charge",OP_Rates_SME_1[Rate name],0),MATCH(OP_CMAB!N$9,OP_Rates_SME_1[[#Headers],[Ausnet]:[United Energy]],0))*
INDEX(Input_UsageAnytime[[F-CurrentVDO]:[F-NextVDO]],MATCH(OP_CMAB!$L10&amp;" - Balance",Input_UsageAnytime[Ref],0),MATCH(OP_CMAB!$D$7,Inputs!$I$129:$M$129,0))),0)+
IFERROR((INDEX(OP_Rates_SME_1[[Ausnet]:[United Energy]],MATCH("Anytime - Single rate charge",OP_Rates_SME_1[Rate name],0),MATCH(OP_CMAB!N$9,OP_Rates_SME_1[[#Headers],[Ausnet]:[United Energy]],0))*
INDEX(Input_UsageAnytime[[F-CurrentVDO]:[F-NextVDO]],MATCH(OP_CMAB!$L10&amp;" - Annual",Input_UsageAnytime[Ref],0),MATCH(OP_CMAB!$D$7,Inputs!$I$129:$M$129,0))),0)),0),0,1),
IF(N10=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INDEX(Input_UsageTOU[[F-CurrentVDO]:[F-NextVDO]],MATCH($L10&amp;" - Peak",Input_UsageTOU[Ref],0),MATCH($D$7,Inputs!$I$155:$M$155,0)))+
IFERROR((INDEX(OP_Rates_SME_1[[Ausnet]:[United Energy]],MATCH("TOU - Shoulder charge",OP_Rates_SME_1[Rate name],0),MATCH(OP_CMAB!N$9,OP_Rates_SME_1[[#Headers],[Ausnet]:[United Energy]],0))*
INDEX(Input_UsageTOU[[F-CurrentVDO]:[F-NextVDO]],MATCH($L10&amp;" - Shoulder",Input_UsageTOU[Ref],0),MATCH($D$7,Inputs!$I$155:$M$155,0))),0)+
(INDEX(OP_Rates_SME_1[[Ausnet]:[United Energy]],MATCH("TOU - Off peak charge",OP_Rates_SME_1[Rate name],0),MATCH(OP_CMAB!N$9,OP_Rates_SME_1[[#Headers],[Ausnet]:[United Energy]],0))*
INDEX(Input_UsageTOU[[F-CurrentVDO]:[F-NextVDO]],MATCH($L10&amp;" - Off-peak",Input_UsageTOU[Ref],0),MATCH($D$7,Inputs!$I$155:$M$155,0))),0),0,1))</f>
        <v>0</v>
      </c>
      <c r="O14" s="80">
        <f>IF($D$7="VDO 2021 - Final",
IF(O10=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INDEX(Input_UsageAnytime[[F-CurrentVDO]:[F-NextVDO]],MATCH(OP_CMAB!$L10&amp;" - Block 1",Input_UsageAnytime[Ref],0),MATCH(OP_CMAB!$D$7,Inputs!$I$129:$M$129,0))),0)+
IFERROR((INDEX(OP_Rates_SME_1[[Ausnet]:[United Energy]],MATCH("Anytime - Balance charge",OP_Rates_SME_1[Rate name],0),MATCH(OP_CMAB!O$9,OP_Rates_SME_1[[#Headers],[Ausnet]:[United Energy]],0))*
INDEX(Input_UsageAnytime[[F-CurrentVDO]:[F-NextVDO]],MATCH(OP_CMAB!$L10&amp;" - Balance",Input_UsageAnytime[Ref],0),MATCH(OP_CMAB!$D$7,Inputs!$I$129:$M$129,0))),0)+
IFERROR((INDEX(OP_Rates_SME_1[[Ausnet]:[United Energy]],MATCH("Anytime - Single rate charge",OP_Rates_SME_1[Rate name],0),MATCH(OP_CMAB!O$9,OP_Rates_SME_1[[#Headers],[Ausnet]:[United Energy]],0))*
INDEX(Input_UsageAnytime[[F-CurrentVDO]:[F-NextVDO]],MATCH(OP_CMAB!$L10&amp;" - Annual",Input_UsageAnytime[Ref],0),MATCH(OP_CMAB!$D$7,Inputs!$I$129:$M$129,0))),0)),0),0,1),
IF(O10=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INDEX(Input_UsageTOU[[F-CurrentVDO]:[F-NextVDO]],MATCH($L10&amp;" - Peak",Input_UsageTOU[Ref],0),MATCH($D$7,Inputs!$I$155:$M$155,0)))+
IFERROR((INDEX(OP_Rates_SME_1[[Ausnet]:[United Energy]],MATCH("TOU - Shoulder charge",OP_Rates_SME_1[Rate name],0),MATCH(OP_CMAB!O$9,OP_Rates_SME_1[[#Headers],[Ausnet]:[United Energy]],0))*
INDEX(Input_UsageTOU[[F-CurrentVDO]:[F-NextVDO]],MATCH($L10&amp;" - Shoulder",Input_UsageTOU[Ref],0),MATCH($D$7,Inputs!$I$155:$M$155,0))),0)+
(INDEX(OP_Rates_SME_1[[Ausnet]:[United Energy]],MATCH("TOU - Off peak charge",OP_Rates_SME_1[Rate name],0),MATCH(OP_CMAB!O$9,OP_Rates_SME_1[[#Headers],[Ausnet]:[United Energy]],0))*
INDEX(Input_UsageTOU[[F-CurrentVDO]:[F-NextVDO]],MATCH($L10&amp;" - Off-peak",Input_UsageTOU[Ref],0),MATCH($D$7,Inputs!$I$155:$M$155,0))),0),0,1))</f>
        <v>0</v>
      </c>
      <c r="P14" s="80">
        <f>IF($D$7="VDO 2021 - Final",
IF(P10=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INDEX(Input_UsageAnytime[[F-CurrentVDO]:[F-NextVDO]],MATCH(OP_CMAB!$L10&amp;" - Block 1",Input_UsageAnytime[Ref],0),MATCH(OP_CMAB!$D$7,Inputs!$I$129:$M$129,0))),0)+
IFERROR((INDEX(OP_Rates_SME_1[[Ausnet]:[United Energy]],MATCH("Anytime - Balance charge",OP_Rates_SME_1[Rate name],0),MATCH(OP_CMAB!P$9,OP_Rates_SME_1[[#Headers],[Ausnet]:[United Energy]],0))*
INDEX(Input_UsageAnytime[[F-CurrentVDO]:[F-NextVDO]],MATCH(OP_CMAB!$L10&amp;" - Balance",Input_UsageAnytime[Ref],0),MATCH(OP_CMAB!$D$7,Inputs!$I$129:$M$129,0))),0)+
IFERROR((INDEX(OP_Rates_SME_1[[Ausnet]:[United Energy]],MATCH("Anytime - Single rate charge",OP_Rates_SME_1[Rate name],0),MATCH(OP_CMAB!P$9,OP_Rates_SME_1[[#Headers],[Ausnet]:[United Energy]],0))*
INDEX(Input_UsageAnytime[[F-CurrentVDO]:[F-NextVDO]],MATCH(OP_CMAB!$L10&amp;" - Annual",Input_UsageAnytime[Ref],0),MATCH(OP_CMAB!$D$7,Inputs!$I$129:$M$129,0))),0)),0),0,1),
IF(P10=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INDEX(Input_UsageTOU[[F-CurrentVDO]:[F-NextVDO]],MATCH($L10&amp;" - Peak",Input_UsageTOU[Ref],0),MATCH($D$7,Inputs!$I$155:$M$155,0)))+
IFERROR((INDEX(OP_Rates_SME_1[[Ausnet]:[United Energy]],MATCH("TOU - Shoulder charge",OP_Rates_SME_1[Rate name],0),MATCH(OP_CMAB!P$9,OP_Rates_SME_1[[#Headers],[Ausnet]:[United Energy]],0))*
INDEX(Input_UsageTOU[[F-CurrentVDO]:[F-NextVDO]],MATCH($L10&amp;" - Shoulder",Input_UsageTOU[Ref],0),MATCH($D$7,Inputs!$I$155:$M$155,0))),0)+
(INDEX(OP_Rates_SME_1[[Ausnet]:[United Energy]],MATCH("TOU - Off peak charge",OP_Rates_SME_1[Rate name],0),MATCH(OP_CMAB!P$9,OP_Rates_SME_1[[#Headers],[Ausnet]:[United Energy]],0))*
INDEX(Input_UsageTOU[[F-CurrentVDO]:[F-NextVDO]],MATCH($L10&amp;" - Off-peak",Input_UsageTOU[Ref],0),MATCH($D$7,Inputs!$I$155:$M$155,0))),0),0,1))</f>
        <v>0</v>
      </c>
      <c r="Q14" s="80">
        <f>IF($D$7="VDO 2021 - Final",
IF(Q10=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INDEX(Input_UsageAnytime[[F-CurrentVDO]:[F-NextVDO]],MATCH(OP_CMAB!$L10&amp;" - Block 1",Input_UsageAnytime[Ref],0),MATCH(OP_CMAB!$D$7,Inputs!$I$129:$M$129,0))),0)+
IFERROR((INDEX(OP_Rates_SME_1[[Ausnet]:[United Energy]],MATCH("Anytime - Balance charge",OP_Rates_SME_1[Rate name],0),MATCH(OP_CMAB!Q$9,OP_Rates_SME_1[[#Headers],[Ausnet]:[United Energy]],0))*
INDEX(Input_UsageAnytime[[F-CurrentVDO]:[F-NextVDO]],MATCH(OP_CMAB!$L10&amp;" - Balance",Input_UsageAnytime[Ref],0),MATCH(OP_CMAB!$D$7,Inputs!$I$129:$M$129,0))),0)+
IFERROR((INDEX(OP_Rates_SME_1[[Ausnet]:[United Energy]],MATCH("Anytime - Single rate charge",OP_Rates_SME_1[Rate name],0),MATCH(OP_CMAB!Q$9,OP_Rates_SME_1[[#Headers],[Ausnet]:[United Energy]],0))*
INDEX(Input_UsageAnytime[[F-CurrentVDO]:[F-NextVDO]],MATCH(OP_CMAB!$L10&amp;" - Annual",Input_UsageAnytime[Ref],0),MATCH(OP_CMAB!$D$7,Inputs!$I$129:$M$129,0))),0)),0),0,1),
IF(Q10=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INDEX(Input_UsageTOU[[F-CurrentVDO]:[F-NextVDO]],MATCH($L10&amp;" - Peak",Input_UsageTOU[Ref],0),MATCH($D$7,Inputs!$I$155:$M$155,0)))+
IFERROR((INDEX(OP_Rates_SME_1[[Ausnet]:[United Energy]],MATCH("TOU - Shoulder charge",OP_Rates_SME_1[Rate name],0),MATCH(OP_CMAB!Q$9,OP_Rates_SME_1[[#Headers],[Ausnet]:[United Energy]],0))*
INDEX(Input_UsageTOU[[F-CurrentVDO]:[F-NextVDO]],MATCH($L10&amp;" - Shoulder",Input_UsageTOU[Ref],0),MATCH($D$7,Inputs!$I$155:$M$155,0))),0)+
(INDEX(OP_Rates_SME_1[[Ausnet]:[United Energy]],MATCH("TOU - Off peak charge",OP_Rates_SME_1[Rate name],0),MATCH(OP_CMAB!Q$9,OP_Rates_SME_1[[#Headers],[Ausnet]:[United Energy]],0))*
INDEX(Input_UsageTOU[[F-CurrentVDO]:[F-NextVDO]],MATCH($L10&amp;" - Off-peak",Input_UsageTOU[Ref],0),MATCH($D$7,Inputs!$I$155:$M$155,0))),0),0,1))</f>
        <v>0</v>
      </c>
    </row>
    <row r="15" spans="1:18" ht="15.5" x14ac:dyDescent="0.35">
      <c r="E15" s="80">
        <f>IF($D$7="VDO 2021 - Final",
IF(E11=
ROUNDUP(
(INDEX(OP_Rates_RES_1[[Ausnet]:[United Energy]],MATCH("Anytime - supply charge",OP_Rates_RES_1[Rate name],0),MATCH(OP_CMAB!E$9,OP_Rates_RES_1[[#Headers],[Ausnet]:[United Energy]],0))*DiY)+
(IFERROR((INDEX(OP_Rates_RES_1[[Ausnet]:[United Energy]],MATCH("Anytime - Block 1 charge",OP_Rates_RES_1[Rate name],0),MATCH(OP_CMAB!E$9,OP_Rates_RES_1[[#Headers],[Ausnet]:[United Energy]],0))*
INDEX(Input_UsageAnytime[[F-CurrentVDO]:[F-NextVDO]],MATCH(OP_CMAB!$D11&amp;" - Block 1",Input_UsageAnytime[Ref],0),MATCH(OP_CMAB!$D$7,Inputs!$I$129:$M$129,0))),0)+
IFERROR((INDEX(OP_Rates_RES_1[[Ausnet]:[United Energy]],MATCH("Anytime - Balance charge",OP_Rates_RES_1[Rate name],0),MATCH(OP_CMAB!E$9,OP_Rates_RES_1[[#Headers],[Ausnet]:[United Energy]],0))*
INDEX(Input_UsageAnytime[[F-CurrentVDO]:[F-NextVDO]],MATCH(OP_CMAB!$D11&amp;" - Balance",Input_UsageAnytime[Ref],0),MATCH(OP_CMAB!$D$7,Inputs!$I$129:$M$129,0))),0)+
IFERROR((INDEX(OP_Rates_RES_1[[Ausnet]:[United Energy]],MATCH("Anytime - Single rate charge",OP_Rates_RES_1[Rate name],0),MATCH(OP_CMAB!E$9,OP_Rates_RES_1[[#Headers],[Ausnet]:[United Energy]],0))*
INDEX(Input_UsageAnytime[[F-CurrentVDO]:[F-NextVDO]],MATCH(OP_CMAB!$D11&amp;" - Annual",Input_UsageAnytime[Ref],0),MATCH(OP_CMAB!$D$7,Inputs!$I$129:$M$129,0))),0)),0),0,1),
IF(E11=
ROUNDUP(
(INDEX(OP_Rates_RES_1[[Ausnet]:[United Energy]],MATCH("TOU - supply charge",OP_Rates_RES_1[Rate name],0),MATCH(OP_CMAB!E$9,OP_Rates_RES_1[[#Headers],[Ausnet]:[United Energy]],0))*DiY)+
(INDEX(OP_Rates_RES_1[[Ausnet]:[United Energy]],MATCH("TOU - Peak charge",OP_Rates_RES_1[Rate name],0),MATCH(OP_CMAB!E$9,OP_Rates_RES_1[[#Headers],[Ausnet]:[United Energy]],0))*
INDEX(Input_UsageTOU[[F-CurrentVDO]:[F-NextVDO]],MATCH($D11&amp;" - Peak",Input_UsageTOU[Ref],0),MATCH($D$7,Inputs!$I$155:$M$155,0)))+
IFERROR((INDEX(OP_Rates_RES_1[[Ausnet]:[United Energy]],MATCH("TOU - Shoulder charge",OP_Rates_RES_1[Rate name],0),MATCH(OP_CMAB!E$9,OP_Rates_RES_1[[#Headers],[Ausnet]:[United Energy]],0))*
INDEX(Input_UsageTOU[[F-CurrentVDO]:[F-NextVDO]],MATCH($D11&amp;" - Shoulder",Input_UsageTOU[Ref],0),MATCH($D$7,Inputs!$I$155:$M$155,0))),0)+
(INDEX(OP_Rates_RES_1[[Ausnet]:[United Energy]],MATCH("TOU - Off peak charge",OP_Rates_RES_1[Rate name],0),MATCH(OP_CMAB!E$9,OP_Rates_RES_1[[#Headers],[Ausnet]:[United Energy]],0))*
INDEX(Input_UsageTOU[[F-CurrentVDO]:[F-NextVDO]],MATCH($D11&amp;" - Off-peak",Input_UsageTOU[Ref],0),MATCH($D$7,Inputs!$I$155:$M$155,0))),0),0,1))</f>
        <v>0</v>
      </c>
      <c r="F15" s="80">
        <f>IF($D$7="VDO 2021 - Final",
IF(F11=
ROUNDUP(
(INDEX(OP_Rates_RES_1[[Ausnet]:[United Energy]],MATCH("Anytime - supply charge",OP_Rates_RES_1[Rate name],0),MATCH(OP_CMAB!F$9,OP_Rates_RES_1[[#Headers],[Ausnet]:[United Energy]],0))*DiY)+
(IFERROR((INDEX(OP_Rates_RES_1[[Ausnet]:[United Energy]],MATCH("Anytime - Block 1 charge",OP_Rates_RES_1[Rate name],0),MATCH(OP_CMAB!F$9,OP_Rates_RES_1[[#Headers],[Ausnet]:[United Energy]],0))*
INDEX(Input_UsageAnytime[[F-CurrentVDO]:[F-NextVDO]],MATCH(OP_CMAB!$D11&amp;" - Block 1",Input_UsageAnytime[Ref],0),MATCH(OP_CMAB!$D$7,Inputs!$I$129:$M$129,0))),0)+
IFERROR((INDEX(OP_Rates_RES_1[[Ausnet]:[United Energy]],MATCH("Anytime - Balance charge",OP_Rates_RES_1[Rate name],0),MATCH(OP_CMAB!F$9,OP_Rates_RES_1[[#Headers],[Ausnet]:[United Energy]],0))*
INDEX(Input_UsageAnytime[[F-CurrentVDO]:[F-NextVDO]],MATCH(OP_CMAB!$D11&amp;" - Balance",Input_UsageAnytime[Ref],0),MATCH(OP_CMAB!$D$7,Inputs!$I$129:$M$129,0))),0)+
IFERROR((INDEX(OP_Rates_RES_1[[Ausnet]:[United Energy]],MATCH("Anytime - Single rate charge",OP_Rates_RES_1[Rate name],0),MATCH(OP_CMAB!F$9,OP_Rates_RES_1[[#Headers],[Ausnet]:[United Energy]],0))*
INDEX(Input_UsageAnytime[[F-CurrentVDO]:[F-NextVDO]],MATCH(OP_CMAB!$D11&amp;" - Annual",Input_UsageAnytime[Ref],0),MATCH(OP_CMAB!$D$7,Inputs!$I$129:$M$129,0))),0)),0),0,1),
IF(F11=
ROUNDUP(
(INDEX(OP_Rates_RES_1[[Ausnet]:[United Energy]],MATCH("TOU - supply charge",OP_Rates_RES_1[Rate name],0),MATCH(OP_CMAB!F$9,OP_Rates_RES_1[[#Headers],[Ausnet]:[United Energy]],0))*DiY)+
(INDEX(OP_Rates_RES_1[[Ausnet]:[United Energy]],MATCH("TOU - Peak charge",OP_Rates_RES_1[Rate name],0),MATCH(OP_CMAB!F$9,OP_Rates_RES_1[[#Headers],[Ausnet]:[United Energy]],0))*
INDEX(Input_UsageTOU[[F-CurrentVDO]:[F-NextVDO]],MATCH($D11&amp;" - Peak",Input_UsageTOU[Ref],0),MATCH($D$7,Inputs!$I$155:$M$155,0)))+
IFERROR((INDEX(OP_Rates_RES_1[[Ausnet]:[United Energy]],MATCH("TOU - Shoulder charge",OP_Rates_RES_1[Rate name],0),MATCH(OP_CMAB!F$9,OP_Rates_RES_1[[#Headers],[Ausnet]:[United Energy]],0))*
INDEX(Input_UsageTOU[[F-CurrentVDO]:[F-NextVDO]],MATCH($D11&amp;" - Shoulder",Input_UsageTOU[Ref],0),MATCH($D$7,Inputs!$I$155:$M$155,0))),0)+
(INDEX(OP_Rates_RES_1[[Ausnet]:[United Energy]],MATCH("TOU - Off peak charge",OP_Rates_RES_1[Rate name],0),MATCH(OP_CMAB!F$9,OP_Rates_RES_1[[#Headers],[Ausnet]:[United Energy]],0))*
INDEX(Input_UsageTOU[[F-CurrentVDO]:[F-NextVDO]],MATCH($D11&amp;" - Off-peak",Input_UsageTOU[Ref],0),MATCH($D$7,Inputs!$I$155:$M$155,0))),0),0,1))</f>
        <v>0</v>
      </c>
      <c r="G15" s="80">
        <f>IF($D$7="VDO 2021 - Final",
IF(G11=
ROUNDUP(
(INDEX(OP_Rates_RES_1[[Ausnet]:[United Energy]],MATCH("Anytime - supply charge",OP_Rates_RES_1[Rate name],0),MATCH(OP_CMAB!G$9,OP_Rates_RES_1[[#Headers],[Ausnet]:[United Energy]],0))*DiY)+
(IFERROR((INDEX(OP_Rates_RES_1[[Ausnet]:[United Energy]],MATCH("Anytime - Block 1 charge",OP_Rates_RES_1[Rate name],0),MATCH(OP_CMAB!G$9,OP_Rates_RES_1[[#Headers],[Ausnet]:[United Energy]],0))*
INDEX(Input_UsageAnytime[[F-CurrentVDO]:[F-NextVDO]],MATCH(OP_CMAB!$D11&amp;" - Block 1",Input_UsageAnytime[Ref],0),MATCH(OP_CMAB!$D$7,Inputs!$I$129:$M$129,0))),0)+
IFERROR((INDEX(OP_Rates_RES_1[[Ausnet]:[United Energy]],MATCH("Anytime - Balance charge",OP_Rates_RES_1[Rate name],0),MATCH(OP_CMAB!G$9,OP_Rates_RES_1[[#Headers],[Ausnet]:[United Energy]],0))*
INDEX(Input_UsageAnytime[[F-CurrentVDO]:[F-NextVDO]],MATCH(OP_CMAB!$D11&amp;" - Balance",Input_UsageAnytime[Ref],0),MATCH(OP_CMAB!$D$7,Inputs!$I$129:$M$129,0))),0)+
IFERROR((INDEX(OP_Rates_RES_1[[Ausnet]:[United Energy]],MATCH("Anytime - Single rate charge",OP_Rates_RES_1[Rate name],0),MATCH(OP_CMAB!G$9,OP_Rates_RES_1[[#Headers],[Ausnet]:[United Energy]],0))*
INDEX(Input_UsageAnytime[[F-CurrentVDO]:[F-NextVDO]],MATCH(OP_CMAB!$D11&amp;" - Annual",Input_UsageAnytime[Ref],0),MATCH(OP_CMAB!$D$7,Inputs!$I$129:$M$129,0))),0)),0),0,1),
IF(G11=
ROUNDUP(
(INDEX(OP_Rates_RES_1[[Ausnet]:[United Energy]],MATCH("TOU - supply charge",OP_Rates_RES_1[Rate name],0),MATCH(OP_CMAB!G$9,OP_Rates_RES_1[[#Headers],[Ausnet]:[United Energy]],0))*DiY)+
(INDEX(OP_Rates_RES_1[[Ausnet]:[United Energy]],MATCH("TOU - Peak charge",OP_Rates_RES_1[Rate name],0),MATCH(OP_CMAB!G$9,OP_Rates_RES_1[[#Headers],[Ausnet]:[United Energy]],0))*
INDEX(Input_UsageTOU[[F-CurrentVDO]:[F-NextVDO]],MATCH($D11&amp;" - Peak",Input_UsageTOU[Ref],0),MATCH($D$7,Inputs!$I$155:$M$155,0)))+
IFERROR((INDEX(OP_Rates_RES_1[[Ausnet]:[United Energy]],MATCH("TOU - Shoulder charge",OP_Rates_RES_1[Rate name],0),MATCH(OP_CMAB!G$9,OP_Rates_RES_1[[#Headers],[Ausnet]:[United Energy]],0))*
INDEX(Input_UsageTOU[[F-CurrentVDO]:[F-NextVDO]],MATCH($D11&amp;" - Shoulder",Input_UsageTOU[Ref],0),MATCH($D$7,Inputs!$I$155:$M$155,0))),0)+
(INDEX(OP_Rates_RES_1[[Ausnet]:[United Energy]],MATCH("TOU - Off peak charge",OP_Rates_RES_1[Rate name],0),MATCH(OP_CMAB!G$9,OP_Rates_RES_1[[#Headers],[Ausnet]:[United Energy]],0))*
INDEX(Input_UsageTOU[[F-CurrentVDO]:[F-NextVDO]],MATCH($D11&amp;" - Off-peak",Input_UsageTOU[Ref],0),MATCH($D$7,Inputs!$I$155:$M$155,0))),0),0,1))</f>
        <v>0</v>
      </c>
      <c r="H15" s="80">
        <f>IF($D$7="VDO 2021 - Final",
IF(H11=
ROUNDUP(
(INDEX(OP_Rates_RES_1[[Ausnet]:[United Energy]],MATCH("Anytime - supply charge",OP_Rates_RES_1[Rate name],0),MATCH(OP_CMAB!H$9,OP_Rates_RES_1[[#Headers],[Ausnet]:[United Energy]],0))*DiY)+
(IFERROR((INDEX(OP_Rates_RES_1[[Ausnet]:[United Energy]],MATCH("Anytime - Block 1 charge",OP_Rates_RES_1[Rate name],0),MATCH(OP_CMAB!H$9,OP_Rates_RES_1[[#Headers],[Ausnet]:[United Energy]],0))*
INDEX(Input_UsageAnytime[[F-CurrentVDO]:[F-NextVDO]],MATCH(OP_CMAB!$D11&amp;" - Block 1",Input_UsageAnytime[Ref],0),MATCH(OP_CMAB!$D$7,Inputs!$I$129:$M$129,0))),0)+
IFERROR((INDEX(OP_Rates_RES_1[[Ausnet]:[United Energy]],MATCH("Anytime - Balance charge",OP_Rates_RES_1[Rate name],0),MATCH(OP_CMAB!H$9,OP_Rates_RES_1[[#Headers],[Ausnet]:[United Energy]],0))*
INDEX(Input_UsageAnytime[[F-CurrentVDO]:[F-NextVDO]],MATCH(OP_CMAB!$D11&amp;" - Balance",Input_UsageAnytime[Ref],0),MATCH(OP_CMAB!$D$7,Inputs!$I$129:$M$129,0))),0)+
IFERROR((INDEX(OP_Rates_RES_1[[Ausnet]:[United Energy]],MATCH("Anytime - Single rate charge",OP_Rates_RES_1[Rate name],0),MATCH(OP_CMAB!H$9,OP_Rates_RES_1[[#Headers],[Ausnet]:[United Energy]],0))*
INDEX(Input_UsageAnytime[[F-CurrentVDO]:[F-NextVDO]],MATCH(OP_CMAB!$D11&amp;" - Annual",Input_UsageAnytime[Ref],0),MATCH(OP_CMAB!$D$7,Inputs!$I$129:$M$129,0))),0)),0),0,1),
IF(H11=
ROUNDUP(
(INDEX(OP_Rates_RES_1[[Ausnet]:[United Energy]],MATCH("TOU - supply charge",OP_Rates_RES_1[Rate name],0),MATCH(OP_CMAB!H$9,OP_Rates_RES_1[[#Headers],[Ausnet]:[United Energy]],0))*DiY)+
(INDEX(OP_Rates_RES_1[[Ausnet]:[United Energy]],MATCH("TOU - Peak charge",OP_Rates_RES_1[Rate name],0),MATCH(OP_CMAB!H$9,OP_Rates_RES_1[[#Headers],[Ausnet]:[United Energy]],0))*
INDEX(Input_UsageTOU[[F-CurrentVDO]:[F-NextVDO]],MATCH($D11&amp;" - Peak",Input_UsageTOU[Ref],0),MATCH($D$7,Inputs!$I$155:$M$155,0)))+
IFERROR((INDEX(OP_Rates_RES_1[[Ausnet]:[United Energy]],MATCH("TOU - Shoulder charge",OP_Rates_RES_1[Rate name],0),MATCH(OP_CMAB!H$9,OP_Rates_RES_1[[#Headers],[Ausnet]:[United Energy]],0))*
INDEX(Input_UsageTOU[[F-CurrentVDO]:[F-NextVDO]],MATCH($D11&amp;" - Shoulder",Input_UsageTOU[Ref],0),MATCH($D$7,Inputs!$I$155:$M$155,0))),0)+
(INDEX(OP_Rates_RES_1[[Ausnet]:[United Energy]],MATCH("TOU - Off peak charge",OP_Rates_RES_1[Rate name],0),MATCH(OP_CMAB!H$9,OP_Rates_RES_1[[#Headers],[Ausnet]:[United Energy]],0))*
INDEX(Input_UsageTOU[[F-CurrentVDO]:[F-NextVDO]],MATCH($D11&amp;" - Off-peak",Input_UsageTOU[Ref],0),MATCH($D$7,Inputs!$I$155:$M$155,0))),0),0,1))</f>
        <v>0</v>
      </c>
      <c r="I15" s="80">
        <f>IF($D$7="VDO 2021 - Final",
IF(I11=
ROUNDUP(
(INDEX(OP_Rates_RES_1[[Ausnet]:[United Energy]],MATCH("Anytime - supply charge",OP_Rates_RES_1[Rate name],0),MATCH(OP_CMAB!I$9,OP_Rates_RES_1[[#Headers],[Ausnet]:[United Energy]],0))*DiY)+
(IFERROR((INDEX(OP_Rates_RES_1[[Ausnet]:[United Energy]],MATCH("Anytime - Block 1 charge",OP_Rates_RES_1[Rate name],0),MATCH(OP_CMAB!I$9,OP_Rates_RES_1[[#Headers],[Ausnet]:[United Energy]],0))*
INDEX(Input_UsageAnytime[[F-CurrentVDO]:[F-NextVDO]],MATCH(OP_CMAB!$D11&amp;" - Block 1",Input_UsageAnytime[Ref],0),MATCH(OP_CMAB!$D$7,Inputs!$I$129:$M$129,0))),0)+
IFERROR((INDEX(OP_Rates_RES_1[[Ausnet]:[United Energy]],MATCH("Anytime - Balance charge",OP_Rates_RES_1[Rate name],0),MATCH(OP_CMAB!I$9,OP_Rates_RES_1[[#Headers],[Ausnet]:[United Energy]],0))*
INDEX(Input_UsageAnytime[[F-CurrentVDO]:[F-NextVDO]],MATCH(OP_CMAB!$D11&amp;" - Balance",Input_UsageAnytime[Ref],0),MATCH(OP_CMAB!$D$7,Inputs!$I$129:$M$129,0))),0)+
IFERROR((INDEX(OP_Rates_RES_1[[Ausnet]:[United Energy]],MATCH("Anytime - Single rate charge",OP_Rates_RES_1[Rate name],0),MATCH(OP_CMAB!I$9,OP_Rates_RES_1[[#Headers],[Ausnet]:[United Energy]],0))*
INDEX(Input_UsageAnytime[[F-CurrentVDO]:[F-NextVDO]],MATCH(OP_CMAB!$D11&amp;" - Annual",Input_UsageAnytime[Ref],0),MATCH(OP_CMAB!$D$7,Inputs!$I$129:$M$129,0))),0)),0),0,1),
IF(I11=
ROUNDUP(
(INDEX(OP_Rates_RES_1[[Ausnet]:[United Energy]],MATCH("TOU - supply charge",OP_Rates_RES_1[Rate name],0),MATCH(OP_CMAB!I$9,OP_Rates_RES_1[[#Headers],[Ausnet]:[United Energy]],0))*DiY)+
(INDEX(OP_Rates_RES_1[[Ausnet]:[United Energy]],MATCH("TOU - Peak charge",OP_Rates_RES_1[Rate name],0),MATCH(OP_CMAB!I$9,OP_Rates_RES_1[[#Headers],[Ausnet]:[United Energy]],0))*
INDEX(Input_UsageTOU[[F-CurrentVDO]:[F-NextVDO]],MATCH($D11&amp;" - Peak",Input_UsageTOU[Ref],0),MATCH($D$7,Inputs!$I$155:$M$155,0)))+
IFERROR((INDEX(OP_Rates_RES_1[[Ausnet]:[United Energy]],MATCH("TOU - Shoulder charge",OP_Rates_RES_1[Rate name],0),MATCH(OP_CMAB!I$9,OP_Rates_RES_1[[#Headers],[Ausnet]:[United Energy]],0))*
INDEX(Input_UsageTOU[[F-CurrentVDO]:[F-NextVDO]],MATCH($D11&amp;" - Shoulder",Input_UsageTOU[Ref],0),MATCH($D$7,Inputs!$I$155:$M$155,0))),0)+
(INDEX(OP_Rates_RES_1[[Ausnet]:[United Energy]],MATCH("TOU - Off peak charge",OP_Rates_RES_1[Rate name],0),MATCH(OP_CMAB!I$9,OP_Rates_RES_1[[#Headers],[Ausnet]:[United Energy]],0))*
INDEX(Input_UsageTOU[[F-CurrentVDO]:[F-NextVDO]],MATCH($D11&amp;" - Off-peak",Input_UsageTOU[Ref],0),MATCH($D$7,Inputs!$I$155:$M$155,0))),0),0,1))</f>
        <v>0</v>
      </c>
      <c r="M15" s="80">
        <f>IF($D$7="VDO 2021 - Final",
IF(M11=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INDEX(Input_UsageAnytime[[F-CurrentVDO]:[F-NextVDO]],MATCH(OP_CMAB!$L11&amp;" - Block 1",Input_UsageAnytime[Ref],0),MATCH(OP_CMAB!$D$7,Inputs!$I$129:$M$129,0))),0)+
IFERROR((INDEX(OP_Rates_SME_1[[Ausnet]:[United Energy]],MATCH("Anytime - Balance charge",OP_Rates_SME_1[Rate name],0),MATCH(OP_CMAB!M$9,OP_Rates_SME_1[[#Headers],[Ausnet]:[United Energy]],0))*
INDEX(Input_UsageAnytime[[F-CurrentVDO]:[F-NextVDO]],MATCH(OP_CMAB!$L11&amp;" - Balance",Input_UsageAnytime[Ref],0),MATCH(OP_CMAB!$D$7,Inputs!$I$129:$M$129,0))),0)+
IFERROR((INDEX(OP_Rates_SME_1[[Ausnet]:[United Energy]],MATCH("Anytime - Single rate charge",OP_Rates_SME_1[Rate name],0),MATCH(OP_CMAB!M$9,OP_Rates_SME_1[[#Headers],[Ausnet]:[United Energy]],0))*
INDEX(Input_UsageAnytime[[F-CurrentVDO]:[F-NextVDO]],MATCH(OP_CMAB!$L11&amp;" - Annual",Input_UsageAnytime[Ref],0),MATCH(OP_CMAB!$D$7,Inputs!$I$129:$M$129,0))),0)),0),0,1),
IF(M11=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INDEX(Input_UsageTOU[[F-CurrentVDO]:[F-NextVDO]],MATCH($L11&amp;" - Peak",Input_UsageTOU[Ref],0),MATCH($D$7,Inputs!$I$155:$M$155,0)))+
IFERROR((INDEX(OP_Rates_SME_1[[Ausnet]:[United Energy]],MATCH("TOU - Shoulder charge",OP_Rates_SME_1[Rate name],0),MATCH(OP_CMAB!M$9,OP_Rates_SME_1[[#Headers],[Ausnet]:[United Energy]],0))*
INDEX(Input_UsageTOU[[F-CurrentVDO]:[F-NextVDO]],MATCH($L11&amp;" - Shoulder",Input_UsageTOU[Ref],0),MATCH($D$7,Inputs!$I$155:$M$155,0))),0)+
(INDEX(OP_Rates_SME_1[[Ausnet]:[United Energy]],MATCH("TOU - Off peak charge",OP_Rates_SME_1[Rate name],0),MATCH(OP_CMAB!M$9,OP_Rates_SME_1[[#Headers],[Ausnet]:[United Energy]],0))*
INDEX(Input_UsageTOU[[F-CurrentVDO]:[F-NextVDO]],MATCH($L11&amp;" - Off-peak",Input_UsageTOU[Ref],0),MATCH($D$7,Inputs!$I$155:$M$155,0))),0),0,1))</f>
        <v>0</v>
      </c>
      <c r="N15" s="80">
        <f>IF($D$7="VDO 2021 - Final",
IF(N11=
ROUNDUP(
(INDEX(OP_Rates_SME_1[[Ausnet]:[United Energy]],MATCH("Anytime - supply charge",OP_Rates_SME_1[Rate name],0),MATCH(OP_CMAB!N$9,OP_Rates_SME_1[[#Headers],[Ausnet]:[United Energy]],0))*DiY)+
(IFERROR((INDEX(OP_Rates_SME_1[[Ausnet]:[United Energy]],MATCH("Anytime - Block 1 charge",OP_Rates_SME_1[Rate name],0),MATCH(OP_CMAB!N$9,OP_Rates_SME_1[[#Headers],[Ausnet]:[United Energy]],0))*
INDEX(Input_UsageAnytime[[F-CurrentVDO]:[F-NextVDO]],MATCH(OP_CMAB!$L11&amp;" - Block 1",Input_UsageAnytime[Ref],0),MATCH(OP_CMAB!$D$7,Inputs!$I$129:$M$129,0))),0)+
IFERROR((INDEX(OP_Rates_SME_1[[Ausnet]:[United Energy]],MATCH("Anytime - Balance charge",OP_Rates_SME_1[Rate name],0),MATCH(OP_CMAB!N$9,OP_Rates_SME_1[[#Headers],[Ausnet]:[United Energy]],0))*
INDEX(Input_UsageAnytime[[F-CurrentVDO]:[F-NextVDO]],MATCH(OP_CMAB!$L11&amp;" - Balance",Input_UsageAnytime[Ref],0),MATCH(OP_CMAB!$D$7,Inputs!$I$129:$M$129,0))),0)+
IFERROR((INDEX(OP_Rates_SME_1[[Ausnet]:[United Energy]],MATCH("Anytime - Single rate charge",OP_Rates_SME_1[Rate name],0),MATCH(OP_CMAB!N$9,OP_Rates_SME_1[[#Headers],[Ausnet]:[United Energy]],0))*
INDEX(Input_UsageAnytime[[F-CurrentVDO]:[F-NextVDO]],MATCH(OP_CMAB!$L11&amp;" - Annual",Input_UsageAnytime[Ref],0),MATCH(OP_CMAB!$D$7,Inputs!$I$129:$M$129,0))),0)),0),0,1),
IF(N11=
ROUNDUP(
(INDEX(OP_Rates_SME_1[[Ausnet]:[United Energy]],MATCH("TOU - supply charge",OP_Rates_SME_1[Rate name],0),MATCH(OP_CMAB!N$9,OP_Rates_SME_1[[#Headers],[Ausnet]:[United Energy]],0))*DiY)+
(INDEX(OP_Rates_SME_1[[Ausnet]:[United Energy]],MATCH("TOU - Peak charge",OP_Rates_SME_1[Rate name],0),MATCH(OP_CMAB!N$9,OP_Rates_SME_1[[#Headers],[Ausnet]:[United Energy]],0))*
INDEX(Input_UsageTOU[[F-CurrentVDO]:[F-NextVDO]],MATCH($L11&amp;" - Peak",Input_UsageTOU[Ref],0),MATCH($D$7,Inputs!$I$155:$M$155,0)))+
IFERROR((INDEX(OP_Rates_SME_1[[Ausnet]:[United Energy]],MATCH("TOU - Shoulder charge",OP_Rates_SME_1[Rate name],0),MATCH(OP_CMAB!N$9,OP_Rates_SME_1[[#Headers],[Ausnet]:[United Energy]],0))*
INDEX(Input_UsageTOU[[F-CurrentVDO]:[F-NextVDO]],MATCH($L11&amp;" - Shoulder",Input_UsageTOU[Ref],0),MATCH($D$7,Inputs!$I$155:$M$155,0))),0)+
(INDEX(OP_Rates_SME_1[[Ausnet]:[United Energy]],MATCH("TOU - Off peak charge",OP_Rates_SME_1[Rate name],0),MATCH(OP_CMAB!N$9,OP_Rates_SME_1[[#Headers],[Ausnet]:[United Energy]],0))*
INDEX(Input_UsageTOU[[F-CurrentVDO]:[F-NextVDO]],MATCH($L11&amp;" - Off-peak",Input_UsageTOU[Ref],0),MATCH($D$7,Inputs!$I$155:$M$155,0))),0),0,1))</f>
        <v>0</v>
      </c>
      <c r="O15" s="80">
        <f>IF($D$7="VDO 2021 - Final",
IF(O11=
ROUNDUP(
(INDEX(OP_Rates_SME_1[[Ausnet]:[United Energy]],MATCH("Anytime - supply charge",OP_Rates_SME_1[Rate name],0),MATCH(OP_CMAB!O$9,OP_Rates_SME_1[[#Headers],[Ausnet]:[United Energy]],0))*DiY)+
(IFERROR((INDEX(OP_Rates_SME_1[[Ausnet]:[United Energy]],MATCH("Anytime - Block 1 charge",OP_Rates_SME_1[Rate name],0),MATCH(OP_CMAB!O$9,OP_Rates_SME_1[[#Headers],[Ausnet]:[United Energy]],0))*
INDEX(Input_UsageAnytime[[F-CurrentVDO]:[F-NextVDO]],MATCH(OP_CMAB!$L11&amp;" - Block 1",Input_UsageAnytime[Ref],0),MATCH(OP_CMAB!$D$7,Inputs!$I$129:$M$129,0))),0)+
IFERROR((INDEX(OP_Rates_SME_1[[Ausnet]:[United Energy]],MATCH("Anytime - Balance charge",OP_Rates_SME_1[Rate name],0),MATCH(OP_CMAB!O$9,OP_Rates_SME_1[[#Headers],[Ausnet]:[United Energy]],0))*
INDEX(Input_UsageAnytime[[F-CurrentVDO]:[F-NextVDO]],MATCH(OP_CMAB!$L11&amp;" - Balance",Input_UsageAnytime[Ref],0),MATCH(OP_CMAB!$D$7,Inputs!$I$129:$M$129,0))),0)+
IFERROR((INDEX(OP_Rates_SME_1[[Ausnet]:[United Energy]],MATCH("Anytime - Single rate charge",OP_Rates_SME_1[Rate name],0),MATCH(OP_CMAB!O$9,OP_Rates_SME_1[[#Headers],[Ausnet]:[United Energy]],0))*
INDEX(Input_UsageAnytime[[F-CurrentVDO]:[F-NextVDO]],MATCH(OP_CMAB!$L11&amp;" - Annual",Input_UsageAnytime[Ref],0),MATCH(OP_CMAB!$D$7,Inputs!$I$129:$M$129,0))),0)),0),0,1),
IF(O11=
ROUNDUP(
(INDEX(OP_Rates_SME_1[[Ausnet]:[United Energy]],MATCH("TOU - supply charge",OP_Rates_SME_1[Rate name],0),MATCH(OP_CMAB!O$9,OP_Rates_SME_1[[#Headers],[Ausnet]:[United Energy]],0))*DiY)+
(INDEX(OP_Rates_SME_1[[Ausnet]:[United Energy]],MATCH("TOU - Peak charge",OP_Rates_SME_1[Rate name],0),MATCH(OP_CMAB!O$9,OP_Rates_SME_1[[#Headers],[Ausnet]:[United Energy]],0))*
INDEX(Input_UsageTOU[[F-CurrentVDO]:[F-NextVDO]],MATCH($L11&amp;" - Peak",Input_UsageTOU[Ref],0),MATCH($D$7,Inputs!$I$155:$M$155,0)))+
IFERROR((INDEX(OP_Rates_SME_1[[Ausnet]:[United Energy]],MATCH("TOU - Shoulder charge",OP_Rates_SME_1[Rate name],0),MATCH(OP_CMAB!O$9,OP_Rates_SME_1[[#Headers],[Ausnet]:[United Energy]],0))*
INDEX(Input_UsageTOU[[F-CurrentVDO]:[F-NextVDO]],MATCH($L11&amp;" - Shoulder",Input_UsageTOU[Ref],0),MATCH($D$7,Inputs!$I$155:$M$155,0))),0)+
(INDEX(OP_Rates_SME_1[[Ausnet]:[United Energy]],MATCH("TOU - Off peak charge",OP_Rates_SME_1[Rate name],0),MATCH(OP_CMAB!O$9,OP_Rates_SME_1[[#Headers],[Ausnet]:[United Energy]],0))*
INDEX(Input_UsageTOU[[F-CurrentVDO]:[F-NextVDO]],MATCH($L11&amp;" - Off-peak",Input_UsageTOU[Ref],0),MATCH($D$7,Inputs!$I$155:$M$155,0))),0),0,1))</f>
        <v>0</v>
      </c>
      <c r="P15" s="80">
        <f>IF($D$7="VDO 2021 - Final",
IF(P11=
ROUNDUP(
(INDEX(OP_Rates_SME_1[[Ausnet]:[United Energy]],MATCH("Anytime - supply charge",OP_Rates_SME_1[Rate name],0),MATCH(OP_CMAB!P$9,OP_Rates_SME_1[[#Headers],[Ausnet]:[United Energy]],0))*DiY)+
(IFERROR((INDEX(OP_Rates_SME_1[[Ausnet]:[United Energy]],MATCH("Anytime - Block 1 charge",OP_Rates_SME_1[Rate name],0),MATCH(OP_CMAB!P$9,OP_Rates_SME_1[[#Headers],[Ausnet]:[United Energy]],0))*
INDEX(Input_UsageAnytime[[F-CurrentVDO]:[F-NextVDO]],MATCH(OP_CMAB!$L11&amp;" - Block 1",Input_UsageAnytime[Ref],0),MATCH(OP_CMAB!$D$7,Inputs!$I$129:$M$129,0))),0)+
IFERROR((INDEX(OP_Rates_SME_1[[Ausnet]:[United Energy]],MATCH("Anytime - Balance charge",OP_Rates_SME_1[Rate name],0),MATCH(OP_CMAB!P$9,OP_Rates_SME_1[[#Headers],[Ausnet]:[United Energy]],0))*
INDEX(Input_UsageAnytime[[F-CurrentVDO]:[F-NextVDO]],MATCH(OP_CMAB!$L11&amp;" - Balance",Input_UsageAnytime[Ref],0),MATCH(OP_CMAB!$D$7,Inputs!$I$129:$M$129,0))),0)+
IFERROR((INDEX(OP_Rates_SME_1[[Ausnet]:[United Energy]],MATCH("Anytime - Single rate charge",OP_Rates_SME_1[Rate name],0),MATCH(OP_CMAB!P$9,OP_Rates_SME_1[[#Headers],[Ausnet]:[United Energy]],0))*
INDEX(Input_UsageAnytime[[F-CurrentVDO]:[F-NextVDO]],MATCH(OP_CMAB!$L11&amp;" - Annual",Input_UsageAnytime[Ref],0),MATCH(OP_CMAB!$D$7,Inputs!$I$129:$M$129,0))),0)),0),0,1),
IF(P11=
ROUNDUP(
(INDEX(OP_Rates_SME_1[[Ausnet]:[United Energy]],MATCH("TOU - supply charge",OP_Rates_SME_1[Rate name],0),MATCH(OP_CMAB!P$9,OP_Rates_SME_1[[#Headers],[Ausnet]:[United Energy]],0))*DiY)+
(INDEX(OP_Rates_SME_1[[Ausnet]:[United Energy]],MATCH("TOU - Peak charge",OP_Rates_SME_1[Rate name],0),MATCH(OP_CMAB!P$9,OP_Rates_SME_1[[#Headers],[Ausnet]:[United Energy]],0))*
INDEX(Input_UsageTOU[[F-CurrentVDO]:[F-NextVDO]],MATCH($L11&amp;" - Peak",Input_UsageTOU[Ref],0),MATCH($D$7,Inputs!$I$155:$M$155,0)))+
IFERROR((INDEX(OP_Rates_SME_1[[Ausnet]:[United Energy]],MATCH("TOU - Shoulder charge",OP_Rates_SME_1[Rate name],0),MATCH(OP_CMAB!P$9,OP_Rates_SME_1[[#Headers],[Ausnet]:[United Energy]],0))*
INDEX(Input_UsageTOU[[F-CurrentVDO]:[F-NextVDO]],MATCH($L11&amp;" - Shoulder",Input_UsageTOU[Ref],0),MATCH($D$7,Inputs!$I$155:$M$155,0))),0)+
(INDEX(OP_Rates_SME_1[[Ausnet]:[United Energy]],MATCH("TOU - Off peak charge",OP_Rates_SME_1[Rate name],0),MATCH(OP_CMAB!P$9,OP_Rates_SME_1[[#Headers],[Ausnet]:[United Energy]],0))*
INDEX(Input_UsageTOU[[F-CurrentVDO]:[F-NextVDO]],MATCH($L11&amp;" - Off-peak",Input_UsageTOU[Ref],0),MATCH($D$7,Inputs!$I$155:$M$155,0))),0),0,1))</f>
        <v>0</v>
      </c>
      <c r="Q15" s="80">
        <f>IF($D$7="VDO 2021 - Final",
IF(Q11=
ROUNDUP(
(INDEX(OP_Rates_SME_1[[Ausnet]:[United Energy]],MATCH("Anytime - supply charge",OP_Rates_SME_1[Rate name],0),MATCH(OP_CMAB!Q$9,OP_Rates_SME_1[[#Headers],[Ausnet]:[United Energy]],0))*DiY)+
(IFERROR((INDEX(OP_Rates_SME_1[[Ausnet]:[United Energy]],MATCH("Anytime - Block 1 charge",OP_Rates_SME_1[Rate name],0),MATCH(OP_CMAB!Q$9,OP_Rates_SME_1[[#Headers],[Ausnet]:[United Energy]],0))*
INDEX(Input_UsageAnytime[[F-CurrentVDO]:[F-NextVDO]],MATCH(OP_CMAB!$L11&amp;" - Block 1",Input_UsageAnytime[Ref],0),MATCH(OP_CMAB!$D$7,Inputs!$I$129:$M$129,0))),0)+
IFERROR((INDEX(OP_Rates_SME_1[[Ausnet]:[United Energy]],MATCH("Anytime - Balance charge",OP_Rates_SME_1[Rate name],0),MATCH(OP_CMAB!Q$9,OP_Rates_SME_1[[#Headers],[Ausnet]:[United Energy]],0))*
INDEX(Input_UsageAnytime[[F-CurrentVDO]:[F-NextVDO]],MATCH(OP_CMAB!$L11&amp;" - Balance",Input_UsageAnytime[Ref],0),MATCH(OP_CMAB!$D$7,Inputs!$I$129:$M$129,0))),0)+
IFERROR((INDEX(OP_Rates_SME_1[[Ausnet]:[United Energy]],MATCH("Anytime - Single rate charge",OP_Rates_SME_1[Rate name],0),MATCH(OP_CMAB!Q$9,OP_Rates_SME_1[[#Headers],[Ausnet]:[United Energy]],0))*
INDEX(Input_UsageAnytime[[F-CurrentVDO]:[F-NextVDO]],MATCH(OP_CMAB!$L11&amp;" - Annual",Input_UsageAnytime[Ref],0),MATCH(OP_CMAB!$D$7,Inputs!$I$129:$M$129,0))),0)),0),0,1),
IF(Q11=
ROUNDUP(
(INDEX(OP_Rates_SME_1[[Ausnet]:[United Energy]],MATCH("TOU - supply charge",OP_Rates_SME_1[Rate name],0),MATCH(OP_CMAB!Q$9,OP_Rates_SME_1[[#Headers],[Ausnet]:[United Energy]],0))*DiY)+
(INDEX(OP_Rates_SME_1[[Ausnet]:[United Energy]],MATCH("TOU - Peak charge",OP_Rates_SME_1[Rate name],0),MATCH(OP_CMAB!Q$9,OP_Rates_SME_1[[#Headers],[Ausnet]:[United Energy]],0))*
INDEX(Input_UsageTOU[[F-CurrentVDO]:[F-NextVDO]],MATCH($L11&amp;" - Peak",Input_UsageTOU[Ref],0),MATCH($D$7,Inputs!$I$155:$M$155,0)))+
IFERROR((INDEX(OP_Rates_SME_1[[Ausnet]:[United Energy]],MATCH("TOU - Shoulder charge",OP_Rates_SME_1[Rate name],0),MATCH(OP_CMAB!Q$9,OP_Rates_SME_1[[#Headers],[Ausnet]:[United Energy]],0))*
INDEX(Input_UsageTOU[[F-CurrentVDO]:[F-NextVDO]],MATCH($L11&amp;" - Shoulder",Input_UsageTOU[Ref],0),MATCH($D$7,Inputs!$I$155:$M$155,0))),0)+
(INDEX(OP_Rates_SME_1[[Ausnet]:[United Energy]],MATCH("TOU - Off peak charge",OP_Rates_SME_1[Rate name],0),MATCH(OP_CMAB!Q$9,OP_Rates_SME_1[[#Headers],[Ausnet]:[United Energy]],0))*
INDEX(Input_UsageTOU[[F-CurrentVDO]:[F-NextVDO]],MATCH($L11&amp;" - Off-peak",Input_UsageTOU[Ref],0),MATCH($D$7,Inputs!$I$155:$M$155,0))),0),0,1))</f>
        <v>0</v>
      </c>
    </row>
    <row r="16" spans="1:18" ht="15.5" hidden="1" x14ac:dyDescent="0.35">
      <c r="E16" s="80">
        <f>IF($D$7="VDO 2021 - Final",
IF(E12=
ROUNDUP(
(INDEX(OP_Rates_RES_1[[Ausnet]:[United Energy]],MATCH("Anytime - supply charge",OP_Rates_RES_1[Rate name],0),MATCH(OP_CMAB!E$9,OP_Rates_RES_1[[#Headers],[Ausnet]:[United Energy]],0))*DiY)+
(IFERROR((INDEX(OP_Rates_RES_1[[Ausnet]:[United Energy]],MATCH("Anytime - Block 1 charge",OP_Rates_RES_1[Rate name],0),MATCH(OP_CMAB!E$9,OP_Rates_RES_1[[#Headers],[Ausnet]:[United Energy]],0))*
INDEX(Input_UsageAnytime[[F-CurrentVDO]:[F-NextVDO]],MATCH(OP_CMAB!$D12&amp;" - Block 1",Input_UsageAnytime[Ref],0),MATCH(OP_CMAB!$D$7,Inputs!$I$129:$M$129,0))),0)+
IFERROR((INDEX(OP_Rates_RES_1[[Ausnet]:[United Energy]],MATCH("Anytime - Balance charge",OP_Rates_RES_1[Rate name],0),MATCH(OP_CMAB!E$9,OP_Rates_RES_1[[#Headers],[Ausnet]:[United Energy]],0))*
INDEX(Input_UsageAnytime[[F-CurrentVDO]:[F-NextVDO]],MATCH(OP_CMAB!$D12&amp;" - Balance",Input_UsageAnytime[Ref],0),MATCH(OP_CMAB!$D$7,Inputs!$I$129:$M$129,0))),0)+
IFERROR((INDEX(OP_Rates_RES_1[[Ausnet]:[United Energy]],MATCH("Anytime - Single rate charge",OP_Rates_RES_1[Rate name],0),MATCH(OP_CMAB!E$9,OP_Rates_RES_1[[#Headers],[Ausnet]:[United Energy]],0))*
INDEX(Input_UsageAnytime[[F-CurrentVDO]:[F-NextVDO]],MATCH(OP_CMAB!$D12&amp;" - Annual",Input_UsageAnytime[Ref],0),MATCH(OP_CMAB!$D$7,Inputs!$I$129:$M$129,0))),0)),0),0,1),
IF(E12=
ROUNDUP(
(INDEX(OP_Rates_RES_1[[Ausnet]:[United Energy]],MATCH("TOU - supply charge",OP_Rates_RES_1[Rate name],0),MATCH(OP_CMAB!E$9,OP_Rates_RES_1[[#Headers],[Ausnet]:[United Energy]],0))*DiY)+
(INDEX(OP_Rates_RES_1[[Ausnet]:[United Energy]],MATCH("TOU - Peak charge",OP_Rates_RES_1[Rate name],0),MATCH(OP_CMAB!E$9,OP_Rates_RES_1[[#Headers],[Ausnet]:[United Energy]],0))*
INDEX(Input_UsageTOU[[F-CurrentVDO]:[F-NextVDO]],MATCH($D12&amp;" - Peak",Input_UsageTOU[[Ref]:[Ref]],0),MATCH($D$7,Inputs!$I$155:$M$155,0)))+
IFERROR((INDEX(OP_Rates_RES_1[[Ausnet]:[United Energy]],MATCH("TOU - Shoulder charge",OP_Rates_RES_1[[Rate name]:[Rate name]],0),MATCH(OP_CMAB!E$9,OP_Rates_RES_1[[#Headers],[Ausnet]:[United Energy]],0))*
INDEX(Input_UsageTOU[[F-CurrentVDO]:[F-NextVDO]],MATCH($D12&amp;" - Shoulder",Input_UsageTOU[[Ref]:[Ref]],0),MATCH($D$7,Inputs!$I$155:$M$155,0))),0)+
(INDEX(OP_Rates_RES_1[[Ausnet]:[United Energy]],MATCH("TOU - Off peak charge",OP_Rates_RES_1[[Rate name]:[Rate name]],0),MATCH(OP_CMAB!E$9,OP_Rates_RES_1[[#Headers],[Ausnet]:[United Energy]],0))*
INDEX(Input_UsageTOU[[F-CurrentVDO]:[F-NextVDO]],MATCH($D12&amp;" - Off-peak",Input_UsageTOU[[Ref]:[Ref]],0),MATCH($D$7,Inputs!$I$155:$M$155,0))),0),0,1))</f>
        <v>0</v>
      </c>
      <c r="F16" s="80">
        <f>IF($D$7="VDO 2021 - Final",
IF(F12=
ROUNDUP(
(INDEX(OP_Rates_RES_1[[Ausnet]:[United Energy]],MATCH("Anytime - supply charge",OP_Rates_RES_1[[Rate name]:[Rate name]],0),MATCH(OP_CMAB!F$9,OP_Rates_RES_1[[#Headers],[Ausnet]:[United Energy]],0))*DiY)+
(IFERROR((INDEX(OP_Rates_RES_1[[Ausnet]:[United Energy]],MATCH("Anytime - Block 1 charge",OP_Rates_RES_1[[Rate name]:[Rate name]],0),MATCH(OP_CMAB!F$9,OP_Rates_RES_1[[#Headers],[Ausnet]:[United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name]],0),MATCH(OP_CMAB!F$9,OP_Rates_RES_1[[#Headers],[Ausnet]:[United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name]],0),MATCH(OP_CMAB!F$9,OP_Rates_RES_1[[#Headers],[Ausnet]:[United Energy]],0))*
INDEX(Input_UsageAnytime[[F-CurrentVDO]:[F-NextVDO]],MATCH(OP_CMAB!$D12&amp;" - Annual",Input_UsageAnytime[[Ref]:[Ref]],0),MATCH(OP_CMAB!$D$7,Inputs!$I$129:$M$129,0))),0)),0),0,1),
IF(F12=
ROUNDUP(
(INDEX(OP_Rates_RES_1[[Ausnet]:[United Energy]],MATCH("TOU - supply charge",OP_Rates_RES_1[[Rate name]:[Rate name]],0),MATCH(OP_CMAB!F$9,OP_Rates_RES_1[[#Headers],[Ausnet]:[United Energy]],0))*DiY)+
(INDEX(OP_Rates_RES_1[[Ausnet]:[United Energy]],MATCH("TOU - Peak charge",OP_Rates_RES_1[[Rate name]:[Rate name]],0),MATCH(OP_CMAB!F$9,OP_Rates_RES_1[[#Headers],[Ausnet]:[United Energy]],0))*
INDEX(Input_UsageTOU[[F-CurrentVDO]:[F-NextVDO]],MATCH($D12&amp;" - Peak",Input_UsageTOU[[Ref]:[Ref]],0),MATCH($D$7,Inputs!$I$155:$M$155,0)))+
IFERROR((INDEX(OP_Rates_RES_1[[Ausnet]:[United Energy]],MATCH("TOU - Shoulder charge",OP_Rates_RES_1[[Rate name]:[Rate name]],0),MATCH(OP_CMAB!F$9,OP_Rates_RES_1[[#Headers],[Ausnet]:[United Energy]],0))*
INDEX(Input_UsageTOU[[F-CurrentVDO]:[F-NextVDO]],MATCH($D12&amp;" - Shoulder",Input_UsageTOU[[Ref]:[Ref]],0),MATCH($D$7,Inputs!$I$155:$M$155,0))),0)+
(INDEX(OP_Rates_RES_1[[Ausnet]:[United Energy]],MATCH("TOU - Off peak charge",OP_Rates_RES_1[[Rate name]:[Rate name]],0),MATCH(OP_CMAB!F$9,OP_Rates_RES_1[[#Headers],[Ausnet]:[United Energy]],0))*
INDEX(Input_UsageTOU[[F-CurrentVDO]:[F-NextVDO]],MATCH($D12&amp;" - Off-peak",Input_UsageTOU[[Ref]:[Ref]],0),MATCH($D$7,Inputs!$I$155:$M$155,0))),0),0,1))</f>
        <v>0</v>
      </c>
      <c r="G16" s="80">
        <f>IF($D$7="VDO 2021 - Final",
IF(G12=
ROUNDUP(
(INDEX(OP_Rates_RES_1[[Ausnet]:[United Energy]],MATCH("Anytime - supply charge",OP_Rates_RES_1[[Rate name]:[Rate name]],0),MATCH(OP_CMAB!G$9,OP_Rates_RES_1[[#Headers],[Ausnet]:[United Energy]],0))*DiY)+
(IFERROR((INDEX(OP_Rates_RES_1[[Ausnet]:[United Energy]],MATCH("Anytime - Block 1 charge",OP_Rates_RES_1[[Rate name]:[Rate name]],0),MATCH(OP_CMAB!G$9,OP_Rates_RES_1[[#Headers],[Ausnet]:[United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name]],0),MATCH(OP_CMAB!G$9,OP_Rates_RES_1[[#Headers],[Ausnet]:[United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name]],0),MATCH(OP_CMAB!G$9,OP_Rates_RES_1[[#Headers],[Ausnet]:[United Energy]],0))*
INDEX(Input_UsageAnytime[[F-CurrentVDO]:[F-NextVDO]],MATCH(OP_CMAB!$D12&amp;" - Annual",Input_UsageAnytime[[Ref]:[Ref]],0),MATCH(OP_CMAB!$D$7,Inputs!$I$129:$M$129,0))),0)),0),0,1),
IF(G12=
ROUNDUP(
(INDEX(OP_Rates_RES_1[[Ausnet]:[United Energy]],MATCH("TOU - supply charge",OP_Rates_RES_1[[Rate name]:[Rate name]],0),MATCH(OP_CMAB!G$9,OP_Rates_RES_1[[#Headers],[Ausnet]:[United Energy]],0))*DiY)+
(INDEX(OP_Rates_RES_1[[Ausnet]:[United Energy]],MATCH("TOU - Peak charge",OP_Rates_RES_1[[Rate name]:[Rate name]],0),MATCH(OP_CMAB!G$9,OP_Rates_RES_1[[#Headers],[Ausnet]:[United Energy]],0))*
INDEX(Input_UsageTOU[[F-CurrentVDO]:[F-NextVDO]],MATCH($D12&amp;" - Peak",Input_UsageTOU[[Ref]:[Ref]],0),MATCH($D$7,Inputs!$I$155:$M$155,0)))+
IFERROR((INDEX(OP_Rates_RES_1[[Ausnet]:[United Energy]],MATCH("TOU - Shoulder charge",OP_Rates_RES_1[[Rate name]:[Rate name]],0),MATCH(OP_CMAB!G$9,OP_Rates_RES_1[[#Headers],[Ausnet]:[United Energy]],0))*
INDEX(Input_UsageTOU[[F-CurrentVDO]:[F-NextVDO]],MATCH($D12&amp;" - Shoulder",Input_UsageTOU[[Ref]:[Ref]],0),MATCH($D$7,Inputs!$I$155:$M$155,0))),0)+
(INDEX(OP_Rates_RES_1[[Ausnet]:[United Energy]],MATCH("TOU - Off peak charge",OP_Rates_RES_1[[Rate name]:[Rate name]],0),MATCH(OP_CMAB!G$9,OP_Rates_RES_1[[#Headers],[Ausnet]:[United Energy]],0))*
INDEX(Input_UsageTOU[[F-CurrentVDO]:[F-NextVDO]],MATCH($D12&amp;" - Off-peak",Input_UsageTOU[[Ref]:[Ref]],0),MATCH($D$7,Inputs!$I$155:$M$155,0))),0),0,1))</f>
        <v>0</v>
      </c>
      <c r="H16" s="80">
        <f>IF($D$7="VDO 2021 - Final",
IF(H12=
ROUNDUP(
(INDEX(OP_Rates_RES_1[[Ausnet]:[United Energy]],MATCH("Anytime - supply charge",OP_Rates_RES_1[[Rate name]:[Rate name]],0),MATCH(OP_CMAB!H$9,OP_Rates_RES_1[[#Headers],[Ausnet]:[United Energy]],0))*DiY)+
(IFERROR((INDEX(OP_Rates_RES_1[[Ausnet]:[United Energy]],MATCH("Anytime - Block 1 charge",OP_Rates_RES_1[[Rate name]:[Rate name]],0),MATCH(OP_CMAB!H$9,OP_Rates_RES_1[[#Headers],[Ausnet]:[United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name]],0),MATCH(OP_CMAB!H$9,OP_Rates_RES_1[[#Headers],[Ausnet]:[United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name]],0),MATCH(OP_CMAB!H$9,OP_Rates_RES_1[[#Headers],[Ausnet]:[United Energy]],0))*
INDEX(Input_UsageAnytime[[F-CurrentVDO]:[F-NextVDO]],MATCH(OP_CMAB!$D12&amp;" - Annual",Input_UsageAnytime[[Ref]:[Ref]],0),MATCH(OP_CMAB!$D$7,Inputs!$I$129:$M$129,0))),0)),0),0,1),
IF(H12=
ROUNDUP(
(INDEX(OP_Rates_RES_1[[Ausnet]:[United Energy]],MATCH("TOU - supply charge",OP_Rates_RES_1[[Rate name]:[Rate name]],0),MATCH(OP_CMAB!H$9,OP_Rates_RES_1[[#Headers],[Ausnet]:[United Energy]],0))*DiY)+
(INDEX(OP_Rates_RES_1[[Ausnet]:[United Energy]],MATCH("TOU - Peak charge",OP_Rates_RES_1[[Rate name]:[Rate name]],0),MATCH(OP_CMAB!H$9,OP_Rates_RES_1[[#Headers],[Ausnet]:[United Energy]],0))*
INDEX(Input_UsageTOU[[F-CurrentVDO]:[F-NextVDO]],MATCH($D12&amp;" - Peak",Input_UsageTOU[[Ref]:[Ref]],0),MATCH($D$7,Inputs!$I$155:$M$155,0)))+
IFERROR((INDEX(OP_Rates_RES_1[[Ausnet]:[United Energy]],MATCH("TOU - Shoulder charge",OP_Rates_RES_1[[Rate name]:[Rate name]],0),MATCH(OP_CMAB!H$9,OP_Rates_RES_1[[#Headers],[Ausnet]:[United Energy]],0))*
INDEX(Input_UsageTOU[[F-CurrentVDO]:[F-NextVDO]],MATCH($D12&amp;" - Shoulder",Input_UsageTOU[[Ref]:[Ref]],0),MATCH($D$7,Inputs!$I$155:$M$155,0))),0)+
(INDEX(OP_Rates_RES_1[[Ausnet]:[United Energy]],MATCH("TOU - Off peak charge",OP_Rates_RES_1[[Rate name]:[Rate name]],0),MATCH(OP_CMAB!H$9,OP_Rates_RES_1[[#Headers],[Ausnet]:[United Energy]],0))*
INDEX(Input_UsageTOU[[F-CurrentVDO]:[F-NextVDO]],MATCH($D12&amp;" - Off-peak",Input_UsageTOU[[Ref]:[Ref]],0),MATCH($D$7,Inputs!$I$155:$M$155,0))),0),0,1))</f>
        <v>0</v>
      </c>
      <c r="I16" s="80">
        <f>IF($D$7="VDO 2021 - Final",
IF(I12=
ROUNDUP(
(INDEX(OP_Rates_RES_1[[Ausnet]:[United Energy]],MATCH("Anytime - supply charge",OP_Rates_RES_1[[Rate name]:[Rate name]],0),MATCH(OP_CMAB!I$9,OP_Rates_RES_1[[#Headers],[Ausnet]:[United Energy]],0))*DiY)+
(IFERROR((INDEX(OP_Rates_RES_1[[Ausnet]:[United Energy]],MATCH("Anytime - Block 1 charge",OP_Rates_RES_1[[Rate name]:[Rate name]],0),MATCH(OP_CMAB!I$9,OP_Rates_RES_1[[#Headers],[Ausnet]:[United Energy]],0))*
INDEX(Input_UsageAnytime[[F-CurrentVDO]:[F-NextVDO]],MATCH(OP_CMAB!$D12&amp;" - Block 1",Input_UsageAnytime[[Ref]:[Ref]],0),MATCH(OP_CMAB!$D$7,Inputs!$I$129:$M$129,0))),0)+
IFERROR((INDEX(OP_Rates_RES_1[[Ausnet]:[United Energy]],MATCH("Anytime - Balance charge",OP_Rates_RES_1[[Rate name]:[Rate name]],0),MATCH(OP_CMAB!I$9,OP_Rates_RES_1[[#Headers],[Ausnet]:[United Energy]],0))*
INDEX(Input_UsageAnytime[[F-CurrentVDO]:[F-NextVDO]],MATCH(OP_CMAB!$D12&amp;" - Balance",Input_UsageAnytime[[Ref]:[Ref]],0),MATCH(OP_CMAB!$D$7,Inputs!$I$129:$M$129,0))),0)+
IFERROR((INDEX(OP_Rates_RES_1[[Ausnet]:[United Energy]],MATCH("Anytime - Single rate charge",OP_Rates_RES_1[[Rate name]:[Rate name]],0),MATCH(OP_CMAB!I$9,OP_Rates_RES_1[[#Headers],[Ausnet]:[United Energy]],0))*
INDEX(Input_UsageAnytime[[F-CurrentVDO]:[F-NextVDO]],MATCH(OP_CMAB!$D12&amp;" - Annual",Input_UsageAnytime[[Ref]:[Ref]],0),MATCH(OP_CMAB!$D$7,Inputs!$I$129:$M$129,0))),0)),0),0,1),
IF(I12=
ROUNDUP(
(INDEX(OP_Rates_RES_1[[Ausnet]:[United Energy]],MATCH("TOU - supply charge",OP_Rates_RES_1[[Rate name]:[Rate name]],0),MATCH(OP_CMAB!I$9,OP_Rates_RES_1[[#Headers],[Ausnet]:[United Energy]],0))*DiY)+
(INDEX(OP_Rates_RES_1[[Ausnet]:[United Energy]],MATCH("TOU - Peak charge",OP_Rates_RES_1[[Rate name]:[Rate name]],0),MATCH(OP_CMAB!I$9,OP_Rates_RES_1[[#Headers],[Ausnet]:[United Energy]],0))*
INDEX(Input_UsageTOU[[F-CurrentVDO]:[F-NextVDO]],MATCH($D12&amp;" - Peak",Input_UsageTOU[[Ref]:[Ref]],0),MATCH($D$7,Inputs!$I$155:$M$155,0)))+
IFERROR((INDEX(OP_Rates_RES_1[[Ausnet]:[United Energy]],MATCH("TOU - Shoulder charge",OP_Rates_RES_1[[Rate name]:[Rate name]],0),MATCH(OP_CMAB!I$9,OP_Rates_RES_1[[#Headers],[Ausnet]:[United Energy]],0))*
INDEX(Input_UsageTOU[[F-CurrentVDO]:[F-NextVDO]],MATCH($D12&amp;" - Shoulder",Input_UsageTOU[[Ref]:[Ref]],0),MATCH($D$7,Inputs!$I$155:$M$155,0))),0)+
(INDEX(OP_Rates_RES_1[[Ausnet]:[United Energy]],MATCH("TOU - Off peak charge",OP_Rates_RES_1[[Rate name]:[Rate name]],0),MATCH(OP_CMAB!I$9,OP_Rates_RES_1[[#Headers],[Ausnet]:[United Energy]],0))*
INDEX(Input_UsageTOU[[F-CurrentVDO]:[F-NextVDO]],MATCH($D12&amp;" - Off-peak",Input_UsageTOU[[Ref]:[Ref]],0),MATCH($D$7,Inputs!$I$155:$M$155,0))),0),0,1))</f>
        <v>0</v>
      </c>
      <c r="M16" s="80">
        <f>IF($D$7="VDO 2021 - Final",
IF(M12=
ROUNDUP(
(INDEX(OP_Rates_SME_1[[Ausnet]:[United Energy]],MATCH("Anytime - supply charge",OP_Rates_SME_1[Rate name],0),MATCH(OP_CMAB!M$9,OP_Rates_SME_1[[#Headers],[Ausnet]:[United Energy]],0))*DiY)+
(IFERROR((INDEX(OP_Rates_SME_1[[Ausnet]:[United Energy]],MATCH("Anytime - Block 1 charge",OP_Rates_SME_1[Rate name],0),MATCH(OP_CMAB!M$9,OP_Rates_SME_1[[#Headers],[Ausnet]:[United Energy]],0))*
INDEX(Input_UsageAnytime[[F-CurrentVDO]:[F-NextVDO]],MATCH(OP_CMAB!$L12&amp;" - Block 1",Input_UsageAnytime[Ref],0),MATCH(OP_CMAB!$D$7,Inputs!$I$129:$M$129,0))),0)+
IFERROR((INDEX(OP_Rates_SME_1[[Ausnet]:[United Energy]],MATCH("Anytime - Balance charge",OP_Rates_SME_1[Rate name],0),MATCH(OP_CMAB!M$9,OP_Rates_SME_1[[#Headers],[Ausnet]:[United Energy]],0))*
INDEX(Input_UsageAnytime[[F-CurrentVDO]:[F-NextVDO]],MATCH(OP_CMAB!$L12&amp;" - Balance",Input_UsageAnytime[Ref],0),MATCH(OP_CMAB!$D$7,Inputs!$I$129:$M$129,0))),0)+
IFERROR((INDEX(OP_Rates_SME_1[[Ausnet]:[United Energy]],MATCH("Anytime - Single rate charge",OP_Rates_SME_1[Rate name],0),MATCH(OP_CMAB!M$9,OP_Rates_SME_1[[#Headers],[Ausnet]:[United Energy]],0))*
INDEX(Input_UsageAnytime[[F-CurrentVDO]:[F-NextVDO]],MATCH(OP_CMAB!$L12&amp;" - Annual",Input_UsageAnytime[Ref],0),MATCH(OP_CMAB!$D$7,Inputs!$I$129:$M$129,0))),0)),0),0,1),
IF(M12=
ROUNDUP(
(INDEX(OP_Rates_SME_1[[Ausnet]:[United Energy]],MATCH("TOU - supply charge",OP_Rates_SME_1[Rate name],0),MATCH(OP_CMAB!M$9,OP_Rates_SME_1[[#Headers],[Ausnet]:[United Energy]],0))*DiY)+
(INDEX(OP_Rates_SME_1[[Ausnet]:[United Energy]],MATCH("TOU - Peak charge",OP_Rates_SME_1[Rate name],0),MATCH(OP_CMAB!M$9,OP_Rates_SME_1[[#Headers],[Ausnet]:[United Energy]],0))*
INDEX(Input_UsageTOU[[F-CurrentVDO]:[F-NextVDO]],MATCH($L12&amp;" - Peak",Input_UsageTOU[[Ref]:[Ref]],0),MATCH($D$7,Inputs!$I$155:$M$155,0)))+
IFERROR((INDEX(OP_Rates_SME_1[[Ausnet]:[United Energy]],MATCH("TOU - Shoulder charge",OP_Rates_SME_1[[Rate name]:[Rate name]],0),MATCH(OP_CMAB!M$9,OP_Rates_SME_1[[#Headers],[Ausnet]:[United Energy]],0))*
INDEX(Input_UsageTOU[[F-CurrentVDO]:[F-NextVDO]],MATCH($L12&amp;" - Shoulder",Input_UsageTOU[[Ref]:[Ref]],0),MATCH($D$7,Inputs!$I$155:$M$155,0))),0)+
(INDEX(OP_Rates_SME_1[[Ausnet]:[United Energy]],MATCH("TOU - Off peak charge",OP_Rates_SME_1[[Rate name]:[Rate name]],0),MATCH(OP_CMAB!M$9,OP_Rates_SME_1[[#Headers],[Ausnet]:[United Energy]],0))*
INDEX(Input_UsageTOU[[F-CurrentVDO]:[F-NextVDO]],MATCH($L12&amp;" - Off-peak",Input_UsageTOU[[Ref]:[Ref]],0),MATCH($D$7,Inputs!$I$155:$M$155,0))),0),0,1))</f>
        <v>0</v>
      </c>
      <c r="N16" s="80">
        <f>IF($D$7="VDO 2021 - Final",
IF(N12=
ROUNDUP(
(INDEX(OP_Rates_SME_1[[Ausnet]:[United Energy]],MATCH("Anytime - supply charge",OP_Rates_SME_1[[Rate name]:[Rate name]],0),MATCH(OP_CMAB!N$9,OP_Rates_SME_1[[#Headers],[Ausnet]:[United Energy]],0))*DiY)+
(IFERROR((INDEX(OP_Rates_SME_1[[Ausnet]:[United Energy]],MATCH("Anytime - Block 1 charge",OP_Rates_SME_1[[Rate name]:[Rate name]],0),MATCH(OP_CMAB!N$9,OP_Rates_SME_1[[#Headers],[Ausnet]:[United Energy]],0))*
INDEX(Input_UsageAnytime[[F-CurrentVDO]:[F-NextVDO]],MATCH(OP_CMAB!$L12&amp;" - Block 1",Input_UsageAnytime[[Ref]:[Ref]],0),MATCH(OP_CMAB!$D$7,Inputs!$I$129:$M$129,0))),0)+
IFERROR((INDEX(OP_Rates_SME_1[[Ausnet]:[United Energy]],MATCH("Anytime - Balance charge",OP_Rates_SME_1[[Rate name]:[Rate name]],0),MATCH(OP_CMAB!N$9,OP_Rates_SME_1[[#Headers],[Ausnet]:[United Energy]],0))*
INDEX(Input_UsageAnytime[[F-CurrentVDO]:[F-NextVDO]],MATCH(OP_CMAB!$L12&amp;" - Balance",Input_UsageAnytime[[Ref]:[Ref]],0),MATCH(OP_CMAB!$D$7,Inputs!$I$129:$M$129,0))),0)+
IFERROR((INDEX(OP_Rates_SME_1[[Ausnet]:[United Energy]],MATCH("Anytime - Single rate charge",OP_Rates_SME_1[[Rate name]:[Rate name]],0),MATCH(OP_CMAB!N$9,OP_Rates_SME_1[[#Headers],[Ausnet]:[United Energy]],0))*
INDEX(Input_UsageAnytime[[F-CurrentVDO]:[F-NextVDO]],MATCH(OP_CMAB!$L12&amp;" - Annual",Input_UsageAnytime[[Ref]:[Ref]],0),MATCH(OP_CMAB!$D$7,Inputs!$I$129:$M$129,0))),0)),0),0,1),
IF(N12=
ROUNDUP(
(INDEX(OP_Rates_SME_1[[Ausnet]:[United Energy]],MATCH("TOU - supply charge",OP_Rates_SME_1[[Rate name]:[Rate name]],0),MATCH(OP_CMAB!N$9,OP_Rates_SME_1[[#Headers],[Ausnet]:[United Energy]],0))*DiY)+
(INDEX(OP_Rates_SME_1[[Ausnet]:[United Energy]],MATCH("TOU - Peak charge",OP_Rates_SME_1[[Rate name]:[Rate name]],0),MATCH(OP_CMAB!N$9,OP_Rates_SME_1[[#Headers],[Ausnet]:[United Energy]],0))*
INDEX(Input_UsageTOU[[F-CurrentVDO]:[F-NextVDO]],MATCH($L12&amp;" - Peak",Input_UsageTOU[[Ref]:[Ref]],0),MATCH($D$7,Inputs!$I$155:$M$155,0)))+
IFERROR((INDEX(OP_Rates_SME_1[[Ausnet]:[United Energy]],MATCH("TOU - Shoulder charge",OP_Rates_SME_1[[Rate name]:[Rate name]],0),MATCH(OP_CMAB!N$9,OP_Rates_SME_1[[#Headers],[Ausnet]:[United Energy]],0))*
INDEX(Input_UsageTOU[[F-CurrentVDO]:[F-NextVDO]],MATCH($L12&amp;" - Shoulder",Input_UsageTOU[[Ref]:[Ref]],0),MATCH($D$7,Inputs!$I$155:$M$155,0))),0)+
(INDEX(OP_Rates_SME_1[[Ausnet]:[United Energy]],MATCH("TOU - Off peak charge",OP_Rates_SME_1[[Rate name]:[Rate name]],0),MATCH(OP_CMAB!N$9,OP_Rates_SME_1[[#Headers],[Ausnet]:[United Energy]],0))*
INDEX(Input_UsageTOU[[F-CurrentVDO]:[F-NextVDO]],MATCH($L12&amp;" - Off-peak",Input_UsageTOU[[Ref]:[Ref]],0),MATCH($D$7,Inputs!$I$155:$M$155,0))),0),0,1))</f>
        <v>0</v>
      </c>
      <c r="O16" s="80">
        <f>IF($D$7="VDO 2021 - Final",
IF(O12=
ROUNDUP(
(INDEX(OP_Rates_SME_1[[Ausnet]:[United Energy]],MATCH("Anytime - supply charge",OP_Rates_SME_1[[Rate name]:[Rate name]],0),MATCH(OP_CMAB!O$9,OP_Rates_SME_1[[#Headers],[Ausnet]:[United Energy]],0))*DiY)+
(IFERROR((INDEX(OP_Rates_SME_1[[Ausnet]:[United Energy]],MATCH("Anytime - Block 1 charge",OP_Rates_SME_1[[Rate name]:[Rate name]],0),MATCH(OP_CMAB!O$9,OP_Rates_SME_1[[#Headers],[Ausnet]:[United Energy]],0))*
INDEX(Input_UsageAnytime[[F-CurrentVDO]:[F-NextVDO]],MATCH(OP_CMAB!$L12&amp;" - Block 1",Input_UsageAnytime[[Ref]:[Ref]],0),MATCH(OP_CMAB!$D$7,Inputs!$I$129:$M$129,0))),0)+
IFERROR((INDEX(OP_Rates_SME_1[[Ausnet]:[United Energy]],MATCH("Anytime - Balance charge",OP_Rates_SME_1[[Rate name]:[Rate name]],0),MATCH(OP_CMAB!O$9,OP_Rates_SME_1[[#Headers],[Ausnet]:[United Energy]],0))*
INDEX(Input_UsageAnytime[[F-CurrentVDO]:[F-NextVDO]],MATCH(OP_CMAB!$L12&amp;" - Balance",Input_UsageAnytime[[Ref]:[Ref]],0),MATCH(OP_CMAB!$D$7,Inputs!$I$129:$M$129,0))),0)+
IFERROR((INDEX(OP_Rates_SME_1[[Ausnet]:[United Energy]],MATCH("Anytime - Single rate charge",OP_Rates_SME_1[[Rate name]:[Rate name]],0),MATCH(OP_CMAB!O$9,OP_Rates_SME_1[[#Headers],[Ausnet]:[United Energy]],0))*
INDEX(Input_UsageAnytime[[F-CurrentVDO]:[F-NextVDO]],MATCH(OP_CMAB!$L12&amp;" - Annual",Input_UsageAnytime[[Ref]:[Ref]],0),MATCH(OP_CMAB!$D$7,Inputs!$I$129:$M$129,0))),0)),0),0,1),
IF(O12=
ROUNDUP(
(INDEX(OP_Rates_SME_1[[Ausnet]:[United Energy]],MATCH("TOU - supply charge",OP_Rates_SME_1[[Rate name]:[Rate name]],0),MATCH(OP_CMAB!O$9,OP_Rates_SME_1[[#Headers],[Ausnet]:[United Energy]],0))*DiY)+
(INDEX(OP_Rates_SME_1[[Ausnet]:[United Energy]],MATCH("TOU - Peak charge",OP_Rates_SME_1[[Rate name]:[Rate name]],0),MATCH(OP_CMAB!O$9,OP_Rates_SME_1[[#Headers],[Ausnet]:[United Energy]],0))*
INDEX(Input_UsageTOU[[F-CurrentVDO]:[F-NextVDO]],MATCH($L12&amp;" - Peak",Input_UsageTOU[[Ref]:[Ref]],0),MATCH($D$7,Inputs!$I$155:$M$155,0)))+
IFERROR((INDEX(OP_Rates_SME_1[[Ausnet]:[United Energy]],MATCH("TOU - Shoulder charge",OP_Rates_SME_1[[Rate name]:[Rate name]],0),MATCH(OP_CMAB!O$9,OP_Rates_SME_1[[#Headers],[Ausnet]:[United Energy]],0))*
INDEX(Input_UsageTOU[[F-CurrentVDO]:[F-NextVDO]],MATCH($L12&amp;" - Shoulder",Input_UsageTOU[[Ref]:[Ref]],0),MATCH($D$7,Inputs!$I$155:$M$155,0))),0)+
(INDEX(OP_Rates_SME_1[[Ausnet]:[United Energy]],MATCH("TOU - Off peak charge",OP_Rates_SME_1[[Rate name]:[Rate name]],0),MATCH(OP_CMAB!O$9,OP_Rates_SME_1[[#Headers],[Ausnet]:[United Energy]],0))*
INDEX(Input_UsageTOU[[F-CurrentVDO]:[F-NextVDO]],MATCH($L12&amp;" - Off-peak",Input_UsageTOU[[Ref]:[Ref]],0),MATCH($D$7,Inputs!$I$155:$M$155,0))),0),0,1))</f>
        <v>0</v>
      </c>
      <c r="P16" s="80">
        <f>IF($D$7="VDO 2021 - Final",
IF(P12=
ROUNDUP(
(INDEX(OP_Rates_SME_1[[Ausnet]:[United Energy]],MATCH("Anytime - supply charge",OP_Rates_SME_1[[Rate name]:[Rate name]],0),MATCH(OP_CMAB!P$9,OP_Rates_SME_1[[#Headers],[Ausnet]:[United Energy]],0))*DiY)+
(IFERROR((INDEX(OP_Rates_SME_1[[Ausnet]:[United Energy]],MATCH("Anytime - Block 1 charge",OP_Rates_SME_1[[Rate name]:[Rate name]],0),MATCH(OP_CMAB!P$9,OP_Rates_SME_1[[#Headers],[Ausnet]:[United Energy]],0))*
INDEX(Input_UsageAnytime[[F-CurrentVDO]:[F-NextVDO]],MATCH(OP_CMAB!$L12&amp;" - Block 1",Input_UsageAnytime[[Ref]:[Ref]],0),MATCH(OP_CMAB!$D$7,Inputs!$I$129:$M$129,0))),0)+
IFERROR((INDEX(OP_Rates_SME_1[[Ausnet]:[United Energy]],MATCH("Anytime - Balance charge",OP_Rates_SME_1[[Rate name]:[Rate name]],0),MATCH(OP_CMAB!P$9,OP_Rates_SME_1[[#Headers],[Ausnet]:[United Energy]],0))*
INDEX(Input_UsageAnytime[[F-CurrentVDO]:[F-NextVDO]],MATCH(OP_CMAB!$L12&amp;" - Balance",Input_UsageAnytime[[Ref]:[Ref]],0),MATCH(OP_CMAB!$D$7,Inputs!$I$129:$M$129,0))),0)+
IFERROR((INDEX(OP_Rates_SME_1[[Ausnet]:[United Energy]],MATCH("Anytime - Single rate charge",OP_Rates_SME_1[[Rate name]:[Rate name]],0),MATCH(OP_CMAB!P$9,OP_Rates_SME_1[[#Headers],[Ausnet]:[United Energy]],0))*
INDEX(Input_UsageAnytime[[F-CurrentVDO]:[F-NextVDO]],MATCH(OP_CMAB!$L12&amp;" - Annual",Input_UsageAnytime[[Ref]:[Ref]],0),MATCH(OP_CMAB!$D$7,Inputs!$I$129:$M$129,0))),0)),0),0,1),
IF(P12=
ROUNDUP(
(INDEX(OP_Rates_SME_1[[Ausnet]:[United Energy]],MATCH("TOU - supply charge",OP_Rates_SME_1[[Rate name]:[Rate name]],0),MATCH(OP_CMAB!P$9,OP_Rates_SME_1[[#Headers],[Ausnet]:[United Energy]],0))*DiY)+
(INDEX(OP_Rates_SME_1[[Ausnet]:[United Energy]],MATCH("TOU - Peak charge",OP_Rates_SME_1[[Rate name]:[Rate name]],0),MATCH(OP_CMAB!P$9,OP_Rates_SME_1[[#Headers],[Ausnet]:[United Energy]],0))*
INDEX(Input_UsageTOU[[F-CurrentVDO]:[F-NextVDO]],MATCH($L12&amp;" - Peak",Input_UsageTOU[[Ref]:[Ref]],0),MATCH($D$7,Inputs!$I$155:$M$155,0)))+
IFERROR((INDEX(OP_Rates_SME_1[[Ausnet]:[United Energy]],MATCH("TOU - Shoulder charge",OP_Rates_SME_1[[Rate name]:[Rate name]],0),MATCH(OP_CMAB!P$9,OP_Rates_SME_1[[#Headers],[Ausnet]:[United Energy]],0))*
INDEX(Input_UsageTOU[[F-CurrentVDO]:[F-NextVDO]],MATCH($L12&amp;" - Shoulder",Input_UsageTOU[[Ref]:[Ref]],0),MATCH($D$7,Inputs!$I$155:$M$155,0))),0)+
(INDEX(OP_Rates_SME_1[[Ausnet]:[United Energy]],MATCH("TOU - Off peak charge",OP_Rates_SME_1[[Rate name]:[Rate name]],0),MATCH(OP_CMAB!P$9,OP_Rates_SME_1[[#Headers],[Ausnet]:[United Energy]],0))*
INDEX(Input_UsageTOU[[F-CurrentVDO]:[F-NextVDO]],MATCH($L12&amp;" - Off-peak",Input_UsageTOU[[Ref]:[Ref]],0),MATCH($D$7,Inputs!$I$155:$M$155,0))),0),0,1))</f>
        <v>0</v>
      </c>
      <c r="Q16" s="80">
        <f>IF($D$7="VDO 2021 - Final",
IF(Q12=
ROUNDUP(
(INDEX(OP_Rates_SME_1[[Ausnet]:[United Energy]],MATCH("Anytime - supply charge",OP_Rates_SME_1[[Rate name]:[Rate name]],0),MATCH(OP_CMAB!Q$9,OP_Rates_SME_1[[#Headers],[Ausnet]:[United Energy]],0))*DiY)+
(IFERROR((INDEX(OP_Rates_SME_1[[Ausnet]:[United Energy]],MATCH("Anytime - Block 1 charge",OP_Rates_SME_1[[Rate name]:[Rate name]],0),MATCH(OP_CMAB!Q$9,OP_Rates_SME_1[[#Headers],[Ausnet]:[United Energy]],0))*
INDEX(Input_UsageAnytime[[F-CurrentVDO]:[F-NextVDO]],MATCH(OP_CMAB!$L12&amp;" - Block 1",Input_UsageAnytime[[Ref]:[Ref]],0),MATCH(OP_CMAB!$D$7,Inputs!$I$129:$M$129,0))),0)+
IFERROR((INDEX(OP_Rates_SME_1[[Ausnet]:[United Energy]],MATCH("Anytime - Balance charge",OP_Rates_SME_1[[Rate name]:[Rate name]],0),MATCH(OP_CMAB!Q$9,OP_Rates_SME_1[[#Headers],[Ausnet]:[United Energy]],0))*
INDEX(Input_UsageAnytime[[F-CurrentVDO]:[F-NextVDO]],MATCH(OP_CMAB!$L12&amp;" - Balance",Input_UsageAnytime[[Ref]:[Ref]],0),MATCH(OP_CMAB!$D$7,Inputs!$I$129:$M$129,0))),0)+
IFERROR((INDEX(OP_Rates_SME_1[[Ausnet]:[United Energy]],MATCH("Anytime - Single rate charge",OP_Rates_SME_1[[Rate name]:[Rate name]],0),MATCH(OP_CMAB!Q$9,OP_Rates_SME_1[[#Headers],[Ausnet]:[United Energy]],0))*
INDEX(Input_UsageAnytime[[F-CurrentVDO]:[F-NextVDO]],MATCH(OP_CMAB!$L12&amp;" - Annual",Input_UsageAnytime[[Ref]:[Ref]],0),MATCH(OP_CMAB!$D$7,Inputs!$I$129:$M$129,0))),0)),0),0,1),
IF(Q12=
ROUNDUP(
(INDEX(OP_Rates_SME_1[[Ausnet]:[United Energy]],MATCH("TOU - supply charge",OP_Rates_SME_1[[Rate name]:[Rate name]],0),MATCH(OP_CMAB!Q$9,OP_Rates_SME_1[[#Headers],[Ausnet]:[United Energy]],0))*DiY)+
(INDEX(OP_Rates_SME_1[[Ausnet]:[United Energy]],MATCH("TOU - Peak charge",OP_Rates_SME_1[[Rate name]:[Rate name]],0),MATCH(OP_CMAB!Q$9,OP_Rates_SME_1[[#Headers],[Ausnet]:[United Energy]],0))*
INDEX(Input_UsageTOU[[F-CurrentVDO]:[F-NextVDO]],MATCH($L12&amp;" - Peak",Input_UsageTOU[[Ref]:[Ref]],0),MATCH($D$7,Inputs!$I$155:$M$155,0)))+
IFERROR((INDEX(OP_Rates_SME_1[[Ausnet]:[United Energy]],MATCH("TOU - Shoulder charge",OP_Rates_SME_1[[Rate name]:[Rate name]],0),MATCH(OP_CMAB!Q$9,OP_Rates_SME_1[[#Headers],[Ausnet]:[United Energy]],0))*
INDEX(Input_UsageTOU[[F-CurrentVDO]:[F-NextVDO]],MATCH($L12&amp;" - Shoulder",Input_UsageTOU[[Ref]:[Ref]],0),MATCH($D$7,Inputs!$I$155:$M$155,0))),0)+
(INDEX(OP_Rates_SME_1[[Ausnet]:[United Energy]],MATCH("TOU - Off peak charge",OP_Rates_SME_1[[Rate name]:[Rate name]],0),MATCH(OP_CMAB!Q$9,OP_Rates_SME_1[[#Headers],[Ausnet]:[United Energy]],0))*
INDEX(Input_UsageTOU[[F-CurrentVDO]:[F-NextVDO]],MATCH($L12&amp;" - Off-peak",Input_UsageTOU[[Ref]:[Ref]],0),MATCH($D$7,Inputs!$I$155:$M$155,0))),0),0,1))</f>
        <v>0</v>
      </c>
    </row>
    <row r="17" spans="1:18" x14ac:dyDescent="0.35">
      <c r="E17" s="9"/>
      <c r="F17" s="9"/>
      <c r="G17" s="9"/>
      <c r="H17" s="9"/>
      <c r="I17" s="9"/>
    </row>
    <row r="18" spans="1:18" ht="16" thickBot="1" x14ac:dyDescent="0.4">
      <c r="A18" s="2" t="s">
        <v>22</v>
      </c>
      <c r="B18" s="8">
        <f ca="1">MAX(B$3:B17)+0.1</f>
        <v>11.2</v>
      </c>
      <c r="C18" s="25" t="str">
        <f>"CMAB amounts - "&amp;Calc_Rates!$D$244</f>
        <v>CMAB amounts - VDO 2021 - Variation draft</v>
      </c>
      <c r="D18" s="25"/>
      <c r="E18" s="25"/>
      <c r="F18" s="25"/>
      <c r="G18" s="25"/>
      <c r="H18" s="25"/>
      <c r="I18" s="25"/>
      <c r="J18" s="25"/>
      <c r="K18" s="25"/>
      <c r="L18" s="25"/>
      <c r="M18" s="25"/>
      <c r="N18" s="25"/>
      <c r="O18" s="25"/>
      <c r="P18" s="25"/>
      <c r="Q18" s="25"/>
      <c r="R18" s="25"/>
    </row>
    <row r="20" spans="1:18" ht="15.5" x14ac:dyDescent="0.35">
      <c r="C20" s="51" t="s">
        <v>93</v>
      </c>
      <c r="D20" s="37" t="str">
        <f>Calc_Rates!$D$244</f>
        <v>VDO 2021 - Variation draft</v>
      </c>
    </row>
    <row r="21" spans="1:18" ht="15.5" x14ac:dyDescent="0.35">
      <c r="C21" s="26" t="s">
        <v>88</v>
      </c>
      <c r="K21" s="26" t="s">
        <v>89</v>
      </c>
    </row>
    <row r="22" spans="1:18" ht="15.5" x14ac:dyDescent="0.35">
      <c r="C22" s="39" t="s">
        <v>87</v>
      </c>
      <c r="D22" s="39" t="s">
        <v>86</v>
      </c>
      <c r="E22" s="55" t="s">
        <v>270</v>
      </c>
      <c r="F22" s="55" t="s">
        <v>271</v>
      </c>
      <c r="G22" s="55" t="s">
        <v>272</v>
      </c>
      <c r="H22" s="55" t="s">
        <v>273</v>
      </c>
      <c r="I22" s="55" t="s">
        <v>274</v>
      </c>
      <c r="K22" s="39" t="s">
        <v>87</v>
      </c>
      <c r="L22" s="39" t="s">
        <v>86</v>
      </c>
      <c r="M22" s="55" t="s">
        <v>270</v>
      </c>
      <c r="N22" s="55" t="s">
        <v>271</v>
      </c>
      <c r="O22" s="55" t="s">
        <v>272</v>
      </c>
      <c r="P22" s="55" t="s">
        <v>273</v>
      </c>
      <c r="Q22" s="55" t="s">
        <v>274</v>
      </c>
    </row>
    <row r="23" spans="1:18" hidden="1" x14ac:dyDescent="0.35">
      <c r="C23" s="21" t="s">
        <v>88</v>
      </c>
      <c r="D23" s="21" t="s">
        <v>219</v>
      </c>
      <c r="E23" s="95">
        <f>IFERROR(
IF($D$20="VDO 2021 - Final",
ROUNDUP(
(INDEX(OP_Rates_RES_2[[Ausnet]:[United Energy]],MATCH("Anytime - supply charge",OP_Rates_RES_2[Rate name],0),MATCH(OP_CMAB!E$22,OP_Rates_RES_2[[#Headers],[Ausnet]:[United Energy]],0))*DiY)+
(IFERROR((INDEX(OP_Rates_RES_2[[Ausnet]:[United Energy]],MATCH("Anytime - Block 1 charge",OP_Rates_RES_2[Rate name],0),MATCH(OP_CMAB!E$22,OP_Rates_RES_2[[#Headers],[Ausnet]:[United Energy]],0))*
INDEX(Input_UsageAnytime[[F-CurrentVDO]:[F-NextVDO]],MATCH(OP_CMAB!$D23&amp;" - Block 1",Input_UsageAnytime[Ref],0),MATCH(OP_CMAB!$D$20,Inputs!$I$129:$M$129,0))),0)+
IFERROR((INDEX(OP_Rates_RES_2[[Ausnet]:[United Energy]],MATCH("Anytime - Balance charge",OP_Rates_RES_2[Rate name],0),MATCH(OP_CMAB!E$22,OP_Rates_RES_2[[#Headers],[Ausnet]:[United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name],0),MATCH(OP_CMAB!E$22,OP_Rates_RES_2[[#Headers],[Ausnet]:[United Energy]],0))*
INDEX(Input_UsageAnytime[[F-CurrentVDO]:[F-NextVDO]],MATCH(OP_CMAB!$D23&amp;" - Annual",Input_UsageAnytime[Ref],0),MATCH(OP_CMAB!$D$20,Inputs!$I$129:$M$129,0))),0)),0),
ROUNDUP(
(INDEX(OP_Rates_RES_2[[Ausnet]:[United Energy]],MATCH("TOU - supply charge",OP_Rates_RES_2[Rate name],0),MATCH(OP_CMAB!E$22,OP_Rates_RES_2[[#Headers],[Ausnet]:[United Energy]],0))*DiY)+
(INDEX(OP_Rates_RES_2[[Ausnet]:[United Energy]],MATCH("TOU - Peak charge",OP_Rates_RES_2[Rate name],0),MATCH(OP_CMAB!E$22,OP_Rates_RES_2[[#Headers],[Ausnet]:[United Energy]],0))*
INDEX(Input_UsageTOU[[F-CurrentVDO]:[F-NextVDO]],MATCH($D23&amp;" - Peak",Input_UsageTOU[Ref],0),MATCH($D$20,Inputs!$I$155:$M$155,0)))+
IFERROR((INDEX(OP_Rates_RES_2[[Ausnet]:[United Energy]],MATCH("TOU - Shoulder charge",OP_Rates_RES_2[Rate name],0),MATCH(OP_CMAB!E$22,OP_Rates_RES_2[[#Headers],[Ausnet]:[United Energy]],0))*
INDEX(Input_UsageTOU[[F-CurrentVDO]:[F-NextVDO]],MATCH($D23&amp;" - Shoulder",Input_UsageTOU[Ref],0),MATCH($D$20,Inputs!$I$155:$M$155,0))),0)+
(INDEX(OP_Rates_RES_2[[Ausnet]:[United Energy]],MATCH("TOU - Off peak charge",OP_Rates_RES_2[Rate name],0),MATCH(OP_CMAB!E$22,OP_Rates_RES_2[[#Headers],[Ausnet]:[United Energy]],0))*
INDEX(Input_UsageTOU[[F-CurrentVDO]:[F-NextVDO]],MATCH($D23&amp;" - Off-peak",Input_UsageTOU[Ref],0),MATCH($D$20,Inputs!$I$155:$M$155,0))),0)),"-")</f>
        <v>959</v>
      </c>
      <c r="F23" s="95">
        <f>IFERROR(
IF($D$20="VDO 2021 - Final",
ROUNDUP(
(INDEX(OP_Rates_RES_2[[Ausnet]:[United Energy]],MATCH("Anytime - supply charge",OP_Rates_RES_2[[Rate name]:[Rate name]],0),MATCH(OP_CMAB!F$22,OP_Rates_RES_2[[#Headers],[Ausnet]:[United Energy]],0))*DiY)+
(IFERROR((INDEX(OP_Rates_RES_2[[Ausnet]:[United Energy]],MATCH("Anytime - Block 1 charge",OP_Rates_RES_2[[Rate name]:[Rate name]],0),MATCH(OP_CMAB!F$22,OP_Rates_RES_2[[#Headers],[Ausnet]:[United Energy]],0))*
INDEX(Input_UsageAnytime[[F-CurrentVDO]:[F-NextVDO]],MATCH(OP_CMAB!$D23&amp;" - Block 1",Input_UsageAnytime[[Ref]:[Ref]],0),MATCH(OP_CMAB!$D$20,Inputs!$I$129:$M$129,0))),0)+
IFERROR((INDEX(OP_Rates_RES_2[[Ausnet]:[United Energy]],MATCH("Anytime - Balance charge",OP_Rates_RES_2[[Rate name]:[Rate name]],0),MATCH(OP_CMAB!F$22,OP_Rates_RES_2[[#Headers],[Ausnet]:[United Energy]],0))*
INDEX(Input_UsageAnytime[[F-CurrentVDO]:[F-NextVDO]],MATCH(OP_CMAB!$D23&amp;" - Balance",Input_UsageAnytime[[Ref]:[Ref]],0),MATCH(OP_CMAB!$D$20,Inputs!$I$129:$M$129,0))),0)+
IFERROR((INDEX(OP_Rates_RES_2[[Ausnet]:[United Energy]],MATCH("Anytime - Single rate charge",OP_Rates_RES_2[[Rate name]:[Rate name]],0),MATCH(OP_CMAB!F$22,OP_Rates_RES_2[[#Headers],[Ausnet]:[United Energy]],0))*
INDEX(Input_UsageAnytime[[F-CurrentVDO]:[F-NextVDO]],MATCH(OP_CMAB!$D23&amp;" - Annual",Input_UsageAnytime[[Ref]:[Ref]],0),MATCH(OP_CMAB!$D$20,Inputs!$I$129:$M$129,0))),0)),0),
ROUNDUP(
(INDEX(OP_Rates_RES_2[[Ausnet]:[United Energy]],MATCH("TOU - supply charge",OP_Rates_RES_2[[Rate name]:[Rate name]],0),MATCH(OP_CMAB!F$22,OP_Rates_RES_2[[#Headers],[Ausnet]:[United Energy]],0))*DiY)+
(INDEX(OP_Rates_RES_2[[Ausnet]:[United Energy]],MATCH("TOU - Peak charge",OP_Rates_RES_2[[Rate name]:[Rate name]],0),MATCH(OP_CMAB!F$22,OP_Rates_RES_2[[#Headers],[Ausnet]:[United Energy]],0))*
INDEX(Input_UsageTOU[[F-CurrentVDO]:[F-NextVDO]],MATCH($D23&amp;" - Peak",Input_UsageTOU[[Ref]:[Ref]],0),MATCH($D$20,Inputs!$I$155:$M$155,0)))+
IFERROR((INDEX(OP_Rates_RES_2[[Ausnet]:[United Energy]],MATCH("TOU - Shoulder charge",OP_Rates_RES_2[[Rate name]:[Rate name]],0),MATCH(OP_CMAB!F$22,OP_Rates_RES_2[[#Headers],[Ausnet]:[United Energy]],0))*
INDEX(Input_UsageTOU[[F-CurrentVDO]:[F-NextVDO]],MATCH($D23&amp;" - Shoulder",Input_UsageTOU[[Ref]:[Ref]],0),MATCH($D$20,Inputs!$I$155:$M$155,0))),0)+
(INDEX(OP_Rates_RES_2[[Ausnet]:[United Energy]],MATCH("TOU - Off peak charge",OP_Rates_RES_2[[Rate name]:[Rate name]],0),MATCH(OP_CMAB!F$22,OP_Rates_RES_2[[#Headers],[Ausnet]:[United Energy]],0))*
INDEX(Input_UsageTOU[[F-CurrentVDO]:[F-NextVDO]],MATCH($D23&amp;" - Off-peak",Input_UsageTOU[[Ref]:[Ref]],0),MATCH($D$20,Inputs!$I$155:$M$155,0))),0)),"-")</f>
        <v>869</v>
      </c>
      <c r="G23" s="95">
        <f>IFERROR(
IF($D$20="VDO 2021 - Final",
ROUNDUP(
(INDEX(OP_Rates_RES_2[[Ausnet]:[United Energy]],MATCH("Anytime - supply charge",OP_Rates_RES_2[[Rate name]:[Rate name]],0),MATCH(OP_CMAB!G$22,OP_Rates_RES_2[[#Headers],[Ausnet]:[United Energy]],0))*DiY)+
(IFERROR((INDEX(OP_Rates_RES_2[[Ausnet]:[United Energy]],MATCH("Anytime - Block 1 charge",OP_Rates_RES_2[[Rate name]:[Rate name]],0),MATCH(OP_CMAB!G$22,OP_Rates_RES_2[[#Headers],[Ausnet]:[United Energy]],0))*
INDEX(Input_UsageAnytime[[F-CurrentVDO]:[F-NextVDO]],MATCH(OP_CMAB!$D23&amp;" - Block 1",Input_UsageAnytime[[Ref]:[Ref]],0),MATCH(OP_CMAB!$D$20,Inputs!$I$129:$M$129,0))),0)+
IFERROR((INDEX(OP_Rates_RES_2[[Ausnet]:[United Energy]],MATCH("Anytime - Balance charge",OP_Rates_RES_2[[Rate name]:[Rate name]],0),MATCH(OP_CMAB!G$22,OP_Rates_RES_2[[#Headers],[Ausnet]:[United Energy]],0))*
INDEX(Input_UsageAnytime[[F-CurrentVDO]:[F-NextVDO]],MATCH(OP_CMAB!$D23&amp;" - Balance",Input_UsageAnytime[[Ref]:[Ref]],0),MATCH(OP_CMAB!$D$20,Inputs!$I$129:$M$129,0))),0)+
IFERROR((INDEX(OP_Rates_RES_2[[Ausnet]:[United Energy]],MATCH("Anytime - Single rate charge",OP_Rates_RES_2[[Rate name]:[Rate name]],0),MATCH(OP_CMAB!G$22,OP_Rates_RES_2[[#Headers],[Ausnet]:[United Energy]],0))*
INDEX(Input_UsageAnytime[[F-CurrentVDO]:[F-NextVDO]],MATCH(OP_CMAB!$D23&amp;" - Annual",Input_UsageAnytime[[Ref]:[Ref]],0),MATCH(OP_CMAB!$D$20,Inputs!$I$129:$M$129,0))),0)),0),
ROUNDUP(
(INDEX(OP_Rates_RES_2[[Ausnet]:[United Energy]],MATCH("TOU - supply charge",OP_Rates_RES_2[[Rate name]:[Rate name]],0),MATCH(OP_CMAB!G$22,OP_Rates_RES_2[[#Headers],[Ausnet]:[United Energy]],0))*DiY)+
(INDEX(OP_Rates_RES_2[[Ausnet]:[United Energy]],MATCH("TOU - Peak charge",OP_Rates_RES_2[[Rate name]:[Rate name]],0),MATCH(OP_CMAB!G$22,OP_Rates_RES_2[[#Headers],[Ausnet]:[United Energy]],0))*
INDEX(Input_UsageTOU[[F-CurrentVDO]:[F-NextVDO]],MATCH($D23&amp;" - Peak",Input_UsageTOU[[Ref]:[Ref]],0),MATCH($D$20,Inputs!$I$155:$M$155,0)))+
IFERROR((INDEX(OP_Rates_RES_2[[Ausnet]:[United Energy]],MATCH("TOU - Shoulder charge",OP_Rates_RES_2[[Rate name]:[Rate name]],0),MATCH(OP_CMAB!G$22,OP_Rates_RES_2[[#Headers],[Ausnet]:[United Energy]],0))*
INDEX(Input_UsageTOU[[F-CurrentVDO]:[F-NextVDO]],MATCH($D23&amp;" - Shoulder",Input_UsageTOU[[Ref]:[Ref]],0),MATCH($D$20,Inputs!$I$155:$M$155,0))),0)+
(INDEX(OP_Rates_RES_2[[Ausnet]:[United Energy]],MATCH("TOU - Off peak charge",OP_Rates_RES_2[[Rate name]:[Rate name]],0),MATCH(OP_CMAB!G$22,OP_Rates_RES_2[[#Headers],[Ausnet]:[United Energy]],0))*
INDEX(Input_UsageTOU[[F-CurrentVDO]:[F-NextVDO]],MATCH($D23&amp;" - Off-peak",Input_UsageTOU[[Ref]:[Ref]],0),MATCH($D$20,Inputs!$I$155:$M$155,0))),0)),"-")</f>
        <v>852</v>
      </c>
      <c r="H23" s="95">
        <f>IFERROR(
IF($D$20="VDO 2021 - Final",
ROUNDUP(
(INDEX(OP_Rates_RES_2[[Ausnet]:[United Energy]],MATCH("Anytime - supply charge",OP_Rates_RES_2[[Rate name]:[Rate name]],0),MATCH(OP_CMAB!H$22,OP_Rates_RES_2[[#Headers],[Ausnet]:[United Energy]],0))*DiY)+
(IFERROR((INDEX(OP_Rates_RES_2[[Ausnet]:[United Energy]],MATCH("Anytime - Block 1 charge",OP_Rates_RES_2[[Rate name]:[Rate name]],0),MATCH(OP_CMAB!H$22,OP_Rates_RES_2[[#Headers],[Ausnet]:[United Energy]],0))*
INDEX(Input_UsageAnytime[[F-CurrentVDO]:[F-NextVDO]],MATCH(OP_CMAB!$D23&amp;" - Block 1",Input_UsageAnytime[[Ref]:[Ref]],0),MATCH(OP_CMAB!$D$20,Inputs!$I$129:$M$129,0))),0)+
IFERROR((INDEX(OP_Rates_RES_2[[Ausnet]:[United Energy]],MATCH("Anytime - Balance charge",OP_Rates_RES_2[[Rate name]:[Rate name]],0),MATCH(OP_CMAB!H$22,OP_Rates_RES_2[[#Headers],[Ausnet]:[United Energy]],0))*
INDEX(Input_UsageAnytime[[F-CurrentVDO]:[F-NextVDO]],MATCH(OP_CMAB!$D23&amp;" - Balance",Input_UsageAnytime[[Ref]:[Ref]],0),MATCH(OP_CMAB!$D$20,Inputs!$I$129:$M$129,0))),0)+
IFERROR((INDEX(OP_Rates_RES_2[[Ausnet]:[United Energy]],MATCH("Anytime - Single rate charge",OP_Rates_RES_2[[Rate name]:[Rate name]],0),MATCH(OP_CMAB!H$22,OP_Rates_RES_2[[#Headers],[Ausnet]:[United Energy]],0))*
INDEX(Input_UsageAnytime[[F-CurrentVDO]:[F-NextVDO]],MATCH(OP_CMAB!$D23&amp;" - Annual",Input_UsageAnytime[[Ref]:[Ref]],0),MATCH(OP_CMAB!$D$20,Inputs!$I$129:$M$129,0))),0)),0),
ROUNDUP(
(INDEX(OP_Rates_RES_2[[Ausnet]:[United Energy]],MATCH("TOU - supply charge",OP_Rates_RES_2[[Rate name]:[Rate name]],0),MATCH(OP_CMAB!H$22,OP_Rates_RES_2[[#Headers],[Ausnet]:[United Energy]],0))*DiY)+
(INDEX(OP_Rates_RES_2[[Ausnet]:[United Energy]],MATCH("TOU - Peak charge",OP_Rates_RES_2[[Rate name]:[Rate name]],0),MATCH(OP_CMAB!H$22,OP_Rates_RES_2[[#Headers],[Ausnet]:[United Energy]],0))*
INDEX(Input_UsageTOU[[F-CurrentVDO]:[F-NextVDO]],MATCH($D23&amp;" - Peak",Input_UsageTOU[[Ref]:[Ref]],0),MATCH($D$20,Inputs!$I$155:$M$155,0)))+
IFERROR((INDEX(OP_Rates_RES_2[[Ausnet]:[United Energy]],MATCH("TOU - Shoulder charge",OP_Rates_RES_2[[Rate name]:[Rate name]],0),MATCH(OP_CMAB!H$22,OP_Rates_RES_2[[#Headers],[Ausnet]:[United Energy]],0))*
INDEX(Input_UsageTOU[[F-CurrentVDO]:[F-NextVDO]],MATCH($D23&amp;" - Shoulder",Input_UsageTOU[[Ref]:[Ref]],0),MATCH($D$20,Inputs!$I$155:$M$155,0))),0)+
(INDEX(OP_Rates_RES_2[[Ausnet]:[United Energy]],MATCH("TOU - Off peak charge",OP_Rates_RES_2[[Rate name]:[Rate name]],0),MATCH(OP_CMAB!H$22,OP_Rates_RES_2[[#Headers],[Ausnet]:[United Energy]],0))*
INDEX(Input_UsageTOU[[F-CurrentVDO]:[F-NextVDO]],MATCH($D23&amp;" - Off-peak",Input_UsageTOU[[Ref]:[Ref]],0),MATCH($D$20,Inputs!$I$155:$M$155,0))),0)),"-")</f>
        <v>938</v>
      </c>
      <c r="I23" s="95">
        <f>IFERROR(
IF($D$20="VDO 2021 - Final",
ROUNDUP(
(INDEX(OP_Rates_RES_2[[Ausnet]:[United Energy]],MATCH("Anytime - supply charge",OP_Rates_RES_2[[Rate name]:[Rate name]],0),MATCH(OP_CMAB!I$22,OP_Rates_RES_2[[#Headers],[Ausnet]:[United Energy]],0))*DiY)+
(IFERROR((INDEX(OP_Rates_RES_2[[Ausnet]:[United Energy]],MATCH("Anytime - Block 1 charge",OP_Rates_RES_2[[Rate name]:[Rate name]],0),MATCH(OP_CMAB!I$22,OP_Rates_RES_2[[#Headers],[Ausnet]:[United Energy]],0))*
INDEX(Input_UsageAnytime[[F-CurrentVDO]:[F-NextVDO]],MATCH(OP_CMAB!$D23&amp;" - Block 1",Input_UsageAnytime[[Ref]:[Ref]],0),MATCH(OP_CMAB!$D$20,Inputs!$I$129:$M$129,0))),0)+
IFERROR((INDEX(OP_Rates_RES_2[[Ausnet]:[United Energy]],MATCH("Anytime - Balance charge",OP_Rates_RES_2[[Rate name]:[Rate name]],0),MATCH(OP_CMAB!I$22,OP_Rates_RES_2[[#Headers],[Ausnet]:[United Energy]],0))*
INDEX(Input_UsageAnytime[[F-CurrentVDO]:[F-NextVDO]],MATCH(OP_CMAB!$D23&amp;" - Balance",Input_UsageAnytime[[Ref]:[Ref]],0),MATCH(OP_CMAB!$D$20,Inputs!$I$129:$M$129,0))),0)+
IFERROR((INDEX(OP_Rates_RES_2[[Ausnet]:[United Energy]],MATCH("Anytime - Single rate charge",OP_Rates_RES_2[[Rate name]:[Rate name]],0),MATCH(OP_CMAB!I$22,OP_Rates_RES_2[[#Headers],[Ausnet]:[United Energy]],0))*
INDEX(Input_UsageAnytime[[F-CurrentVDO]:[F-NextVDO]],MATCH(OP_CMAB!$D23&amp;" - Annual",Input_UsageAnytime[[Ref]:[Ref]],0),MATCH(OP_CMAB!$D$20,Inputs!$I$129:$M$129,0))),0)),0),
ROUNDUP(
(INDEX(OP_Rates_RES_2[[Ausnet]:[United Energy]],MATCH("TOU - supply charge",OP_Rates_RES_2[[Rate name]:[Rate name]],0),MATCH(OP_CMAB!I$22,OP_Rates_RES_2[[#Headers],[Ausnet]:[United Energy]],0))*DiY)+
(INDEX(OP_Rates_RES_2[[Ausnet]:[United Energy]],MATCH("TOU - Peak charge",OP_Rates_RES_2[[Rate name]:[Rate name]],0),MATCH(OP_CMAB!I$22,OP_Rates_RES_2[[#Headers],[Ausnet]:[United Energy]],0))*
INDEX(Input_UsageTOU[[F-CurrentVDO]:[F-NextVDO]],MATCH($D23&amp;" - Peak",Input_UsageTOU[[Ref]:[Ref]],0),MATCH($D$20,Inputs!$I$155:$M$155,0)))+
IFERROR((INDEX(OP_Rates_RES_2[[Ausnet]:[United Energy]],MATCH("TOU - Shoulder charge",OP_Rates_RES_2[[Rate name]:[Rate name]],0),MATCH(OP_CMAB!I$22,OP_Rates_RES_2[[#Headers],[Ausnet]:[United Energy]],0))*
INDEX(Input_UsageTOU[[F-CurrentVDO]:[F-NextVDO]],MATCH($D23&amp;" - Shoulder",Input_UsageTOU[[Ref]:[Ref]],0),MATCH($D$20,Inputs!$I$155:$M$155,0))),0)+
(INDEX(OP_Rates_RES_2[[Ausnet]:[United Energy]],MATCH("TOU - Off peak charge",OP_Rates_RES_2[[Rate name]:[Rate name]],0),MATCH(OP_CMAB!I$22,OP_Rates_RES_2[[#Headers],[Ausnet]:[United Energy]],0))*
INDEX(Input_UsageTOU[[F-CurrentVDO]:[F-NextVDO]],MATCH($D23&amp;" - Off-peak",Input_UsageTOU[[Ref]:[Ref]],0),MATCH($D$20,Inputs!$I$155:$M$155,0))),0)),"-")</f>
        <v>860</v>
      </c>
      <c r="K23" s="21" t="s">
        <v>89</v>
      </c>
      <c r="L23" s="21" t="s">
        <v>224</v>
      </c>
      <c r="M23" s="95">
        <f>IFERROR(
IF($D$20="VDO 2021 - Final",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INDEX(Input_UsageAnytime[[F-CurrentVDO]:[F-NextVDO]],MATCH(OP_CMAB!$L23&amp;" - Block 1",Input_UsageAnytime[Ref],0),MATCH(OP_CMAB!$D$20,Inputs!$I$129:$M$129,0))),0)+
IFERROR((INDEX(OP_Rates_SME_2[[Ausnet]:[United Energy]],MATCH("Anytime - Balance charge",OP_Rates_SME_2[Rate name],0),MATCH(OP_CMAB!M$22,OP_Rates_SME_2[[#Headers],[Ausnet]:[United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INDEX(Input_UsageAnytime[[F-CurrentVDO]:[F-NextVDO]],MATCH(OP_CMAB!$L23&amp;" - Annual",Input_UsageAnytime[Ref],0),MATCH(OP_CMAB!$D$20,Inputs!$I$129:$M$129,0))),0)),0),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INDEX(Input_UsageTOU[[F-CurrentVDO]:[F-NextVDO]],MATCH($L23&amp;" - Peak",Input_UsageTOU[Ref],0),MATCH($D$20,Inputs!$I$155:$M$155,0)))+
IFERROR((INDEX(OP_Rates_SME_2[[Ausnet]:[United Energy]],MATCH("TOU - Shoulder charge",OP_Rates_SME_2[Rate name],0),MATCH(OP_CMAB!M$22,OP_Rates_SME_2[[#Headers],[Ausnet]:[United Energy]],0))*
INDEX(Input_UsageTOU[[F-CurrentVDO]:[F-NextVDO]],MATCH($L23&amp;" - Shoulder",Input_UsageTOU[Ref],0),MATCH($D$20,Inputs!$I$155:$M$155,0))),0)+
(INDEX(OP_Rates_SME_2[[Ausnet]:[United Energy]],MATCH("TOU - Off peak charge",OP_Rates_SME_2[Rate name],0),MATCH(OP_CMAB!M$22,OP_Rates_SME_2[[#Headers],[Ausnet]:[United Energy]],0))*
INDEX(Input_UsageTOU[[F-CurrentVDO]:[F-NextVDO]],MATCH($L23&amp;" - Off-peak",Input_UsageTOU[Ref],0),MATCH($D$20,Inputs!$I$155:$M$155,0))),0)),"-")</f>
        <v>3533</v>
      </c>
      <c r="N23" s="95">
        <f>IFERROR(
IF($D$20="VDO 2021 - Final",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INDEX(Input_UsageAnytime[[F-CurrentVDO]:[F-NextVDO]],MATCH(OP_CMAB!$L23&amp;" - Block 1",Input_UsageAnytime[Ref],0),MATCH(OP_CMAB!$D$20,Inputs!$I$129:$M$129,0))),0)+
IFERROR((INDEX(OP_Rates_SME_2[[Ausnet]:[United Energy]],MATCH("Anytime - Balance charge",OP_Rates_SME_2[Rate name],0),MATCH(OP_CMAB!N$22,OP_Rates_SME_2[[#Headers],[Ausnet]:[United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INDEX(Input_UsageAnytime[[F-CurrentVDO]:[F-NextVDO]],MATCH(OP_CMAB!$L23&amp;" - Annual",Input_UsageAnytime[Ref],0),MATCH(OP_CMAB!$D$20,Inputs!$I$129:$M$129,0))),0)),0),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INDEX(Input_UsageTOU[[F-CurrentVDO]:[F-NextVDO]],MATCH($L23&amp;" - Peak",Input_UsageTOU[Ref],0),MATCH($D$20,Inputs!$I$155:$M$155,0)))+
IFERROR((INDEX(OP_Rates_SME_2[[Ausnet]:[United Energy]],MATCH("TOU - Shoulder charge",OP_Rates_SME_2[Rate name],0),MATCH(OP_CMAB!N$22,OP_Rates_SME_2[[#Headers],[Ausnet]:[United Energy]],0))*
INDEX(Input_UsageTOU[[F-CurrentVDO]:[F-NextVDO]],MATCH($L23&amp;" - Shoulder",Input_UsageTOU[Ref],0),MATCH($D$20,Inputs!$I$155:$M$155,0))),0)+
(INDEX(OP_Rates_SME_2[[Ausnet]:[United Energy]],MATCH("TOU - Off peak charge",OP_Rates_SME_2[Rate name],0),MATCH(OP_CMAB!N$22,OP_Rates_SME_2[[#Headers],[Ausnet]:[United Energy]],0))*
INDEX(Input_UsageTOU[[F-CurrentVDO]:[F-NextVDO]],MATCH($L23&amp;" - Off-peak",Input_UsageTOU[Ref],0),MATCH($D$20,Inputs!$I$155:$M$155,0))),0)),"-")</f>
        <v>3193</v>
      </c>
      <c r="O23" s="95">
        <f>IFERROR(
IF($D$20="VDO 2021 - Final",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INDEX(Input_UsageAnytime[[F-CurrentVDO]:[F-NextVDO]],MATCH(OP_CMAB!$L23&amp;" - Block 1",Input_UsageAnytime[Ref],0),MATCH(OP_CMAB!$D$20,Inputs!$I$129:$M$129,0))),0)+
IFERROR((INDEX(OP_Rates_SME_2[[Ausnet]:[United Energy]],MATCH("Anytime - Balance charge",OP_Rates_SME_2[Rate name],0),MATCH(OP_CMAB!O$22,OP_Rates_SME_2[[#Headers],[Ausnet]:[United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INDEX(Input_UsageAnytime[[F-CurrentVDO]:[F-NextVDO]],MATCH(OP_CMAB!$L23&amp;" - Annual",Input_UsageAnytime[Ref],0),MATCH(OP_CMAB!$D$20,Inputs!$I$129:$M$129,0))),0)),0),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INDEX(Input_UsageTOU[[F-CurrentVDO]:[F-NextVDO]],MATCH($L23&amp;" - Peak",Input_UsageTOU[Ref],0),MATCH($D$20,Inputs!$I$155:$M$155,0)))+
IFERROR((INDEX(OP_Rates_SME_2[[Ausnet]:[United Energy]],MATCH("TOU - Shoulder charge",OP_Rates_SME_2[Rate name],0),MATCH(OP_CMAB!O$22,OP_Rates_SME_2[[#Headers],[Ausnet]:[United Energy]],0))*
INDEX(Input_UsageTOU[[F-CurrentVDO]:[F-NextVDO]],MATCH($L23&amp;" - Shoulder",Input_UsageTOU[Ref],0),MATCH($D$20,Inputs!$I$155:$M$155,0))),0)+
(INDEX(OP_Rates_SME_2[[Ausnet]:[United Energy]],MATCH("TOU - Off peak charge",OP_Rates_SME_2[Rate name],0),MATCH(OP_CMAB!O$22,OP_Rates_SME_2[[#Headers],[Ausnet]:[United Energy]],0))*
INDEX(Input_UsageTOU[[F-CurrentVDO]:[F-NextVDO]],MATCH($L23&amp;" - Off-peak",Input_UsageTOU[Ref],0),MATCH($D$20,Inputs!$I$155:$M$155,0))),0)),"-")</f>
        <v>3359</v>
      </c>
      <c r="P23" s="95">
        <f>IFERROR(
IF($D$20="VDO 2021 - Final",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INDEX(Input_UsageAnytime[[F-CurrentVDO]:[F-NextVDO]],MATCH(OP_CMAB!$L23&amp;" - Block 1",Input_UsageAnytime[Ref],0),MATCH(OP_CMAB!$D$20,Inputs!$I$129:$M$129,0))),0)+
IFERROR((INDEX(OP_Rates_SME_2[[Ausnet]:[United Energy]],MATCH("Anytime - Balance charge",OP_Rates_SME_2[Rate name],0),MATCH(OP_CMAB!P$22,OP_Rates_SME_2[[#Headers],[Ausnet]:[United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INDEX(Input_UsageAnytime[[F-CurrentVDO]:[F-NextVDO]],MATCH(OP_CMAB!$L23&amp;" - Annual",Input_UsageAnytime[Ref],0),MATCH(OP_CMAB!$D$20,Inputs!$I$129:$M$129,0))),0)),0),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INDEX(Input_UsageTOU[[F-CurrentVDO]:[F-NextVDO]],MATCH($L23&amp;" - Peak",Input_UsageTOU[Ref],0),MATCH($D$20,Inputs!$I$155:$M$155,0)))+
IFERROR((INDEX(OP_Rates_SME_2[[Ausnet]:[United Energy]],MATCH("TOU - Shoulder charge",OP_Rates_SME_2[Rate name],0),MATCH(OP_CMAB!P$22,OP_Rates_SME_2[[#Headers],[Ausnet]:[United Energy]],0))*
INDEX(Input_UsageTOU[[F-CurrentVDO]:[F-NextVDO]],MATCH($L23&amp;" - Shoulder",Input_UsageTOU[Ref],0),MATCH($D$20,Inputs!$I$155:$M$155,0))),0)+
(INDEX(OP_Rates_SME_2[[Ausnet]:[United Energy]],MATCH("TOU - Off peak charge",OP_Rates_SME_2[Rate name],0),MATCH(OP_CMAB!P$22,OP_Rates_SME_2[[#Headers],[Ausnet]:[United Energy]],0))*
INDEX(Input_UsageTOU[[F-CurrentVDO]:[F-NextVDO]],MATCH($L23&amp;" - Off-peak",Input_UsageTOU[Ref],0),MATCH($D$20,Inputs!$I$155:$M$155,0))),0)),"-")</f>
        <v>3320</v>
      </c>
      <c r="Q23" s="95">
        <f>IFERROR(
IF($D$20="VDO 2021 - Final",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INDEX(Input_UsageAnytime[[F-CurrentVDO]:[F-NextVDO]],MATCH(OP_CMAB!$L23&amp;" - Block 1",Input_UsageAnytime[Ref],0),MATCH(OP_CMAB!$D$20,Inputs!$I$129:$M$129,0))),0)+
IFERROR((INDEX(OP_Rates_SME_2[[Ausnet]:[United Energy]],MATCH("Anytime - Balance charge",OP_Rates_SME_2[Rate name],0),MATCH(OP_CMAB!Q$22,OP_Rates_SME_2[[#Headers],[Ausnet]:[United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INDEX(Input_UsageAnytime[[F-CurrentVDO]:[F-NextVDO]],MATCH(OP_CMAB!$L23&amp;" - Annual",Input_UsageAnytime[Ref],0),MATCH(OP_CMAB!$D$20,Inputs!$I$129:$M$129,0))),0)),0),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INDEX(Input_UsageTOU[[F-CurrentVDO]:[F-NextVDO]],MATCH($L23&amp;" - Peak",Input_UsageTOU[Ref],0),MATCH($D$20,Inputs!$I$155:$M$155,0)))+
IFERROR((INDEX(OP_Rates_SME_2[[Ausnet]:[United Energy]],MATCH("TOU - Shoulder charge",OP_Rates_SME_2[Rate name],0),MATCH(OP_CMAB!Q$22,OP_Rates_SME_2[[#Headers],[Ausnet]:[United Energy]],0))*
INDEX(Input_UsageTOU[[F-CurrentVDO]:[F-NextVDO]],MATCH($L23&amp;" - Shoulder",Input_UsageTOU[Ref],0),MATCH($D$20,Inputs!$I$155:$M$155,0))),0)+
(INDEX(OP_Rates_SME_2[[Ausnet]:[United Energy]],MATCH("TOU - Off peak charge",OP_Rates_SME_2[Rate name],0),MATCH(OP_CMAB!Q$22,OP_Rates_SME_2[[#Headers],[Ausnet]:[United Energy]],0))*
INDEX(Input_UsageTOU[[F-CurrentVDO]:[F-NextVDO]],MATCH($L23&amp;" - Off-peak",Input_UsageTOU[Ref],0),MATCH($D$20,Inputs!$I$155:$M$155,0))),0)),"-")</f>
        <v>3239</v>
      </c>
    </row>
    <row r="24" spans="1:18" x14ac:dyDescent="0.35">
      <c r="C24" s="21" t="s">
        <v>88</v>
      </c>
      <c r="D24" s="21" t="s">
        <v>222</v>
      </c>
      <c r="E24" s="95">
        <f>IFERROR(
IF($D$20="VDO 2021 - Final",
ROUNDUP(
(INDEX(OP_Rates_RES_2[[Ausnet]:[United Energy]],MATCH("Anytime - supply charge",OP_Rates_RES_2[[Rate name]:[Rate name]],0),MATCH(OP_CMAB!E$22,OP_Rates_RES_2[[#Headers],[Ausnet]:[United Energy]],0))*DiY)+
(IFERROR((INDEX(OP_Rates_RES_2[[Ausnet]:[United Energy]],MATCH("Anytime - Block 1 charge",OP_Rates_RES_2[[Rate name]:[Rate name]],0),MATCH(OP_CMAB!E$22,OP_Rates_RES_2[[#Headers],[Ausnet]:[United Energy]],0))*
INDEX(Input_UsageAnytime[[F-CurrentVDO]:[F-NextVDO]],MATCH(OP_CMAB!$D24&amp;" - Block 1",Input_UsageAnytime[[Ref]:[Ref]],0),MATCH(OP_CMAB!$D$20,Inputs!$I$129:$M$129,0))),0)+
IFERROR((INDEX(OP_Rates_RES_2[[Ausnet]:[United Energy]],MATCH("Anytime - Balance charge",OP_Rates_RES_2[[Rate name]:[Rate name]],0),MATCH(OP_CMAB!E$22,OP_Rates_RES_2[[#Headers],[Ausnet]:[United Energy]],0))*
INDEX(Input_UsageAnytime[[F-CurrentVDO]:[F-NextVDO]],MATCH(OP_CMAB!$D24&amp;" - Balance",Input_UsageAnytime[[Ref]:[Ref]],0),MATCH(OP_CMAB!$D$20,Inputs!$I$129:$M$129,0))),0)+
IFERROR((INDEX(OP_Rates_RES_2[[Ausnet]:[United Energy]],MATCH("Anytime - Single rate charge",OP_Rates_RES_2[[Rate name]:[Rate name]],0),MATCH(OP_CMAB!E$22,OP_Rates_RES_2[[#Headers],[Ausnet]:[United Energy]],0))*
INDEX(Input_UsageAnytime[[F-CurrentVDO]:[F-NextVDO]],MATCH(OP_CMAB!$D24&amp;" - Annual",Input_UsageAnytime[[Ref]:[Ref]],0),MATCH(OP_CMAB!$D$20,Inputs!$I$129:$M$129,0))),0)),0),
ROUNDUP(
(INDEX(OP_Rates_RES_2[[Ausnet]:[United Energy]],MATCH("TOU - supply charge",OP_Rates_RES_2[[Rate name]:[Rate name]],0),MATCH(OP_CMAB!E$22,OP_Rates_RES_2[[#Headers],[Ausnet]:[United Energy]],0))*DiY)+
(INDEX(OP_Rates_RES_2[[Ausnet]:[United Energy]],MATCH("TOU - Peak charge",OP_Rates_RES_2[[Rate name]:[Rate name]],0),MATCH(OP_CMAB!E$22,OP_Rates_RES_2[[#Headers],[Ausnet]:[United Energy]],0))*
INDEX(Input_UsageTOU[[F-CurrentVDO]:[F-NextVDO]],MATCH($D24&amp;" - Peak",Input_UsageTOU[[Ref]:[Ref]],0),MATCH($D$20,Inputs!$I$155:$M$155,0)))+
IFERROR((INDEX(OP_Rates_RES_2[[Ausnet]:[United Energy]],MATCH("TOU - Shoulder charge",OP_Rates_RES_2[[Rate name]:[Rate name]],0),MATCH(OP_CMAB!E$22,OP_Rates_RES_2[[#Headers],[Ausnet]:[United Energy]],0))*
INDEX(Input_UsageTOU[[F-CurrentVDO]:[F-NextVDO]],MATCH($D24&amp;" - Shoulder",Input_UsageTOU[[Ref]:[Ref]],0),MATCH($D$20,Inputs!$I$155:$M$155,0))),0)+
(INDEX(OP_Rates_RES_2[[Ausnet]:[United Energy]],MATCH("TOU - Off peak charge",OP_Rates_RES_2[[Rate name]:[Rate name]],0),MATCH(OP_CMAB!E$22,OP_Rates_RES_2[[#Headers],[Ausnet]:[United Energy]],0))*
INDEX(Input_UsageTOU[[F-CurrentVDO]:[F-NextVDO]],MATCH($D24&amp;" - Off-peak",Input_UsageTOU[[Ref]:[Ref]],0),MATCH($D$20,Inputs!$I$155:$M$155,0))),0)),"-")</f>
        <v>1483</v>
      </c>
      <c r="F24" s="95">
        <f>IFERROR(
IF($D$20="VDO 2021 - Final",
ROUNDUP(
(INDEX(OP_Rates_RES_2[[Ausnet]:[United Energy]],MATCH("Anytime - supply charge",OP_Rates_RES_2[[Rate name]:[Rate name]],0),MATCH(OP_CMAB!F$22,OP_Rates_RES_2[[#Headers],[Ausnet]:[United Energy]],0))*DiY)+
(IFERROR((INDEX(OP_Rates_RES_2[[Ausnet]:[United Energy]],MATCH("Anytime - Block 1 charge",OP_Rates_RES_2[[Rate name]:[Rate name]],0),MATCH(OP_CMAB!F$22,OP_Rates_RES_2[[#Headers],[Ausnet]:[United Energy]],0))*
INDEX(Input_UsageAnytime[[F-CurrentVDO]:[F-NextVDO]],MATCH(OP_CMAB!$D24&amp;" - Block 1",Input_UsageAnytime[[Ref]:[Ref]],0),MATCH(OP_CMAB!$D$20,Inputs!$I$129:$M$129,0))),0)+
IFERROR((INDEX(OP_Rates_RES_2[[Ausnet]:[United Energy]],MATCH("Anytime - Balance charge",OP_Rates_RES_2[[Rate name]:[Rate name]],0),MATCH(OP_CMAB!F$22,OP_Rates_RES_2[[#Headers],[Ausnet]:[United Energy]],0))*
INDEX(Input_UsageAnytime[[F-CurrentVDO]:[F-NextVDO]],MATCH(OP_CMAB!$D24&amp;" - Balance",Input_UsageAnytime[[Ref]:[Ref]],0),MATCH(OP_CMAB!$D$20,Inputs!$I$129:$M$129,0))),0)+
IFERROR((INDEX(OP_Rates_RES_2[[Ausnet]:[United Energy]],MATCH("Anytime - Single rate charge",OP_Rates_RES_2[[Rate name]:[Rate name]],0),MATCH(OP_CMAB!F$22,OP_Rates_RES_2[[#Headers],[Ausnet]:[United Energy]],0))*
INDEX(Input_UsageAnytime[[F-CurrentVDO]:[F-NextVDO]],MATCH(OP_CMAB!$D24&amp;" - Annual",Input_UsageAnytime[[Ref]:[Ref]],0),MATCH(OP_CMAB!$D$20,Inputs!$I$129:$M$129,0))),0)),0),
ROUNDUP(
(INDEX(OP_Rates_RES_2[[Ausnet]:[United Energy]],MATCH("TOU - supply charge",OP_Rates_RES_2[[Rate name]:[Rate name]],0),MATCH(OP_CMAB!F$22,OP_Rates_RES_2[[#Headers],[Ausnet]:[United Energy]],0))*DiY)+
(INDEX(OP_Rates_RES_2[[Ausnet]:[United Energy]],MATCH("TOU - Peak charge",OP_Rates_RES_2[[Rate name]:[Rate name]],0),MATCH(OP_CMAB!F$22,OP_Rates_RES_2[[#Headers],[Ausnet]:[United Energy]],0))*
INDEX(Input_UsageTOU[[F-CurrentVDO]:[F-NextVDO]],MATCH($D24&amp;" - Peak",Input_UsageTOU[[Ref]:[Ref]],0),MATCH($D$20,Inputs!$I$155:$M$155,0)))+
IFERROR((INDEX(OP_Rates_RES_2[[Ausnet]:[United Energy]],MATCH("TOU - Shoulder charge",OP_Rates_RES_2[[Rate name]:[Rate name]],0),MATCH(OP_CMAB!F$22,OP_Rates_RES_2[[#Headers],[Ausnet]:[United Energy]],0))*
INDEX(Input_UsageTOU[[F-CurrentVDO]:[F-NextVDO]],MATCH($D24&amp;" - Shoulder",Input_UsageTOU[[Ref]:[Ref]],0),MATCH($D$20,Inputs!$I$155:$M$155,0))),0)+
(INDEX(OP_Rates_RES_2[[Ausnet]:[United Energy]],MATCH("TOU - Off peak charge",OP_Rates_RES_2[[Rate name]:[Rate name]],0),MATCH(OP_CMAB!F$22,OP_Rates_RES_2[[#Headers],[Ausnet]:[United Energy]],0))*
INDEX(Input_UsageTOU[[F-CurrentVDO]:[F-NextVDO]],MATCH($D24&amp;" - Off-peak",Input_UsageTOU[[Ref]:[Ref]],0),MATCH($D$20,Inputs!$I$155:$M$155,0))),0)),"-")</f>
        <v>1330</v>
      </c>
      <c r="G24" s="95">
        <f>IFERROR(
IF($D$20="VDO 2021 - Final",
ROUNDUP(
(INDEX(OP_Rates_RES_2[[Ausnet]:[United Energy]],MATCH("Anytime - supply charge",OP_Rates_RES_2[[Rate name]:[Rate name]],0),MATCH(OP_CMAB!G$22,OP_Rates_RES_2[[#Headers],[Ausnet]:[United Energy]],0))*DiY)+
(IFERROR((INDEX(OP_Rates_RES_2[[Ausnet]:[United Energy]],MATCH("Anytime - Block 1 charge",OP_Rates_RES_2[[Rate name]:[Rate name]],0),MATCH(OP_CMAB!G$22,OP_Rates_RES_2[[#Headers],[Ausnet]:[United Energy]],0))*
INDEX(Input_UsageAnytime[[F-CurrentVDO]:[F-NextVDO]],MATCH(OP_CMAB!$D24&amp;" - Block 1",Input_UsageAnytime[[Ref]:[Ref]],0),MATCH(OP_CMAB!$D$20,Inputs!$I$129:$M$129,0))),0)+
IFERROR((INDEX(OP_Rates_RES_2[[Ausnet]:[United Energy]],MATCH("Anytime - Balance charge",OP_Rates_RES_2[[Rate name]:[Rate name]],0),MATCH(OP_CMAB!G$22,OP_Rates_RES_2[[#Headers],[Ausnet]:[United Energy]],0))*
INDEX(Input_UsageAnytime[[F-CurrentVDO]:[F-NextVDO]],MATCH(OP_CMAB!$D24&amp;" - Balance",Input_UsageAnytime[[Ref]:[Ref]],0),MATCH(OP_CMAB!$D$20,Inputs!$I$129:$M$129,0))),0)+
IFERROR((INDEX(OP_Rates_RES_2[[Ausnet]:[United Energy]],MATCH("Anytime - Single rate charge",OP_Rates_RES_2[[Rate name]:[Rate name]],0),MATCH(OP_CMAB!G$22,OP_Rates_RES_2[[#Headers],[Ausnet]:[United Energy]],0))*
INDEX(Input_UsageAnytime[[F-CurrentVDO]:[F-NextVDO]],MATCH(OP_CMAB!$D24&amp;" - Annual",Input_UsageAnytime[[Ref]:[Ref]],0),MATCH(OP_CMAB!$D$20,Inputs!$I$129:$M$129,0))),0)),0),
ROUNDUP(
(INDEX(OP_Rates_RES_2[[Ausnet]:[United Energy]],MATCH("TOU - supply charge",OP_Rates_RES_2[[Rate name]:[Rate name]],0),MATCH(OP_CMAB!G$22,OP_Rates_RES_2[[#Headers],[Ausnet]:[United Energy]],0))*DiY)+
(INDEX(OP_Rates_RES_2[[Ausnet]:[United Energy]],MATCH("TOU - Peak charge",OP_Rates_RES_2[[Rate name]:[Rate name]],0),MATCH(OP_CMAB!G$22,OP_Rates_RES_2[[#Headers],[Ausnet]:[United Energy]],0))*
INDEX(Input_UsageTOU[[F-CurrentVDO]:[F-NextVDO]],MATCH($D24&amp;" - Peak",Input_UsageTOU[[Ref]:[Ref]],0),MATCH($D$20,Inputs!$I$155:$M$155,0)))+
IFERROR((INDEX(OP_Rates_RES_2[[Ausnet]:[United Energy]],MATCH("TOU - Shoulder charge",OP_Rates_RES_2[[Rate name]:[Rate name]],0),MATCH(OP_CMAB!G$22,OP_Rates_RES_2[[#Headers],[Ausnet]:[United Energy]],0))*
INDEX(Input_UsageTOU[[F-CurrentVDO]:[F-NextVDO]],MATCH($D24&amp;" - Shoulder",Input_UsageTOU[[Ref]:[Ref]],0),MATCH($D$20,Inputs!$I$155:$M$155,0))),0)+
(INDEX(OP_Rates_RES_2[[Ausnet]:[United Energy]],MATCH("TOU - Off peak charge",OP_Rates_RES_2[[Rate name]:[Rate name]],0),MATCH(OP_CMAB!G$22,OP_Rates_RES_2[[#Headers],[Ausnet]:[United Energy]],0))*
INDEX(Input_UsageTOU[[F-CurrentVDO]:[F-NextVDO]],MATCH($D24&amp;" - Off-peak",Input_UsageTOU[[Ref]:[Ref]],0),MATCH($D$20,Inputs!$I$155:$M$155,0))),0)),"-")</f>
        <v>1312</v>
      </c>
      <c r="H24" s="95">
        <f>IFERROR(
IF($D$20="VDO 2021 - Final",
ROUNDUP(
(INDEX(OP_Rates_RES_2[[Ausnet]:[United Energy]],MATCH("Anytime - supply charge",OP_Rates_RES_2[[Rate name]:[Rate name]],0),MATCH(OP_CMAB!H$22,OP_Rates_RES_2[[#Headers],[Ausnet]:[United Energy]],0))*DiY)+
(IFERROR((INDEX(OP_Rates_RES_2[[Ausnet]:[United Energy]],MATCH("Anytime - Block 1 charge",OP_Rates_RES_2[[Rate name]:[Rate name]],0),MATCH(OP_CMAB!H$22,OP_Rates_RES_2[[#Headers],[Ausnet]:[United Energy]],0))*
INDEX(Input_UsageAnytime[[F-CurrentVDO]:[F-NextVDO]],MATCH(OP_CMAB!$D24&amp;" - Block 1",Input_UsageAnytime[[Ref]:[Ref]],0),MATCH(OP_CMAB!$D$20,Inputs!$I$129:$M$129,0))),0)+
IFERROR((INDEX(OP_Rates_RES_2[[Ausnet]:[United Energy]],MATCH("Anytime - Balance charge",OP_Rates_RES_2[[Rate name]:[Rate name]],0),MATCH(OP_CMAB!H$22,OP_Rates_RES_2[[#Headers],[Ausnet]:[United Energy]],0))*
INDEX(Input_UsageAnytime[[F-CurrentVDO]:[F-NextVDO]],MATCH(OP_CMAB!$D24&amp;" - Balance",Input_UsageAnytime[[Ref]:[Ref]],0),MATCH(OP_CMAB!$D$20,Inputs!$I$129:$M$129,0))),0)+
IFERROR((INDEX(OP_Rates_RES_2[[Ausnet]:[United Energy]],MATCH("Anytime - Single rate charge",OP_Rates_RES_2[[Rate name]:[Rate name]],0),MATCH(OP_CMAB!H$22,OP_Rates_RES_2[[#Headers],[Ausnet]:[United Energy]],0))*
INDEX(Input_UsageAnytime[[F-CurrentVDO]:[F-NextVDO]],MATCH(OP_CMAB!$D24&amp;" - Annual",Input_UsageAnytime[[Ref]:[Ref]],0),MATCH(OP_CMAB!$D$20,Inputs!$I$129:$M$129,0))),0)),0),
ROUNDUP(
(INDEX(OP_Rates_RES_2[[Ausnet]:[United Energy]],MATCH("TOU - supply charge",OP_Rates_RES_2[[Rate name]:[Rate name]],0),MATCH(OP_CMAB!H$22,OP_Rates_RES_2[[#Headers],[Ausnet]:[United Energy]],0))*DiY)+
(INDEX(OP_Rates_RES_2[[Ausnet]:[United Energy]],MATCH("TOU - Peak charge",OP_Rates_RES_2[[Rate name]:[Rate name]],0),MATCH(OP_CMAB!H$22,OP_Rates_RES_2[[#Headers],[Ausnet]:[United Energy]],0))*
INDEX(Input_UsageTOU[[F-CurrentVDO]:[F-NextVDO]],MATCH($D24&amp;" - Peak",Input_UsageTOU[[Ref]:[Ref]],0),MATCH($D$20,Inputs!$I$155:$M$155,0)))+
IFERROR((INDEX(OP_Rates_RES_2[[Ausnet]:[United Energy]],MATCH("TOU - Shoulder charge",OP_Rates_RES_2[[Rate name]:[Rate name]],0),MATCH(OP_CMAB!H$22,OP_Rates_RES_2[[#Headers],[Ausnet]:[United Energy]],0))*
INDEX(Input_UsageTOU[[F-CurrentVDO]:[F-NextVDO]],MATCH($D24&amp;" - Shoulder",Input_UsageTOU[[Ref]:[Ref]],0),MATCH($D$20,Inputs!$I$155:$M$155,0))),0)+
(INDEX(OP_Rates_RES_2[[Ausnet]:[United Energy]],MATCH("TOU - Off peak charge",OP_Rates_RES_2[[Rate name]:[Rate name]],0),MATCH(OP_CMAB!H$22,OP_Rates_RES_2[[#Headers],[Ausnet]:[United Energy]],0))*
INDEX(Input_UsageTOU[[F-CurrentVDO]:[F-NextVDO]],MATCH($D24&amp;" - Off-peak",Input_UsageTOU[[Ref]:[Ref]],0),MATCH($D$20,Inputs!$I$155:$M$155,0))),0)),"-")</f>
        <v>1413</v>
      </c>
      <c r="I24" s="95">
        <f>IFERROR(
IF($D$20="VDO 2021 - Final",
ROUNDUP(
(INDEX(OP_Rates_RES_2[[Ausnet]:[United Energy]],MATCH("Anytime - supply charge",OP_Rates_RES_2[[Rate name]:[Rate name]],0),MATCH(OP_CMAB!I$22,OP_Rates_RES_2[[#Headers],[Ausnet]:[United Energy]],0))*DiY)+
(IFERROR((INDEX(OP_Rates_RES_2[[Ausnet]:[United Energy]],MATCH("Anytime - Block 1 charge",OP_Rates_RES_2[[Rate name]:[Rate name]],0),MATCH(OP_CMAB!I$22,OP_Rates_RES_2[[#Headers],[Ausnet]:[United Energy]],0))*
INDEX(Input_UsageAnytime[[F-CurrentVDO]:[F-NextVDO]],MATCH(OP_CMAB!$D24&amp;" - Block 1",Input_UsageAnytime[[Ref]:[Ref]],0),MATCH(OP_CMAB!$D$20,Inputs!$I$129:$M$129,0))),0)+
IFERROR((INDEX(OP_Rates_RES_2[[Ausnet]:[United Energy]],MATCH("Anytime - Balance charge",OP_Rates_RES_2[[Rate name]:[Rate name]],0),MATCH(OP_CMAB!I$22,OP_Rates_RES_2[[#Headers],[Ausnet]:[United Energy]],0))*
INDEX(Input_UsageAnytime[[F-CurrentVDO]:[F-NextVDO]],MATCH(OP_CMAB!$D24&amp;" - Balance",Input_UsageAnytime[[Ref]:[Ref]],0),MATCH(OP_CMAB!$D$20,Inputs!$I$129:$M$129,0))),0)+
IFERROR((INDEX(OP_Rates_RES_2[[Ausnet]:[United Energy]],MATCH("Anytime - Single rate charge",OP_Rates_RES_2[[Rate name]:[Rate name]],0),MATCH(OP_CMAB!I$22,OP_Rates_RES_2[[#Headers],[Ausnet]:[United Energy]],0))*
INDEX(Input_UsageAnytime[[F-CurrentVDO]:[F-NextVDO]],MATCH(OP_CMAB!$D24&amp;" - Annual",Input_UsageAnytime[[Ref]:[Ref]],0),MATCH(OP_CMAB!$D$20,Inputs!$I$129:$M$129,0))),0)),0),
ROUNDUP(
(INDEX(OP_Rates_RES_2[[Ausnet]:[United Energy]],MATCH("TOU - supply charge",OP_Rates_RES_2[[Rate name]:[Rate name]],0),MATCH(OP_CMAB!I$22,OP_Rates_RES_2[[#Headers],[Ausnet]:[United Energy]],0))*DiY)+
(INDEX(OP_Rates_RES_2[[Ausnet]:[United Energy]],MATCH("TOU - Peak charge",OP_Rates_RES_2[[Rate name]:[Rate name]],0),MATCH(OP_CMAB!I$22,OP_Rates_RES_2[[#Headers],[Ausnet]:[United Energy]],0))*
INDEX(Input_UsageTOU[[F-CurrentVDO]:[F-NextVDO]],MATCH($D24&amp;" - Peak",Input_UsageTOU[[Ref]:[Ref]],0),MATCH($D$20,Inputs!$I$155:$M$155,0)))+
IFERROR((INDEX(OP_Rates_RES_2[[Ausnet]:[United Energy]],MATCH("TOU - Shoulder charge",OP_Rates_RES_2[[Rate name]:[Rate name]],0),MATCH(OP_CMAB!I$22,OP_Rates_RES_2[[#Headers],[Ausnet]:[United Energy]],0))*
INDEX(Input_UsageTOU[[F-CurrentVDO]:[F-NextVDO]],MATCH($D24&amp;" - Shoulder",Input_UsageTOU[[Ref]:[Ref]],0),MATCH($D$20,Inputs!$I$155:$M$155,0))),0)+
(INDEX(OP_Rates_RES_2[[Ausnet]:[United Energy]],MATCH("TOU - Off peak charge",OP_Rates_RES_2[[Rate name]:[Rate name]],0),MATCH(OP_CMAB!I$22,OP_Rates_RES_2[[#Headers],[Ausnet]:[United Energy]],0))*
INDEX(Input_UsageTOU[[F-CurrentVDO]:[F-NextVDO]],MATCH($D24&amp;" - Off-peak",Input_UsageTOU[[Ref]:[Ref]],0),MATCH($D$20,Inputs!$I$155:$M$155,0))),0)),"-")</f>
        <v>1344</v>
      </c>
      <c r="K24" s="21" t="s">
        <v>89</v>
      </c>
      <c r="L24" s="21" t="s">
        <v>225</v>
      </c>
      <c r="M24" s="95">
        <f>IFERROR(
IF($D$20="VDO 2021 - Final",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INDEX(Input_UsageAnytime[[F-CurrentVDO]:[F-NextVDO]],MATCH(OP_CMAB!$L24&amp;" - Block 1",Input_UsageAnytime[Ref],0),MATCH(OP_CMAB!$D$20,Inputs!$I$129:$M$129,0))),0)+
IFERROR((INDEX(OP_Rates_SME_2[[Ausnet]:[United Energy]],MATCH("Anytime - Balance charge",OP_Rates_SME_2[Rate name],0),MATCH(OP_CMAB!M$22,OP_Rates_SME_2[[#Headers],[Ausnet]:[United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INDEX(Input_UsageAnytime[[F-CurrentVDO]:[F-NextVDO]],MATCH(OP_CMAB!$L24&amp;" - Annual",Input_UsageAnytime[Ref],0),MATCH(OP_CMAB!$D$20,Inputs!$I$129:$M$129,0))),0)),0),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INDEX(Input_UsageTOU[[F-CurrentVDO]:[F-NextVDO]],MATCH($L24&amp;" - Peak",Input_UsageTOU[Ref],0),MATCH($D$20,Inputs!$I$155:$M$155,0)))+
IFERROR((INDEX(OP_Rates_SME_2[[Ausnet]:[United Energy]],MATCH("TOU - Shoulder charge",OP_Rates_SME_2[Rate name],0),MATCH(OP_CMAB!M$22,OP_Rates_SME_2[[#Headers],[Ausnet]:[United Energy]],0))*
INDEX(Input_UsageTOU[[F-CurrentVDO]:[F-NextVDO]],MATCH($L24&amp;" - Shoulder",Input_UsageTOU[Ref],0),MATCH($D$20,Inputs!$I$155:$M$155,0))),0)+
(INDEX(OP_Rates_SME_2[[Ausnet]:[United Energy]],MATCH("TOU - Off peak charge",OP_Rates_SME_2[Rate name],0),MATCH(OP_CMAB!M$22,OP_Rates_SME_2[[#Headers],[Ausnet]:[United Energy]],0))*
INDEX(Input_UsageTOU[[F-CurrentVDO]:[F-NextVDO]],MATCH($L24&amp;" - Off-peak",Input_UsageTOU[Ref],0),MATCH($D$20,Inputs!$I$155:$M$155,0))),0)),"-")</f>
        <v>5598</v>
      </c>
      <c r="N24" s="95">
        <f>IFERROR(
IF($D$20="VDO 2021 - Final",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INDEX(Input_UsageAnytime[[F-CurrentVDO]:[F-NextVDO]],MATCH(OP_CMAB!$L24&amp;" - Block 1",Input_UsageAnytime[Ref],0),MATCH(OP_CMAB!$D$20,Inputs!$I$129:$M$129,0))),0)+
IFERROR((INDEX(OP_Rates_SME_2[[Ausnet]:[United Energy]],MATCH("Anytime - Balance charge",OP_Rates_SME_2[Rate name],0),MATCH(OP_CMAB!N$22,OP_Rates_SME_2[[#Headers],[Ausnet]:[United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INDEX(Input_UsageAnytime[[F-CurrentVDO]:[F-NextVDO]],MATCH(OP_CMAB!$L24&amp;" - Annual",Input_UsageAnytime[Ref],0),MATCH(OP_CMAB!$D$20,Inputs!$I$129:$M$129,0))),0)),0),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INDEX(Input_UsageTOU[[F-CurrentVDO]:[F-NextVDO]],MATCH($L24&amp;" - Peak",Input_UsageTOU[Ref],0),MATCH($D$20,Inputs!$I$155:$M$155,0)))+
IFERROR((INDEX(OP_Rates_SME_2[[Ausnet]:[United Energy]],MATCH("TOU - Shoulder charge",OP_Rates_SME_2[Rate name],0),MATCH(OP_CMAB!N$22,OP_Rates_SME_2[[#Headers],[Ausnet]:[United Energy]],0))*
INDEX(Input_UsageTOU[[F-CurrentVDO]:[F-NextVDO]],MATCH($L24&amp;" - Shoulder",Input_UsageTOU[Ref],0),MATCH($D$20,Inputs!$I$155:$M$155,0))),0)+
(INDEX(OP_Rates_SME_2[[Ausnet]:[United Energy]],MATCH("TOU - Off peak charge",OP_Rates_SME_2[Rate name],0),MATCH(OP_CMAB!N$22,OP_Rates_SME_2[[#Headers],[Ausnet]:[United Energy]],0))*
INDEX(Input_UsageTOU[[F-CurrentVDO]:[F-NextVDO]],MATCH($L24&amp;" - Off-peak",Input_UsageTOU[Ref],0),MATCH($D$20,Inputs!$I$155:$M$155,0))),0)),"-")</f>
        <v>4997</v>
      </c>
      <c r="O24" s="95">
        <f>IFERROR(
IF($D$20="VDO 2021 - Final",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INDEX(Input_UsageAnytime[[F-CurrentVDO]:[F-NextVDO]],MATCH(OP_CMAB!$L24&amp;" - Block 1",Input_UsageAnytime[Ref],0),MATCH(OP_CMAB!$D$20,Inputs!$I$129:$M$129,0))),0)+
IFERROR((INDEX(OP_Rates_SME_2[[Ausnet]:[United Energy]],MATCH("Anytime - Balance charge",OP_Rates_SME_2[Rate name],0),MATCH(OP_CMAB!O$22,OP_Rates_SME_2[[#Headers],[Ausnet]:[United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INDEX(Input_UsageAnytime[[F-CurrentVDO]:[F-NextVDO]],MATCH(OP_CMAB!$L24&amp;" - Annual",Input_UsageAnytime[Ref],0),MATCH(OP_CMAB!$D$20,Inputs!$I$129:$M$129,0))),0)),0),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INDEX(Input_UsageTOU[[F-CurrentVDO]:[F-NextVDO]],MATCH($L24&amp;" - Peak",Input_UsageTOU[Ref],0),MATCH($D$20,Inputs!$I$155:$M$155,0)))+
IFERROR((INDEX(OP_Rates_SME_2[[Ausnet]:[United Energy]],MATCH("TOU - Shoulder charge",OP_Rates_SME_2[Rate name],0),MATCH(OP_CMAB!O$22,OP_Rates_SME_2[[#Headers],[Ausnet]:[United Energy]],0))*
INDEX(Input_UsageTOU[[F-CurrentVDO]:[F-NextVDO]],MATCH($L24&amp;" - Shoulder",Input_UsageTOU[Ref],0),MATCH($D$20,Inputs!$I$155:$M$155,0))),0)+
(INDEX(OP_Rates_SME_2[[Ausnet]:[United Energy]],MATCH("TOU - Off peak charge",OP_Rates_SME_2[Rate name],0),MATCH(OP_CMAB!O$22,OP_Rates_SME_2[[#Headers],[Ausnet]:[United Energy]],0))*
INDEX(Input_UsageTOU[[F-CurrentVDO]:[F-NextVDO]],MATCH($L24&amp;" - Off-peak",Input_UsageTOU[Ref],0),MATCH($D$20,Inputs!$I$155:$M$155,0))),0)),"-")</f>
        <v>5213</v>
      </c>
      <c r="P24" s="95">
        <f>IFERROR(
IF($D$20="VDO 2021 - Final",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INDEX(Input_UsageAnytime[[F-CurrentVDO]:[F-NextVDO]],MATCH(OP_CMAB!$L24&amp;" - Block 1",Input_UsageAnytime[Ref],0),MATCH(OP_CMAB!$D$20,Inputs!$I$129:$M$129,0))),0)+
IFERROR((INDEX(OP_Rates_SME_2[[Ausnet]:[United Energy]],MATCH("Anytime - Balance charge",OP_Rates_SME_2[Rate name],0),MATCH(OP_CMAB!P$22,OP_Rates_SME_2[[#Headers],[Ausnet]:[United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INDEX(Input_UsageAnytime[[F-CurrentVDO]:[F-NextVDO]],MATCH(OP_CMAB!$L24&amp;" - Annual",Input_UsageAnytime[Ref],0),MATCH(OP_CMAB!$D$20,Inputs!$I$129:$M$129,0))),0)),0),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INDEX(Input_UsageTOU[[F-CurrentVDO]:[F-NextVDO]],MATCH($L24&amp;" - Peak",Input_UsageTOU[Ref],0),MATCH($D$20,Inputs!$I$155:$M$155,0)))+
IFERROR((INDEX(OP_Rates_SME_2[[Ausnet]:[United Energy]],MATCH("TOU - Shoulder charge",OP_Rates_SME_2[Rate name],0),MATCH(OP_CMAB!P$22,OP_Rates_SME_2[[#Headers],[Ausnet]:[United Energy]],0))*
INDEX(Input_UsageTOU[[F-CurrentVDO]:[F-NextVDO]],MATCH($L24&amp;" - Shoulder",Input_UsageTOU[Ref],0),MATCH($D$20,Inputs!$I$155:$M$155,0))),0)+
(INDEX(OP_Rates_SME_2[[Ausnet]:[United Energy]],MATCH("TOU - Off peak charge",OP_Rates_SME_2[Rate name],0),MATCH(OP_CMAB!P$22,OP_Rates_SME_2[[#Headers],[Ausnet]:[United Energy]],0))*
INDEX(Input_UsageTOU[[F-CurrentVDO]:[F-NextVDO]],MATCH($L24&amp;" - Off-peak",Input_UsageTOU[Ref],0),MATCH($D$20,Inputs!$I$155:$M$155,0))),0)),"-")</f>
        <v>5194</v>
      </c>
      <c r="Q24" s="95">
        <f>IFERROR(
IF($D$20="VDO 2021 - Final",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INDEX(Input_UsageAnytime[[F-CurrentVDO]:[F-NextVDO]],MATCH(OP_CMAB!$L24&amp;" - Block 1",Input_UsageAnytime[Ref],0),MATCH(OP_CMAB!$D$20,Inputs!$I$129:$M$129,0))),0)+
IFERROR((INDEX(OP_Rates_SME_2[[Ausnet]:[United Energy]],MATCH("Anytime - Balance charge",OP_Rates_SME_2[Rate name],0),MATCH(OP_CMAB!Q$22,OP_Rates_SME_2[[#Headers],[Ausnet]:[United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INDEX(Input_UsageAnytime[[F-CurrentVDO]:[F-NextVDO]],MATCH(OP_CMAB!$L24&amp;" - Annual",Input_UsageAnytime[Ref],0),MATCH(OP_CMAB!$D$20,Inputs!$I$129:$M$129,0))),0)),0),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INDEX(Input_UsageTOU[[F-CurrentVDO]:[F-NextVDO]],MATCH($L24&amp;" - Peak",Input_UsageTOU[Ref],0),MATCH($D$20,Inputs!$I$155:$M$155,0)))+
IFERROR((INDEX(OP_Rates_SME_2[[Ausnet]:[United Energy]],MATCH("TOU - Shoulder charge",OP_Rates_SME_2[Rate name],0),MATCH(OP_CMAB!Q$22,OP_Rates_SME_2[[#Headers],[Ausnet]:[United Energy]],0))*
INDEX(Input_UsageTOU[[F-CurrentVDO]:[F-NextVDO]],MATCH($L24&amp;" - Shoulder",Input_UsageTOU[Ref],0),MATCH($D$20,Inputs!$I$155:$M$155,0))),0)+
(INDEX(OP_Rates_SME_2[[Ausnet]:[United Energy]],MATCH("TOU - Off peak charge",OP_Rates_SME_2[Rate name],0),MATCH(OP_CMAB!Q$22,OP_Rates_SME_2[[#Headers],[Ausnet]:[United Energy]],0))*
INDEX(Input_UsageTOU[[F-CurrentVDO]:[F-NextVDO]],MATCH($L24&amp;" - Off-peak",Input_UsageTOU[Ref],0),MATCH($D$20,Inputs!$I$155:$M$155,0))),0)),"-")</f>
        <v>5116</v>
      </c>
    </row>
    <row r="25" spans="1:18" hidden="1" x14ac:dyDescent="0.35">
      <c r="C25" s="40" t="s">
        <v>88</v>
      </c>
      <c r="D25" s="40" t="s">
        <v>223</v>
      </c>
      <c r="E25" s="103">
        <f>IFERROR(
IF($D$20="VDO 2021 - Final",
ROUNDUP(
(INDEX(OP_Rates_RES_2[[Ausnet]:[United Energy]],MATCH("Anytime - supply charge",OP_Rates_RES_2[[Rate name]:[Rate name]],0),MATCH(OP_CMAB!E$22,OP_Rates_RES_2[[#Headers],[Ausnet]:[United Energy]],0))*DiY)+
(IFERROR((INDEX(OP_Rates_RES_2[[Ausnet]:[United Energy]],MATCH("Anytime - Block 1 charge",OP_Rates_RES_2[[Rate name]:[Rate name]],0),MATCH(OP_CMAB!E$22,OP_Rates_RES_2[[#Headers],[Ausnet]:[United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name]],0),MATCH(OP_CMAB!E$22,OP_Rates_RES_2[[#Headers],[Ausnet]:[United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name]],0),MATCH(OP_CMAB!E$22,OP_Rates_RES_2[[#Headers],[Ausnet]:[United Energy]],0))*
INDEX(Input_UsageAnytime[[F-CurrentVDO]:[F-NextVDO]],MATCH(OP_CMAB!$D25&amp;" - Annual",Input_UsageAnytime[[Ref]:[Ref]],0),MATCH(OP_CMAB!$D$20,Inputs!$I$129:$M$129,0))),0)),0),
ROUNDUP(
(INDEX(OP_Rates_RES_2[[Ausnet]:[United Energy]],MATCH("TOU - supply charge",OP_Rates_RES_2[[Rate name]:[Rate name]],0),MATCH(OP_CMAB!E$22,OP_Rates_RES_2[[#Headers],[Ausnet]:[United Energy]],0))*DiY)+
(INDEX(OP_Rates_RES_2[[Ausnet]:[United Energy]],MATCH("TOU - Peak charge",OP_Rates_RES_2[[Rate name]:[Rate name]],0),MATCH(OP_CMAB!E$22,OP_Rates_RES_2[[#Headers],[Ausnet]:[United Energy]],0))*
INDEX(Input_UsageTOU[[F-CurrentVDO]:[F-NextVDO]],MATCH($D25&amp;" - Peak",Input_UsageTOU[[Ref]:[Ref]],0),MATCH($D$20,Inputs!$I$155:$M$155,0)))+
IFERROR((INDEX(OP_Rates_RES_2[[Ausnet]:[United Energy]],MATCH("TOU - Shoulder charge",OP_Rates_RES_2[[Rate name]:[Rate name]],0),MATCH(OP_CMAB!E$22,OP_Rates_RES_2[[#Headers],[Ausnet]:[United Energy]],0))*
INDEX(Input_UsageTOU[[F-CurrentVDO]:[F-NextVDO]],MATCH($D25&amp;" - Shoulder",Input_UsageTOU[[Ref]:[Ref]],0),MATCH($D$20,Inputs!$I$155:$M$155,0))),0)+
(INDEX(OP_Rates_RES_2[[Ausnet]:[United Energy]],MATCH("TOU - Off peak charge",OP_Rates_RES_2[[Rate name]:[Rate name]],0),MATCH(OP_CMAB!E$22,OP_Rates_RES_2[[#Headers],[Ausnet]:[United Energy]],0))*
INDEX(Input_UsageTOU[[F-CurrentVDO]:[F-NextVDO]],MATCH($D25&amp;" - Off-peak",Input_UsageTOU[[Ref]:[Ref]],0),MATCH($D$20,Inputs!$I$155:$M$155,0))),0)),"-")</f>
        <v>2529</v>
      </c>
      <c r="F25" s="103">
        <f>IFERROR(
IF($D$20="VDO 2021 - Final",
ROUNDUP(
(INDEX(OP_Rates_RES_2[[Ausnet]:[United Energy]],MATCH("Anytime - supply charge",OP_Rates_RES_2[[Rate name]:[Rate name]],0),MATCH(OP_CMAB!F$22,OP_Rates_RES_2[[#Headers],[Ausnet]:[United Energy]],0))*DiY)+
(IFERROR((INDEX(OP_Rates_RES_2[[Ausnet]:[United Energy]],MATCH("Anytime - Block 1 charge",OP_Rates_RES_2[[Rate name]:[Rate name]],0),MATCH(OP_CMAB!F$22,OP_Rates_RES_2[[#Headers],[Ausnet]:[United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name]],0),MATCH(OP_CMAB!F$22,OP_Rates_RES_2[[#Headers],[Ausnet]:[United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name]],0),MATCH(OP_CMAB!F$22,OP_Rates_RES_2[[#Headers],[Ausnet]:[United Energy]],0))*
INDEX(Input_UsageAnytime[[F-CurrentVDO]:[F-NextVDO]],MATCH(OP_CMAB!$D25&amp;" - Annual",Input_UsageAnytime[[Ref]:[Ref]],0),MATCH(OP_CMAB!$D$20,Inputs!$I$129:$M$129,0))),0)),0),
ROUNDUP(
(INDEX(OP_Rates_RES_2[[Ausnet]:[United Energy]],MATCH("TOU - supply charge",OP_Rates_RES_2[[Rate name]:[Rate name]],0),MATCH(OP_CMAB!F$22,OP_Rates_RES_2[[#Headers],[Ausnet]:[United Energy]],0))*DiY)+
(INDEX(OP_Rates_RES_2[[Ausnet]:[United Energy]],MATCH("TOU - Peak charge",OP_Rates_RES_2[[Rate name]:[Rate name]],0),MATCH(OP_CMAB!F$22,OP_Rates_RES_2[[#Headers],[Ausnet]:[United Energy]],0))*
INDEX(Input_UsageTOU[[F-CurrentVDO]:[F-NextVDO]],MATCH($D25&amp;" - Peak",Input_UsageTOU[[Ref]:[Ref]],0),MATCH($D$20,Inputs!$I$155:$M$155,0)))+
IFERROR((INDEX(OP_Rates_RES_2[[Ausnet]:[United Energy]],MATCH("TOU - Shoulder charge",OP_Rates_RES_2[[Rate name]:[Rate name]],0),MATCH(OP_CMAB!F$22,OP_Rates_RES_2[[#Headers],[Ausnet]:[United Energy]],0))*
INDEX(Input_UsageTOU[[F-CurrentVDO]:[F-NextVDO]],MATCH($D25&amp;" - Shoulder",Input_UsageTOU[[Ref]:[Ref]],0),MATCH($D$20,Inputs!$I$155:$M$155,0))),0)+
(INDEX(OP_Rates_RES_2[[Ausnet]:[United Energy]],MATCH("TOU - Off peak charge",OP_Rates_RES_2[[Rate name]:[Rate name]],0),MATCH(OP_CMAB!F$22,OP_Rates_RES_2[[#Headers],[Ausnet]:[United Energy]],0))*
INDEX(Input_UsageTOU[[F-CurrentVDO]:[F-NextVDO]],MATCH($D25&amp;" - Off-peak",Input_UsageTOU[[Ref]:[Ref]],0),MATCH($D$20,Inputs!$I$155:$M$155,0))),0)),"-")</f>
        <v>2254</v>
      </c>
      <c r="G25" s="103">
        <f>IFERROR(
IF($D$20="VDO 2021 - Final",
ROUNDUP(
(INDEX(OP_Rates_RES_2[[Ausnet]:[United Energy]],MATCH("Anytime - supply charge",OP_Rates_RES_2[[Rate name]:[Rate name]],0),MATCH(OP_CMAB!G$22,OP_Rates_RES_2[[#Headers],[Ausnet]:[United Energy]],0))*DiY)+
(IFERROR((INDEX(OP_Rates_RES_2[[Ausnet]:[United Energy]],MATCH("Anytime - Block 1 charge",OP_Rates_RES_2[[Rate name]:[Rate name]],0),MATCH(OP_CMAB!G$22,OP_Rates_RES_2[[#Headers],[Ausnet]:[United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name]],0),MATCH(OP_CMAB!G$22,OP_Rates_RES_2[[#Headers],[Ausnet]:[United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name]],0),MATCH(OP_CMAB!G$22,OP_Rates_RES_2[[#Headers],[Ausnet]:[United Energy]],0))*
INDEX(Input_UsageAnytime[[F-CurrentVDO]:[F-NextVDO]],MATCH(OP_CMAB!$D25&amp;" - Annual",Input_UsageAnytime[[Ref]:[Ref]],0),MATCH(OP_CMAB!$D$20,Inputs!$I$129:$M$129,0))),0)),0),
ROUNDUP(
(INDEX(OP_Rates_RES_2[[Ausnet]:[United Energy]],MATCH("TOU - supply charge",OP_Rates_RES_2[[Rate name]:[Rate name]],0),MATCH(OP_CMAB!G$22,OP_Rates_RES_2[[#Headers],[Ausnet]:[United Energy]],0))*DiY)+
(INDEX(OP_Rates_RES_2[[Ausnet]:[United Energy]],MATCH("TOU - Peak charge",OP_Rates_RES_2[[Rate name]:[Rate name]],0),MATCH(OP_CMAB!G$22,OP_Rates_RES_2[[#Headers],[Ausnet]:[United Energy]],0))*
INDEX(Input_UsageTOU[[F-CurrentVDO]:[F-NextVDO]],MATCH($D25&amp;" - Peak",Input_UsageTOU[[Ref]:[Ref]],0),MATCH($D$20,Inputs!$I$155:$M$155,0)))+
IFERROR((INDEX(OP_Rates_RES_2[[Ausnet]:[United Energy]],MATCH("TOU - Shoulder charge",OP_Rates_RES_2[[Rate name]:[Rate name]],0),MATCH(OP_CMAB!G$22,OP_Rates_RES_2[[#Headers],[Ausnet]:[United Energy]],0))*
INDEX(Input_UsageTOU[[F-CurrentVDO]:[F-NextVDO]],MATCH($D25&amp;" - Shoulder",Input_UsageTOU[[Ref]:[Ref]],0),MATCH($D$20,Inputs!$I$155:$M$155,0))),0)+
(INDEX(OP_Rates_RES_2[[Ausnet]:[United Energy]],MATCH("TOU - Off peak charge",OP_Rates_RES_2[[Rate name]:[Rate name]],0),MATCH(OP_CMAB!G$22,OP_Rates_RES_2[[#Headers],[Ausnet]:[United Energy]],0))*
INDEX(Input_UsageTOU[[F-CurrentVDO]:[F-NextVDO]],MATCH($D25&amp;" - Off-peak",Input_UsageTOU[[Ref]:[Ref]],0),MATCH($D$20,Inputs!$I$155:$M$155,0))),0)),"-")</f>
        <v>2233</v>
      </c>
      <c r="H25" s="103">
        <f>IFERROR(
IF($D$20="VDO 2021 - Final",
ROUNDUP(
(INDEX(OP_Rates_RES_2[[Ausnet]:[United Energy]],MATCH("Anytime - supply charge",OP_Rates_RES_2[[Rate name]:[Rate name]],0),MATCH(OP_CMAB!H$22,OP_Rates_RES_2[[#Headers],[Ausnet]:[United Energy]],0))*DiY)+
(IFERROR((INDEX(OP_Rates_RES_2[[Ausnet]:[United Energy]],MATCH("Anytime - Block 1 charge",OP_Rates_RES_2[[Rate name]:[Rate name]],0),MATCH(OP_CMAB!H$22,OP_Rates_RES_2[[#Headers],[Ausnet]:[United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name]],0),MATCH(OP_CMAB!H$22,OP_Rates_RES_2[[#Headers],[Ausnet]:[United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name]],0),MATCH(OP_CMAB!H$22,OP_Rates_RES_2[[#Headers],[Ausnet]:[United Energy]],0))*
INDEX(Input_UsageAnytime[[F-CurrentVDO]:[F-NextVDO]],MATCH(OP_CMAB!$D25&amp;" - Annual",Input_UsageAnytime[[Ref]:[Ref]],0),MATCH(OP_CMAB!$D$20,Inputs!$I$129:$M$129,0))),0)),0),
ROUNDUP(
(INDEX(OP_Rates_RES_2[[Ausnet]:[United Energy]],MATCH("TOU - supply charge",OP_Rates_RES_2[[Rate name]:[Rate name]],0),MATCH(OP_CMAB!H$22,OP_Rates_RES_2[[#Headers],[Ausnet]:[United Energy]],0))*DiY)+
(INDEX(OP_Rates_RES_2[[Ausnet]:[United Energy]],MATCH("TOU - Peak charge",OP_Rates_RES_2[[Rate name]:[Rate name]],0),MATCH(OP_CMAB!H$22,OP_Rates_RES_2[[#Headers],[Ausnet]:[United Energy]],0))*
INDEX(Input_UsageTOU[[F-CurrentVDO]:[F-NextVDO]],MATCH($D25&amp;" - Peak",Input_UsageTOU[[Ref]:[Ref]],0),MATCH($D$20,Inputs!$I$155:$M$155,0)))+
IFERROR((INDEX(OP_Rates_RES_2[[Ausnet]:[United Energy]],MATCH("TOU - Shoulder charge",OP_Rates_RES_2[[Rate name]:[Rate name]],0),MATCH(OP_CMAB!H$22,OP_Rates_RES_2[[#Headers],[Ausnet]:[United Energy]],0))*
INDEX(Input_UsageTOU[[F-CurrentVDO]:[F-NextVDO]],MATCH($D25&amp;" - Shoulder",Input_UsageTOU[[Ref]:[Ref]],0),MATCH($D$20,Inputs!$I$155:$M$155,0))),0)+
(INDEX(OP_Rates_RES_2[[Ausnet]:[United Energy]],MATCH("TOU - Off peak charge",OP_Rates_RES_2[[Rate name]:[Rate name]],0),MATCH(OP_CMAB!H$22,OP_Rates_RES_2[[#Headers],[Ausnet]:[United Energy]],0))*
INDEX(Input_UsageTOU[[F-CurrentVDO]:[F-NextVDO]],MATCH($D25&amp;" - Off-peak",Input_UsageTOU[[Ref]:[Ref]],0),MATCH($D$20,Inputs!$I$155:$M$155,0))),0)),"-")</f>
        <v>2363</v>
      </c>
      <c r="I25" s="103">
        <f>IFERROR(
IF($D$20="VDO 2021 - Final",
ROUNDUP(
(INDEX(OP_Rates_RES_2[[Ausnet]:[United Energy]],MATCH("Anytime - supply charge",OP_Rates_RES_2[[Rate name]:[Rate name]],0),MATCH(OP_CMAB!I$22,OP_Rates_RES_2[[#Headers],[Ausnet]:[United Energy]],0))*DiY)+
(IFERROR((INDEX(OP_Rates_RES_2[[Ausnet]:[United Energy]],MATCH("Anytime - Block 1 charge",OP_Rates_RES_2[[Rate name]:[Rate name]],0),MATCH(OP_CMAB!I$22,OP_Rates_RES_2[[#Headers],[Ausnet]:[United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name]],0),MATCH(OP_CMAB!I$22,OP_Rates_RES_2[[#Headers],[Ausnet]:[United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name]],0),MATCH(OP_CMAB!I$22,OP_Rates_RES_2[[#Headers],[Ausnet]:[United Energy]],0))*
INDEX(Input_UsageAnytime[[F-CurrentVDO]:[F-NextVDO]],MATCH(OP_CMAB!$D25&amp;" - Annual",Input_UsageAnytime[[Ref]:[Ref]],0),MATCH(OP_CMAB!$D$20,Inputs!$I$129:$M$129,0))),0)),0),
ROUNDUP(
(INDEX(OP_Rates_RES_2[[Ausnet]:[United Energy]],MATCH("TOU - supply charge",OP_Rates_RES_2[[Rate name]:[Rate name]],0),MATCH(OP_CMAB!I$22,OP_Rates_RES_2[[#Headers],[Ausnet]:[United Energy]],0))*DiY)+
(INDEX(OP_Rates_RES_2[[Ausnet]:[United Energy]],MATCH("TOU - Peak charge",OP_Rates_RES_2[[Rate name]:[Rate name]],0),MATCH(OP_CMAB!I$22,OP_Rates_RES_2[[#Headers],[Ausnet]:[United Energy]],0))*
INDEX(Input_UsageTOU[[F-CurrentVDO]:[F-NextVDO]],MATCH($D25&amp;" - Peak",Input_UsageTOU[[Ref]:[Ref]],0),MATCH($D$20,Inputs!$I$155:$M$155,0)))+
IFERROR((INDEX(OP_Rates_RES_2[[Ausnet]:[United Energy]],MATCH("TOU - Shoulder charge",OP_Rates_RES_2[[Rate name]:[Rate name]],0),MATCH(OP_CMAB!I$22,OP_Rates_RES_2[[#Headers],[Ausnet]:[United Energy]],0))*
INDEX(Input_UsageTOU[[F-CurrentVDO]:[F-NextVDO]],MATCH($D25&amp;" - Shoulder",Input_UsageTOU[[Ref]:[Ref]],0),MATCH($D$20,Inputs!$I$155:$M$155,0))),0)+
(INDEX(OP_Rates_RES_2[[Ausnet]:[United Energy]],MATCH("TOU - Off peak charge",OP_Rates_RES_2[[Rate name]:[Rate name]],0),MATCH(OP_CMAB!I$22,OP_Rates_RES_2[[#Headers],[Ausnet]:[United Energy]],0))*
INDEX(Input_UsageTOU[[F-CurrentVDO]:[F-NextVDO]],MATCH($D25&amp;" - Off-peak",Input_UsageTOU[[Ref]:[Ref]],0),MATCH($D$20,Inputs!$I$155:$M$155,0))),0)),"-")</f>
        <v>2313</v>
      </c>
      <c r="K25" s="40" t="s">
        <v>89</v>
      </c>
      <c r="L25" s="40" t="s">
        <v>226</v>
      </c>
      <c r="M25" s="103">
        <f>IFERROR(
IF($D$20="VDO 2021 - Final",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INDEX(Input_UsageAnytime[[F-CurrentVDO]:[F-NextVDO]],MATCH(OP_CMAB!$L25&amp;" - Block 1",Input_UsageAnytime[Ref],0),MATCH(OP_CMAB!$D$20,Inputs!$I$129:$M$129,0))),0)+
IFERROR((INDEX(OP_Rates_SME_2[[Ausnet]:[United Energy]],MATCH("Anytime - Balance charge",OP_Rates_SME_2[Rate name],0),MATCH(OP_CMAB!M$22,OP_Rates_SME_2[[#Headers],[Ausnet]:[United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INDEX(Input_UsageAnytime[[F-CurrentVDO]:[F-NextVDO]],MATCH(OP_CMAB!$L25&amp;" - Annual",Input_UsageAnytime[Ref],0),MATCH(OP_CMAB!$D$20,Inputs!$I$129:$M$129,0))),0)),0),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INDEX(Input_UsageTOU[[F-CurrentVDO]:[F-NextVDO]],MATCH($L25&amp;" - Peak",Input_UsageTOU[Ref],0),MATCH($D$20,Inputs!$I$155:$M$155,0)))+
IFERROR((INDEX(OP_Rates_SME_2[[Ausnet]:[United Energy]],MATCH("TOU - Shoulder charge",OP_Rates_SME_2[Rate name],0),MATCH(OP_CMAB!M$22,OP_Rates_SME_2[[#Headers],[Ausnet]:[United Energy]],0))*
INDEX(Input_UsageTOU[[F-CurrentVDO]:[F-NextVDO]],MATCH($L25&amp;" - Shoulder",Input_UsageTOU[Ref],0),MATCH($D$20,Inputs!$I$155:$M$155,0))),0)+
(INDEX(OP_Rates_SME_2[[Ausnet]:[United Energy]],MATCH("TOU - Off peak charge",OP_Rates_SME_2[Rate name],0),MATCH(OP_CMAB!M$22,OP_Rates_SME_2[[#Headers],[Ausnet]:[United Energy]],0))*
INDEX(Input_UsageTOU[[F-CurrentVDO]:[F-NextVDO]],MATCH($L25&amp;" - Off-peak",Input_UsageTOU[Ref],0),MATCH($D$20,Inputs!$I$155:$M$155,0))),0)),"-")</f>
        <v>10759</v>
      </c>
      <c r="N25" s="103">
        <f>IFERROR(
IF($D$20="VDO 2021 - Final",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INDEX(Input_UsageAnytime[[F-CurrentVDO]:[F-NextVDO]],MATCH(OP_CMAB!$L25&amp;" - Block 1",Input_UsageAnytime[Ref],0),MATCH(OP_CMAB!$D$20,Inputs!$I$129:$M$129,0))),0)+
IFERROR((INDEX(OP_Rates_SME_2[[Ausnet]:[United Energy]],MATCH("Anytime - Balance charge",OP_Rates_SME_2[Rate name],0),MATCH(OP_CMAB!N$22,OP_Rates_SME_2[[#Headers],[Ausnet]:[United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INDEX(Input_UsageAnytime[[F-CurrentVDO]:[F-NextVDO]],MATCH(OP_CMAB!$L25&amp;" - Annual",Input_UsageAnytime[Ref],0),MATCH(OP_CMAB!$D$20,Inputs!$I$129:$M$129,0))),0)),0),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INDEX(Input_UsageTOU[[F-CurrentVDO]:[F-NextVDO]],MATCH($L25&amp;" - Peak",Input_UsageTOU[Ref],0),MATCH($D$20,Inputs!$I$155:$M$155,0)))+
IFERROR((INDEX(OP_Rates_SME_2[[Ausnet]:[United Energy]],MATCH("TOU - Shoulder charge",OP_Rates_SME_2[Rate name],0),MATCH(OP_CMAB!N$22,OP_Rates_SME_2[[#Headers],[Ausnet]:[United Energy]],0))*
INDEX(Input_UsageTOU[[F-CurrentVDO]:[F-NextVDO]],MATCH($L25&amp;" - Shoulder",Input_UsageTOU[Ref],0),MATCH($D$20,Inputs!$I$155:$M$155,0))),0)+
(INDEX(OP_Rates_SME_2[[Ausnet]:[United Energy]],MATCH("TOU - Off peak charge",OP_Rates_SME_2[Rate name],0),MATCH(OP_CMAB!N$22,OP_Rates_SME_2[[#Headers],[Ausnet]:[United Energy]],0))*
INDEX(Input_UsageTOU[[F-CurrentVDO]:[F-NextVDO]],MATCH($L25&amp;" - Off-peak",Input_UsageTOU[Ref],0),MATCH($D$20,Inputs!$I$155:$M$155,0))),0)),"-")</f>
        <v>9506</v>
      </c>
      <c r="O25" s="103">
        <f>IFERROR(
IF($D$20="VDO 2021 - Final",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INDEX(Input_UsageAnytime[[F-CurrentVDO]:[F-NextVDO]],MATCH(OP_CMAB!$L25&amp;" - Block 1",Input_UsageAnytime[Ref],0),MATCH(OP_CMAB!$D$20,Inputs!$I$129:$M$129,0))),0)+
IFERROR((INDEX(OP_Rates_SME_2[[Ausnet]:[United Energy]],MATCH("Anytime - Balance charge",OP_Rates_SME_2[Rate name],0),MATCH(OP_CMAB!O$22,OP_Rates_SME_2[[#Headers],[Ausnet]:[United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INDEX(Input_UsageAnytime[[F-CurrentVDO]:[F-NextVDO]],MATCH(OP_CMAB!$L25&amp;" - Annual",Input_UsageAnytime[Ref],0),MATCH(OP_CMAB!$D$20,Inputs!$I$129:$M$129,0))),0)),0),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INDEX(Input_UsageTOU[[F-CurrentVDO]:[F-NextVDO]],MATCH($L25&amp;" - Peak",Input_UsageTOU[Ref],0),MATCH($D$20,Inputs!$I$155:$M$155,0)))+
IFERROR((INDEX(OP_Rates_SME_2[[Ausnet]:[United Energy]],MATCH("TOU - Shoulder charge",OP_Rates_SME_2[Rate name],0),MATCH(OP_CMAB!O$22,OP_Rates_SME_2[[#Headers],[Ausnet]:[United Energy]],0))*
INDEX(Input_UsageTOU[[F-CurrentVDO]:[F-NextVDO]],MATCH($L25&amp;" - Shoulder",Input_UsageTOU[Ref],0),MATCH($D$20,Inputs!$I$155:$M$155,0))),0)+
(INDEX(OP_Rates_SME_2[[Ausnet]:[United Energy]],MATCH("TOU - Off peak charge",OP_Rates_SME_2[Rate name],0),MATCH(OP_CMAB!O$22,OP_Rates_SME_2[[#Headers],[Ausnet]:[United Energy]],0))*
INDEX(Input_UsageTOU[[F-CurrentVDO]:[F-NextVDO]],MATCH($L25&amp;" - Off-peak",Input_UsageTOU[Ref],0),MATCH($D$20,Inputs!$I$155:$M$155,0))),0)),"-")</f>
        <v>9848</v>
      </c>
      <c r="P25" s="103">
        <f>IFERROR(
IF($D$20="VDO 2021 - Final",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INDEX(Input_UsageAnytime[[F-CurrentVDO]:[F-NextVDO]],MATCH(OP_CMAB!$L25&amp;" - Block 1",Input_UsageAnytime[Ref],0),MATCH(OP_CMAB!$D$20,Inputs!$I$129:$M$129,0))),0)+
IFERROR((INDEX(OP_Rates_SME_2[[Ausnet]:[United Energy]],MATCH("Anytime - Balance charge",OP_Rates_SME_2[Rate name],0),MATCH(OP_CMAB!P$22,OP_Rates_SME_2[[#Headers],[Ausnet]:[United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INDEX(Input_UsageAnytime[[F-CurrentVDO]:[F-NextVDO]],MATCH(OP_CMAB!$L25&amp;" - Annual",Input_UsageAnytime[Ref],0),MATCH(OP_CMAB!$D$20,Inputs!$I$129:$M$129,0))),0)),0),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INDEX(Input_UsageTOU[[F-CurrentVDO]:[F-NextVDO]],MATCH($L25&amp;" - Peak",Input_UsageTOU[Ref],0),MATCH($D$20,Inputs!$I$155:$M$155,0)))+
IFERROR((INDEX(OP_Rates_SME_2[[Ausnet]:[United Energy]],MATCH("TOU - Shoulder charge",OP_Rates_SME_2[Rate name],0),MATCH(OP_CMAB!P$22,OP_Rates_SME_2[[#Headers],[Ausnet]:[United Energy]],0))*
INDEX(Input_UsageTOU[[F-CurrentVDO]:[F-NextVDO]],MATCH($L25&amp;" - Shoulder",Input_UsageTOU[Ref],0),MATCH($D$20,Inputs!$I$155:$M$155,0))),0)+
(INDEX(OP_Rates_SME_2[[Ausnet]:[United Energy]],MATCH("TOU - Off peak charge",OP_Rates_SME_2[Rate name],0),MATCH(OP_CMAB!P$22,OP_Rates_SME_2[[#Headers],[Ausnet]:[United Energy]],0))*
INDEX(Input_UsageTOU[[F-CurrentVDO]:[F-NextVDO]],MATCH($L25&amp;" - Off-peak",Input_UsageTOU[Ref],0),MATCH($D$20,Inputs!$I$155:$M$155,0))),0)),"-")</f>
        <v>9877</v>
      </c>
      <c r="Q25" s="103">
        <f>IFERROR(
IF($D$20="VDO 2021 - Final",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INDEX(Input_UsageAnytime[[F-CurrentVDO]:[F-NextVDO]],MATCH(OP_CMAB!$L25&amp;" - Block 1",Input_UsageAnytime[Ref],0),MATCH(OP_CMAB!$D$20,Inputs!$I$129:$M$129,0))),0)+
IFERROR((INDEX(OP_Rates_SME_2[[Ausnet]:[United Energy]],MATCH("Anytime - Balance charge",OP_Rates_SME_2[Rate name],0),MATCH(OP_CMAB!Q$22,OP_Rates_SME_2[[#Headers],[Ausnet]:[United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INDEX(Input_UsageAnytime[[F-CurrentVDO]:[F-NextVDO]],MATCH(OP_CMAB!$L25&amp;" - Annual",Input_UsageAnytime[Ref],0),MATCH(OP_CMAB!$D$20,Inputs!$I$129:$M$129,0))),0)),0),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INDEX(Input_UsageTOU[[F-CurrentVDO]:[F-NextVDO]],MATCH($L25&amp;" - Peak",Input_UsageTOU[Ref],0),MATCH($D$20,Inputs!$I$155:$M$155,0)))+
IFERROR((INDEX(OP_Rates_SME_2[[Ausnet]:[United Energy]],MATCH("TOU - Shoulder charge",OP_Rates_SME_2[Rate name],0),MATCH(OP_CMAB!Q$22,OP_Rates_SME_2[[#Headers],[Ausnet]:[United Energy]],0))*
INDEX(Input_UsageTOU[[F-CurrentVDO]:[F-NextVDO]],MATCH($L25&amp;" - Shoulder",Input_UsageTOU[Ref],0),MATCH($D$20,Inputs!$I$155:$M$155,0))),0)+
(INDEX(OP_Rates_SME_2[[Ausnet]:[United Energy]],MATCH("TOU - Off peak charge",OP_Rates_SME_2[Rate name],0),MATCH(OP_CMAB!Q$22,OP_Rates_SME_2[[#Headers],[Ausnet]:[United Energy]],0))*
INDEX(Input_UsageTOU[[F-CurrentVDO]:[F-NextVDO]],MATCH($L25&amp;" - Off-peak",Input_UsageTOU[Ref],0),MATCH($D$20,Inputs!$I$155:$M$155,0))),0)),"-")</f>
        <v>9810</v>
      </c>
    </row>
    <row r="27" spans="1:18" ht="15.5" hidden="1" x14ac:dyDescent="0.35">
      <c r="E27" s="80">
        <f>IF($D$20="VDO 2021 - Final",
IF(E23=
ROUNDUP(
(INDEX(OP_Rates_RES_2[[Ausnet]:[United Energy]],MATCH("Anytime - supply charge",OP_Rates_RES_2[Rate name],0),MATCH(OP_CMAB!E$22,OP_Rates_RES_2[[#Headers],[Ausnet]:[United Energy]],0))*DiY)+
(IFERROR((INDEX(OP_Rates_RES_2[[Ausnet]:[United Energy]],MATCH("Anytime - Block 1 charge",OP_Rates_RES_2[Rate name],0),MATCH(OP_CMAB!E$22,OP_Rates_RES_2[[#Headers],[Ausnet]:[United Energy]],0))*
INDEX(Input_UsageAnytime[[F-CurrentVDO]:[F-NextVDO]],MATCH(OP_CMAB!$D23&amp;" - Block 1",Input_UsageAnytime[Ref],0),MATCH(OP_CMAB!$D$20,Inputs!$I$129:$M$129,0))),0)+
IFERROR((INDEX(OP_Rates_RES_2[[Ausnet]:[United Energy]],MATCH("Anytime - Balance charge",OP_Rates_RES_2[Rate name],0),MATCH(OP_CMAB!E$22,OP_Rates_RES_2[[#Headers],[Ausnet]:[United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name],0),MATCH(OP_CMAB!E$22,OP_Rates_RES_2[[#Headers],[Ausnet]:[United Energy]],0))*
INDEX(Input_UsageAnytime[[F-CurrentVDO]:[F-NextVDO]],MATCH(OP_CMAB!$D23&amp;" - Annual",Input_UsageAnytime[Ref],0),MATCH(OP_CMAB!$D$20,Inputs!$I$129:$M$129,0))),0)),0),0,1),
IF(E23=
ROUNDUP(
(INDEX(OP_Rates_RES_2[[Ausnet]:[United Energy]],MATCH("TOU - supply charge",OP_Rates_RES_2[Rate name],0),MATCH(OP_CMAB!E$22,OP_Rates_RES_2[[#Headers],[Ausnet]:[United Energy]],0))*DiY)+
(INDEX(OP_Rates_RES_2[[Ausnet]:[United Energy]],MATCH("TOU - Peak charge",OP_Rates_RES_2[Rate name],0),MATCH(OP_CMAB!E$22,OP_Rates_RES_2[[#Headers],[Ausnet]:[United Energy]],0))*
INDEX(Input_UsageTOU[[F-CurrentVDO]:[F-NextVDO]],MATCH($D23&amp;" - Peak",Input_UsageTOU[Ref],0),MATCH($D$20,Inputs!$I$155:$M$155,0)))+
IFERROR((INDEX(OP_Rates_RES_2[[Ausnet]:[United Energy]],MATCH("TOU - Shoulder charge",OP_Rates_RES_2[Rate name],0),MATCH(OP_CMAB!E$22,OP_Rates_RES_2[[#Headers],[Ausnet]:[United Energy]],0))*
INDEX(Input_UsageTOU[[F-CurrentVDO]:[F-NextVDO]],MATCH($D23&amp;" - Shoulder",Input_UsageTOU[Ref],0),MATCH($D$20,Inputs!$I$155:$M$155,0))),0)+
(INDEX(OP_Rates_RES_2[[Ausnet]:[United Energy]],MATCH("TOU - Off peak charge",OP_Rates_RES_2[Rate name],0),MATCH(OP_CMAB!E$22,OP_Rates_RES_2[[#Headers],[Ausnet]:[United Energy]],0))*
INDEX(Input_UsageTOU[[F-CurrentVDO]:[F-NextVDO]],MATCH($D23&amp;" - Off-peak",Input_UsageTOU[Ref],0),MATCH($D$20,Inputs!$I$155:$M$155,0))),0),0,1))</f>
        <v>0</v>
      </c>
      <c r="F27" s="80">
        <f>IF($D$20="VDO 2021 - Final",
IF(F23=
ROUNDUP(
(INDEX(OP_Rates_RES_2[[Ausnet]:[United Energy]],MATCH("Anytime - supply charge",OP_Rates_RES_2[Rate name],0),MATCH(OP_CMAB!F$22,OP_Rates_RES_2[[#Headers],[Ausnet]:[United Energy]],0))*DiY)+
(IFERROR((INDEX(OP_Rates_RES_2[[Ausnet]:[United Energy]],MATCH("Anytime - Block 1 charge",OP_Rates_RES_2[Rate name],0),MATCH(OP_CMAB!F$22,OP_Rates_RES_2[[#Headers],[Ausnet]:[United Energy]],0))*
INDEX(Input_UsageAnytime[[F-CurrentVDO]:[F-NextVDO]],MATCH(OP_CMAB!$D23&amp;" - Block 1",Input_UsageAnytime[Ref],0),MATCH(OP_CMAB!$D$20,Inputs!$I$129:$M$129,0))),0)+
IFERROR((INDEX(OP_Rates_RES_2[[Ausnet]:[United Energy]],MATCH("Anytime - Balance charge",OP_Rates_RES_2[Rate name],0),MATCH(OP_CMAB!F$22,OP_Rates_RES_2[[#Headers],[Ausnet]:[United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name],0),MATCH(OP_CMAB!F$22,OP_Rates_RES_2[[#Headers],[Ausnet]:[United Energy]],0))*
INDEX(Input_UsageAnytime[[F-CurrentVDO]:[F-NextVDO]],MATCH(OP_CMAB!$D23&amp;" - Annual",Input_UsageAnytime[Ref],0),MATCH(OP_CMAB!$D$20,Inputs!$I$129:$M$129,0))),0)),0),0,1),
IF(F23=
ROUNDUP(
(INDEX(OP_Rates_RES_2[[Ausnet]:[United Energy]],MATCH("TOU - supply charge",OP_Rates_RES_2[Rate name],0),MATCH(OP_CMAB!F$22,OP_Rates_RES_2[[#Headers],[Ausnet]:[United Energy]],0))*DiY)+
(INDEX(OP_Rates_RES_2[[Ausnet]:[United Energy]],MATCH("TOU - Peak charge",OP_Rates_RES_2[Rate name],0),MATCH(OP_CMAB!F$22,OP_Rates_RES_2[[#Headers],[Ausnet]:[United Energy]],0))*
INDEX(Input_UsageTOU[[F-CurrentVDO]:[F-NextVDO]],MATCH($D23&amp;" - Peak",Input_UsageTOU[Ref],0),MATCH($D$20,Inputs!$I$155:$M$155,0)))+
IFERROR((INDEX(OP_Rates_RES_2[[Ausnet]:[United Energy]],MATCH("TOU - Shoulder charge",OP_Rates_RES_2[Rate name],0),MATCH(OP_CMAB!F$22,OP_Rates_RES_2[[#Headers],[Ausnet]:[United Energy]],0))*
INDEX(Input_UsageTOU[[F-CurrentVDO]:[F-NextVDO]],MATCH($D23&amp;" - Shoulder",Input_UsageTOU[Ref],0),MATCH($D$20,Inputs!$I$155:$M$155,0))),0)+
(INDEX(OP_Rates_RES_2[[Ausnet]:[United Energy]],MATCH("TOU - Off peak charge",OP_Rates_RES_2[Rate name],0),MATCH(OP_CMAB!F$22,OP_Rates_RES_2[[#Headers],[Ausnet]:[United Energy]],0))*
INDEX(Input_UsageTOU[[F-CurrentVDO]:[F-NextVDO]],MATCH($D23&amp;" - Off-peak",Input_UsageTOU[Ref],0),MATCH($D$20,Inputs!$I$155:$M$155,0))),0),0,1))</f>
        <v>0</v>
      </c>
      <c r="G27" s="80">
        <f>IF($D$20="VDO 2021 - Final",
IF(G23=
ROUNDUP(
(INDEX(OP_Rates_RES_2[[Ausnet]:[United Energy]],MATCH("Anytime - supply charge",OP_Rates_RES_2[Rate name],0),MATCH(OP_CMAB!G$22,OP_Rates_RES_2[[#Headers],[Ausnet]:[United Energy]],0))*DiY)+
(IFERROR((INDEX(OP_Rates_RES_2[[Ausnet]:[United Energy]],MATCH("Anytime - Block 1 charge",OP_Rates_RES_2[Rate name],0),MATCH(OP_CMAB!G$22,OP_Rates_RES_2[[#Headers],[Ausnet]:[United Energy]],0))*
INDEX(Input_UsageAnytime[[F-CurrentVDO]:[F-NextVDO]],MATCH(OP_CMAB!$D23&amp;" - Block 1",Input_UsageAnytime[Ref],0),MATCH(OP_CMAB!$D$20,Inputs!$I$129:$M$129,0))),0)+
IFERROR((INDEX(OP_Rates_RES_2[[Ausnet]:[United Energy]],MATCH("Anytime - Balance charge",OP_Rates_RES_2[Rate name],0),MATCH(OP_CMAB!G$22,OP_Rates_RES_2[[#Headers],[Ausnet]:[United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name],0),MATCH(OP_CMAB!G$22,OP_Rates_RES_2[[#Headers],[Ausnet]:[United Energy]],0))*
INDEX(Input_UsageAnytime[[F-CurrentVDO]:[F-NextVDO]],MATCH(OP_CMAB!$D23&amp;" - Annual",Input_UsageAnytime[Ref],0),MATCH(OP_CMAB!$D$20,Inputs!$I$129:$M$129,0))),0)),0),0,1),
IF(G23=
ROUNDUP(
(INDEX(OP_Rates_RES_2[[Ausnet]:[United Energy]],MATCH("TOU - supply charge",OP_Rates_RES_2[Rate name],0),MATCH(OP_CMAB!G$22,OP_Rates_RES_2[[#Headers],[Ausnet]:[United Energy]],0))*DiY)+
(INDEX(OP_Rates_RES_2[[Ausnet]:[United Energy]],MATCH("TOU - Peak charge",OP_Rates_RES_2[Rate name],0),MATCH(OP_CMAB!G$22,OP_Rates_RES_2[[#Headers],[Ausnet]:[United Energy]],0))*
INDEX(Input_UsageTOU[[F-CurrentVDO]:[F-NextVDO]],MATCH($D23&amp;" - Peak",Input_UsageTOU[Ref],0),MATCH($D$20,Inputs!$I$155:$M$155,0)))+
IFERROR((INDEX(OP_Rates_RES_2[[Ausnet]:[United Energy]],MATCH("TOU - Shoulder charge",OP_Rates_RES_2[Rate name],0),MATCH(OP_CMAB!G$22,OP_Rates_RES_2[[#Headers],[Ausnet]:[United Energy]],0))*
INDEX(Input_UsageTOU[[F-CurrentVDO]:[F-NextVDO]],MATCH($D23&amp;" - Shoulder",Input_UsageTOU[Ref],0),MATCH($D$20,Inputs!$I$155:$M$155,0))),0)+
(INDEX(OP_Rates_RES_2[[Ausnet]:[United Energy]],MATCH("TOU - Off peak charge",OP_Rates_RES_2[Rate name],0),MATCH(OP_CMAB!G$22,OP_Rates_RES_2[[#Headers],[Ausnet]:[United Energy]],0))*
INDEX(Input_UsageTOU[[F-CurrentVDO]:[F-NextVDO]],MATCH($D23&amp;" - Off-peak",Input_UsageTOU[Ref],0),MATCH($D$20,Inputs!$I$155:$M$155,0))),0),0,1))</f>
        <v>0</v>
      </c>
      <c r="H27" s="80">
        <f>IF($D$20="VDO 2021 - Final",
IF(H23=
ROUNDUP(
(INDEX(OP_Rates_RES_2[[Ausnet]:[United Energy]],MATCH("Anytime - supply charge",OP_Rates_RES_2[Rate name],0),MATCH(OP_CMAB!H$22,OP_Rates_RES_2[[#Headers],[Ausnet]:[United Energy]],0))*DiY)+
(IFERROR((INDEX(OP_Rates_RES_2[[Ausnet]:[United Energy]],MATCH("Anytime - Block 1 charge",OP_Rates_RES_2[Rate name],0),MATCH(OP_CMAB!H$22,OP_Rates_RES_2[[#Headers],[Ausnet]:[United Energy]],0))*
INDEX(Input_UsageAnytime[[F-CurrentVDO]:[F-NextVDO]],MATCH(OP_CMAB!$D23&amp;" - Block 1",Input_UsageAnytime[Ref],0),MATCH(OP_CMAB!$D$20,Inputs!$I$129:$M$129,0))),0)+
IFERROR((INDEX(OP_Rates_RES_2[[Ausnet]:[United Energy]],MATCH("Anytime - Balance charge",OP_Rates_RES_2[Rate name],0),MATCH(OP_CMAB!H$22,OP_Rates_RES_2[[#Headers],[Ausnet]:[United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name],0),MATCH(OP_CMAB!H$22,OP_Rates_RES_2[[#Headers],[Ausnet]:[United Energy]],0))*
INDEX(Input_UsageAnytime[[F-CurrentVDO]:[F-NextVDO]],MATCH(OP_CMAB!$D23&amp;" - Annual",Input_UsageAnytime[Ref],0),MATCH(OP_CMAB!$D$20,Inputs!$I$129:$M$129,0))),0)),0),0,1),
IF(H23=
ROUNDUP(
(INDEX(OP_Rates_RES_2[[Ausnet]:[United Energy]],MATCH("TOU - supply charge",OP_Rates_RES_2[Rate name],0),MATCH(OP_CMAB!H$22,OP_Rates_RES_2[[#Headers],[Ausnet]:[United Energy]],0))*DiY)+
(INDEX(OP_Rates_RES_2[[Ausnet]:[United Energy]],MATCH("TOU - Peak charge",OP_Rates_RES_2[Rate name],0),MATCH(OP_CMAB!H$22,OP_Rates_RES_2[[#Headers],[Ausnet]:[United Energy]],0))*
INDEX(Input_UsageTOU[[F-CurrentVDO]:[F-NextVDO]],MATCH($D23&amp;" - Peak",Input_UsageTOU[Ref],0),MATCH($D$20,Inputs!$I$155:$M$155,0)))+
IFERROR((INDEX(OP_Rates_RES_2[[Ausnet]:[United Energy]],MATCH("TOU - Shoulder charge",OP_Rates_RES_2[Rate name],0),MATCH(OP_CMAB!H$22,OP_Rates_RES_2[[#Headers],[Ausnet]:[United Energy]],0))*
INDEX(Input_UsageTOU[[F-CurrentVDO]:[F-NextVDO]],MATCH($D23&amp;" - Shoulder",Input_UsageTOU[Ref],0),MATCH($D$20,Inputs!$I$155:$M$155,0))),0)+
(INDEX(OP_Rates_RES_2[[Ausnet]:[United Energy]],MATCH("TOU - Off peak charge",OP_Rates_RES_2[Rate name],0),MATCH(OP_CMAB!H$22,OP_Rates_RES_2[[#Headers],[Ausnet]:[United Energy]],0))*
INDEX(Input_UsageTOU[[F-CurrentVDO]:[F-NextVDO]],MATCH($D23&amp;" - Off-peak",Input_UsageTOU[Ref],0),MATCH($D$20,Inputs!$I$155:$M$155,0))),0),0,1))</f>
        <v>0</v>
      </c>
      <c r="I27" s="80">
        <f>IF($D$20="VDO 2021 - Final",
IF(I23=
ROUNDUP(
(INDEX(OP_Rates_RES_2[[Ausnet]:[United Energy]],MATCH("Anytime - supply charge",OP_Rates_RES_2[Rate name],0),MATCH(OP_CMAB!I$22,OP_Rates_RES_2[[#Headers],[Ausnet]:[United Energy]],0))*DiY)+
(IFERROR((INDEX(OP_Rates_RES_2[[Ausnet]:[United Energy]],MATCH("Anytime - Block 1 charge",OP_Rates_RES_2[Rate name],0),MATCH(OP_CMAB!I$22,OP_Rates_RES_2[[#Headers],[Ausnet]:[United Energy]],0))*
INDEX(Input_UsageAnytime[[F-CurrentVDO]:[F-NextVDO]],MATCH(OP_CMAB!$D23&amp;" - Block 1",Input_UsageAnytime[Ref],0),MATCH(OP_CMAB!$D$20,Inputs!$I$129:$M$129,0))),0)+
IFERROR((INDEX(OP_Rates_RES_2[[Ausnet]:[United Energy]],MATCH("Anytime - Balance charge",OP_Rates_RES_2[Rate name],0),MATCH(OP_CMAB!I$22,OP_Rates_RES_2[[#Headers],[Ausnet]:[United Energy]],0))*
INDEX(Input_UsageAnytime[[F-CurrentVDO]:[F-NextVDO]],MATCH(OP_CMAB!$D23&amp;" - Balance",Input_UsageAnytime[Ref],0),MATCH(OP_CMAB!$D$20,Inputs!$I$129:$M$129,0))),0)+
IFERROR((INDEX(OP_Rates_RES_2[[Ausnet]:[United Energy]],MATCH("Anytime - Single rate charge",OP_Rates_RES_2[Rate name],0),MATCH(OP_CMAB!I$22,OP_Rates_RES_2[[#Headers],[Ausnet]:[United Energy]],0))*
INDEX(Input_UsageAnytime[[F-CurrentVDO]:[F-NextVDO]],MATCH(OP_CMAB!$D23&amp;" - Annual",Input_UsageAnytime[Ref],0),MATCH(OP_CMAB!$D$20,Inputs!$I$129:$M$129,0))),0)),0),0,1),
IF(I23=
ROUNDUP(
(INDEX(OP_Rates_RES_2[[Ausnet]:[United Energy]],MATCH("TOU - supply charge",OP_Rates_RES_2[Rate name],0),MATCH(OP_CMAB!I$22,OP_Rates_RES_2[[#Headers],[Ausnet]:[United Energy]],0))*DiY)+
(INDEX(OP_Rates_RES_2[[Ausnet]:[United Energy]],MATCH("TOU - Peak charge",OP_Rates_RES_2[Rate name],0),MATCH(OP_CMAB!I$22,OP_Rates_RES_2[[#Headers],[Ausnet]:[United Energy]],0))*
INDEX(Input_UsageTOU[[F-CurrentVDO]:[F-NextVDO]],MATCH($D23&amp;" - Peak",Input_UsageTOU[Ref],0),MATCH($D$20,Inputs!$I$155:$M$155,0)))+
IFERROR((INDEX(OP_Rates_RES_2[[Ausnet]:[United Energy]],MATCH("TOU - Shoulder charge",OP_Rates_RES_2[Rate name],0),MATCH(OP_CMAB!I$22,OP_Rates_RES_2[[#Headers],[Ausnet]:[United Energy]],0))*
INDEX(Input_UsageTOU[[F-CurrentVDO]:[F-NextVDO]],MATCH($D23&amp;" - Shoulder",Input_UsageTOU[Ref],0),MATCH($D$20,Inputs!$I$155:$M$155,0))),0)+
(INDEX(OP_Rates_RES_2[[Ausnet]:[United Energy]],MATCH("TOU - Off peak charge",OP_Rates_RES_2[Rate name],0),MATCH(OP_CMAB!I$22,OP_Rates_RES_2[[#Headers],[Ausnet]:[United Energy]],0))*
INDEX(Input_UsageTOU[[F-CurrentVDO]:[F-NextVDO]],MATCH($D23&amp;" - Off-peak",Input_UsageTOU[Ref],0),MATCH($D$20,Inputs!$I$155:$M$155,0))),0),0,1))</f>
        <v>0</v>
      </c>
      <c r="M27" s="80">
        <f>IF($D$20="VDO 2021 - Final",
IF(M23=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INDEX(Input_UsageAnytime[[F-CurrentVDO]:[F-NextVDO]],MATCH(OP_CMAB!$L23&amp;" - Block 1",Input_UsageAnytime[Ref],0),MATCH(OP_CMAB!$D$20,Inputs!$I$129:$M$129,0))),0)+
IFERROR((INDEX(OP_Rates_SME_2[[Ausnet]:[United Energy]],MATCH("Anytime - Balance charge",OP_Rates_SME_2[Rate name],0),MATCH(OP_CMAB!M$22,OP_Rates_SME_2[[#Headers],[Ausnet]:[United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INDEX(Input_UsageAnytime[[F-CurrentVDO]:[F-NextVDO]],MATCH(OP_CMAB!$L23&amp;" - Annual",Input_UsageAnytime[Ref],0),MATCH(OP_CMAB!$D$20,Inputs!$I$129:$M$129,0))),0)),0),0,1),
IF(M23=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INDEX(Input_UsageTOU[[F-CurrentVDO]:[F-NextVDO]],MATCH($L23&amp;" - Peak",Input_UsageTOU[Ref],0),MATCH($D$20,Inputs!$I$155:$M$155,0)))+
IFERROR((INDEX(OP_Rates_SME_2[[Ausnet]:[United Energy]],MATCH("TOU - Shoulder charge",OP_Rates_SME_2[Rate name],0),MATCH(OP_CMAB!M$22,OP_Rates_SME_2[[#Headers],[Ausnet]:[United Energy]],0))*
INDEX(Input_UsageTOU[[F-CurrentVDO]:[F-NextVDO]],MATCH($L23&amp;" - Shoulder",Input_UsageTOU[Ref],0),MATCH($D$20,Inputs!$I$155:$M$155,0))),0)+
(INDEX(OP_Rates_SME_2[[Ausnet]:[United Energy]],MATCH("TOU - Off peak charge",OP_Rates_SME_2[Rate name],0),MATCH(OP_CMAB!M$22,OP_Rates_SME_2[[#Headers],[Ausnet]:[United Energy]],0))*
INDEX(Input_UsageTOU[[F-CurrentVDO]:[F-NextVDO]],MATCH($L23&amp;" - Off-peak",Input_UsageTOU[Ref],0),MATCH($D$20,Inputs!$I$155:$M$155,0))),0),0,1))</f>
        <v>0</v>
      </c>
      <c r="N27" s="80">
        <f>IF($D$20="VDO 2021 - Final",
IF(N23=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INDEX(Input_UsageAnytime[[F-CurrentVDO]:[F-NextVDO]],MATCH(OP_CMAB!$L23&amp;" - Block 1",Input_UsageAnytime[Ref],0),MATCH(OP_CMAB!$D$20,Inputs!$I$129:$M$129,0))),0)+
IFERROR((INDEX(OP_Rates_SME_2[[Ausnet]:[United Energy]],MATCH("Anytime - Balance charge",OP_Rates_SME_2[Rate name],0),MATCH(OP_CMAB!N$22,OP_Rates_SME_2[[#Headers],[Ausnet]:[United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INDEX(Input_UsageAnytime[[F-CurrentVDO]:[F-NextVDO]],MATCH(OP_CMAB!$L23&amp;" - Annual",Input_UsageAnytime[Ref],0),MATCH(OP_CMAB!$D$20,Inputs!$I$129:$M$129,0))),0)),0),0,1),
IF(N23=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INDEX(Input_UsageTOU[[F-CurrentVDO]:[F-NextVDO]],MATCH($L23&amp;" - Peak",Input_UsageTOU[Ref],0),MATCH($D$20,Inputs!$I$155:$M$155,0)))+
IFERROR((INDEX(OP_Rates_SME_2[[Ausnet]:[United Energy]],MATCH("TOU - Shoulder charge",OP_Rates_SME_2[Rate name],0),MATCH(OP_CMAB!N$22,OP_Rates_SME_2[[#Headers],[Ausnet]:[United Energy]],0))*
INDEX(Input_UsageTOU[[F-CurrentVDO]:[F-NextVDO]],MATCH($L23&amp;" - Shoulder",Input_UsageTOU[Ref],0),MATCH($D$20,Inputs!$I$155:$M$155,0))),0)+
(INDEX(OP_Rates_SME_2[[Ausnet]:[United Energy]],MATCH("TOU - Off peak charge",OP_Rates_SME_2[Rate name],0),MATCH(OP_CMAB!N$22,OP_Rates_SME_2[[#Headers],[Ausnet]:[United Energy]],0))*
INDEX(Input_UsageTOU[[F-CurrentVDO]:[F-NextVDO]],MATCH($L23&amp;" - Off-peak",Input_UsageTOU[Ref],0),MATCH($D$20,Inputs!$I$155:$M$155,0))),0),0,1))</f>
        <v>0</v>
      </c>
      <c r="O27" s="80">
        <f>IF($D$20="VDO 2021 - Final",
IF(O23=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INDEX(Input_UsageAnytime[[F-CurrentVDO]:[F-NextVDO]],MATCH(OP_CMAB!$L23&amp;" - Block 1",Input_UsageAnytime[Ref],0),MATCH(OP_CMAB!$D$20,Inputs!$I$129:$M$129,0))),0)+
IFERROR((INDEX(OP_Rates_SME_2[[Ausnet]:[United Energy]],MATCH("Anytime - Balance charge",OP_Rates_SME_2[Rate name],0),MATCH(OP_CMAB!O$22,OP_Rates_SME_2[[#Headers],[Ausnet]:[United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INDEX(Input_UsageAnytime[[F-CurrentVDO]:[F-NextVDO]],MATCH(OP_CMAB!$L23&amp;" - Annual",Input_UsageAnytime[Ref],0),MATCH(OP_CMAB!$D$20,Inputs!$I$129:$M$129,0))),0)),0),0,1),
IF(O23=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INDEX(Input_UsageTOU[[F-CurrentVDO]:[F-NextVDO]],MATCH($L23&amp;" - Peak",Input_UsageTOU[Ref],0),MATCH($D$20,Inputs!$I$155:$M$155,0)))+
IFERROR((INDEX(OP_Rates_SME_2[[Ausnet]:[United Energy]],MATCH("TOU - Shoulder charge",OP_Rates_SME_2[Rate name],0),MATCH(OP_CMAB!O$22,OP_Rates_SME_2[[#Headers],[Ausnet]:[United Energy]],0))*
INDEX(Input_UsageTOU[[F-CurrentVDO]:[F-NextVDO]],MATCH($L23&amp;" - Shoulder",Input_UsageTOU[Ref],0),MATCH($D$20,Inputs!$I$155:$M$155,0))),0)+
(INDEX(OP_Rates_SME_2[[Ausnet]:[United Energy]],MATCH("TOU - Off peak charge",OP_Rates_SME_2[Rate name],0),MATCH(OP_CMAB!O$22,OP_Rates_SME_2[[#Headers],[Ausnet]:[United Energy]],0))*
INDEX(Input_UsageTOU[[F-CurrentVDO]:[F-NextVDO]],MATCH($L23&amp;" - Off-peak",Input_UsageTOU[Ref],0),MATCH($D$20,Inputs!$I$155:$M$155,0))),0),0,1))</f>
        <v>0</v>
      </c>
      <c r="P27" s="80">
        <f>IF($D$20="VDO 2021 - Final",
IF(P23=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INDEX(Input_UsageAnytime[[F-CurrentVDO]:[F-NextVDO]],MATCH(OP_CMAB!$L23&amp;" - Block 1",Input_UsageAnytime[Ref],0),MATCH(OP_CMAB!$D$20,Inputs!$I$129:$M$129,0))),0)+
IFERROR((INDEX(OP_Rates_SME_2[[Ausnet]:[United Energy]],MATCH("Anytime - Balance charge",OP_Rates_SME_2[Rate name],0),MATCH(OP_CMAB!P$22,OP_Rates_SME_2[[#Headers],[Ausnet]:[United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INDEX(Input_UsageAnytime[[F-CurrentVDO]:[F-NextVDO]],MATCH(OP_CMAB!$L23&amp;" - Annual",Input_UsageAnytime[Ref],0),MATCH(OP_CMAB!$D$20,Inputs!$I$129:$M$129,0))),0)),0),0,1),
IF(P23=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INDEX(Input_UsageTOU[[F-CurrentVDO]:[F-NextVDO]],MATCH($L23&amp;" - Peak",Input_UsageTOU[Ref],0),MATCH($D$20,Inputs!$I$155:$M$155,0)))+
IFERROR((INDEX(OP_Rates_SME_2[[Ausnet]:[United Energy]],MATCH("TOU - Shoulder charge",OP_Rates_SME_2[Rate name],0),MATCH(OP_CMAB!P$22,OP_Rates_SME_2[[#Headers],[Ausnet]:[United Energy]],0))*
INDEX(Input_UsageTOU[[F-CurrentVDO]:[F-NextVDO]],MATCH($L23&amp;" - Shoulder",Input_UsageTOU[Ref],0),MATCH($D$20,Inputs!$I$155:$M$155,0))),0)+
(INDEX(OP_Rates_SME_2[[Ausnet]:[United Energy]],MATCH("TOU - Off peak charge",OP_Rates_SME_2[Rate name],0),MATCH(OP_CMAB!P$22,OP_Rates_SME_2[[#Headers],[Ausnet]:[United Energy]],0))*
INDEX(Input_UsageTOU[[F-CurrentVDO]:[F-NextVDO]],MATCH($L23&amp;" - Off-peak",Input_UsageTOU[Ref],0),MATCH($D$20,Inputs!$I$155:$M$155,0))),0),0,1))</f>
        <v>0</v>
      </c>
      <c r="Q27" s="80">
        <f>IF($D$20="VDO 2021 - Final",
IF(Q23=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INDEX(Input_UsageAnytime[[F-CurrentVDO]:[F-NextVDO]],MATCH(OP_CMAB!$L23&amp;" - Block 1",Input_UsageAnytime[Ref],0),MATCH(OP_CMAB!$D$20,Inputs!$I$129:$M$129,0))),0)+
IFERROR((INDEX(OP_Rates_SME_2[[Ausnet]:[United Energy]],MATCH("Anytime - Balance charge",OP_Rates_SME_2[Rate name],0),MATCH(OP_CMAB!Q$22,OP_Rates_SME_2[[#Headers],[Ausnet]:[United Energy]],0))*
INDEX(Input_UsageAnytime[[F-CurrentVDO]:[F-NextVDO]],MATCH(OP_CMAB!$L23&amp;"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INDEX(Input_UsageAnytime[[F-CurrentVDO]:[F-NextVDO]],MATCH(OP_CMAB!$L23&amp;" - Annual",Input_UsageAnytime[Ref],0),MATCH(OP_CMAB!$D$20,Inputs!$I$129:$M$129,0))),0)),0),0,1),
IF(Q23=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INDEX(Input_UsageTOU[[F-CurrentVDO]:[F-NextVDO]],MATCH($L23&amp;" - Peak",Input_UsageTOU[Ref],0),MATCH($D$20,Inputs!$I$155:$M$155,0)))+
IFERROR((INDEX(OP_Rates_SME_2[[Ausnet]:[United Energy]],MATCH("TOU - Shoulder charge",OP_Rates_SME_2[Rate name],0),MATCH(OP_CMAB!Q$22,OP_Rates_SME_2[[#Headers],[Ausnet]:[United Energy]],0))*
INDEX(Input_UsageTOU[[F-CurrentVDO]:[F-NextVDO]],MATCH($L23&amp;" - Shoulder",Input_UsageTOU[Ref],0),MATCH($D$20,Inputs!$I$155:$M$155,0))),0)+
(INDEX(OP_Rates_SME_2[[Ausnet]:[United Energy]],MATCH("TOU - Off peak charge",OP_Rates_SME_2[Rate name],0),MATCH(OP_CMAB!Q$22,OP_Rates_SME_2[[#Headers],[Ausnet]:[United Energy]],0))*
INDEX(Input_UsageTOU[[F-CurrentVDO]:[F-NextVDO]],MATCH($L23&amp;" - Off-peak",Input_UsageTOU[Ref],0),MATCH($D$20,Inputs!$I$155:$M$155,0))),0),0,1))</f>
        <v>0</v>
      </c>
    </row>
    <row r="28" spans="1:18" ht="15.5" x14ac:dyDescent="0.35">
      <c r="E28" s="80">
        <f>IF($D$20="VDO 2021 - Final",
IF(E24=
ROUNDUP(
(INDEX(OP_Rates_RES_2[[Ausnet]:[United Energy]],MATCH("Anytime - supply charge",OP_Rates_RES_2[Rate name],0),MATCH(OP_CMAB!E$22,OP_Rates_RES_2[[#Headers],[Ausnet]:[United Energy]],0))*DiY)+
(IFERROR((INDEX(OP_Rates_RES_2[[Ausnet]:[United Energy]],MATCH("Anytime - Block 1 charge",OP_Rates_RES_2[Rate name],0),MATCH(OP_CMAB!E$22,OP_Rates_RES_2[[#Headers],[Ausnet]:[United Energy]],0))*
INDEX(Input_UsageAnytime[[F-CurrentVDO]:[F-NextVDO]],MATCH(OP_CMAB!$D24&amp;" - Block 1",Input_UsageAnytime[Ref],0),MATCH(OP_CMAB!$D$20,Inputs!$I$129:$M$129,0))),0)+
IFERROR((INDEX(OP_Rates_RES_2[[Ausnet]:[United Energy]],MATCH("Anytime - Balance charge",OP_Rates_RES_2[Rate name],0),MATCH(OP_CMAB!E$22,OP_Rates_RES_2[[#Headers],[Ausnet]:[United Energy]],0))*
INDEX(Input_UsageAnytime[[F-CurrentVDO]:[F-NextVDO]],MATCH(OP_CMAB!$D24&amp;" - Balance",Input_UsageAnytime[Ref],0),MATCH(OP_CMAB!$D$20,Inputs!$I$129:$M$129,0))),0)+
IFERROR((INDEX(OP_Rates_RES_2[[Ausnet]:[United Energy]],MATCH("Anytime - Single rate charge",OP_Rates_RES_2[Rate name],0),MATCH(OP_CMAB!E$22,OP_Rates_RES_2[[#Headers],[Ausnet]:[United Energy]],0))*
INDEX(Input_UsageAnytime[[F-CurrentVDO]:[F-NextVDO]],MATCH(OP_CMAB!$D24&amp;" - Annual",Input_UsageAnytime[Ref],0),MATCH(OP_CMAB!$D$20,Inputs!$I$129:$M$129,0))),0)),0),0,1),
IF(E24=
ROUNDUP(
(INDEX(OP_Rates_RES_2[[Ausnet]:[United Energy]],MATCH("TOU - supply charge",OP_Rates_RES_2[Rate name],0),MATCH(OP_CMAB!E$22,OP_Rates_RES_2[[#Headers],[Ausnet]:[United Energy]],0))*DiY)+
(INDEX(OP_Rates_RES_2[[Ausnet]:[United Energy]],MATCH("TOU - Peak charge",OP_Rates_RES_2[Rate name],0),MATCH(OP_CMAB!E$22,OP_Rates_RES_2[[#Headers],[Ausnet]:[United Energy]],0))*
INDEX(Input_UsageTOU[[F-CurrentVDO]:[F-NextVDO]],MATCH($D24&amp;" - Peak",Input_UsageTOU[Ref],0),MATCH($D$20,Inputs!$I$155:$M$155,0)))+
IFERROR((INDEX(OP_Rates_RES_2[[Ausnet]:[United Energy]],MATCH("TOU - Shoulder charge",OP_Rates_RES_2[Rate name],0),MATCH(OP_CMAB!E$22,OP_Rates_RES_2[[#Headers],[Ausnet]:[United Energy]],0))*
INDEX(Input_UsageTOU[[F-CurrentVDO]:[F-NextVDO]],MATCH($D24&amp;" - Shoulder",Input_UsageTOU[Ref],0),MATCH($D$20,Inputs!$I$155:$M$155,0))),0)+
(INDEX(OP_Rates_RES_2[[Ausnet]:[United Energy]],MATCH("TOU - Off peak charge",OP_Rates_RES_2[Rate name],0),MATCH(OP_CMAB!E$22,OP_Rates_RES_2[[#Headers],[Ausnet]:[United Energy]],0))*
INDEX(Input_UsageTOU[[F-CurrentVDO]:[F-NextVDO]],MATCH($D24&amp;" - Off-peak",Input_UsageTOU[Ref],0),MATCH($D$20,Inputs!$I$155:$M$155,0))),0),0,1))</f>
        <v>0</v>
      </c>
      <c r="F28" s="80">
        <f>IF($D$20="VDO 2021 - Final",
IF(F24=
ROUNDUP(
(INDEX(OP_Rates_RES_2[[Ausnet]:[United Energy]],MATCH("Anytime - supply charge",OP_Rates_RES_2[Rate name],0),MATCH(OP_CMAB!F$22,OP_Rates_RES_2[[#Headers],[Ausnet]:[United Energy]],0))*DiY)+
(IFERROR((INDEX(OP_Rates_RES_2[[Ausnet]:[United Energy]],MATCH("Anytime - Block 1 charge",OP_Rates_RES_2[Rate name],0),MATCH(OP_CMAB!F$22,OP_Rates_RES_2[[#Headers],[Ausnet]:[United Energy]],0))*
INDEX(Input_UsageAnytime[[F-CurrentVDO]:[F-NextVDO]],MATCH(OP_CMAB!$D24&amp;" - Block 1",Input_UsageAnytime[Ref],0),MATCH(OP_CMAB!$D$20,Inputs!$I$129:$M$129,0))),0)+
IFERROR((INDEX(OP_Rates_RES_2[[Ausnet]:[United Energy]],MATCH("Anytime - Balance charge",OP_Rates_RES_2[Rate name],0),MATCH(OP_CMAB!F$22,OP_Rates_RES_2[[#Headers],[Ausnet]:[United Energy]],0))*
INDEX(Input_UsageAnytime[[F-CurrentVDO]:[F-NextVDO]],MATCH(OP_CMAB!$D24&amp;" - Balance",Input_UsageAnytime[Ref],0),MATCH(OP_CMAB!$D$20,Inputs!$I$129:$M$129,0))),0)+
IFERROR((INDEX(OP_Rates_RES_2[[Ausnet]:[United Energy]],MATCH("Anytime - Single rate charge",OP_Rates_RES_2[Rate name],0),MATCH(OP_CMAB!F$22,OP_Rates_RES_2[[#Headers],[Ausnet]:[United Energy]],0))*
INDEX(Input_UsageAnytime[[F-CurrentVDO]:[F-NextVDO]],MATCH(OP_CMAB!$D24&amp;" - Annual",Input_UsageAnytime[Ref],0),MATCH(OP_CMAB!$D$20,Inputs!$I$129:$M$129,0))),0)),0),0,1),
IF(F24=
ROUNDUP(
(INDEX(OP_Rates_RES_2[[Ausnet]:[United Energy]],MATCH("TOU - supply charge",OP_Rates_RES_2[Rate name],0),MATCH(OP_CMAB!F$22,OP_Rates_RES_2[[#Headers],[Ausnet]:[United Energy]],0))*DiY)+
(INDEX(OP_Rates_RES_2[[Ausnet]:[United Energy]],MATCH("TOU - Peak charge",OP_Rates_RES_2[Rate name],0),MATCH(OP_CMAB!F$22,OP_Rates_RES_2[[#Headers],[Ausnet]:[United Energy]],0))*
INDEX(Input_UsageTOU[[F-CurrentVDO]:[F-NextVDO]],MATCH($D24&amp;" - Peak",Input_UsageTOU[Ref],0),MATCH($D$20,Inputs!$I$155:$M$155,0)))+
IFERROR((INDEX(OP_Rates_RES_2[[Ausnet]:[United Energy]],MATCH("TOU - Shoulder charge",OP_Rates_RES_2[Rate name],0),MATCH(OP_CMAB!F$22,OP_Rates_RES_2[[#Headers],[Ausnet]:[United Energy]],0))*
INDEX(Input_UsageTOU[[F-CurrentVDO]:[F-NextVDO]],MATCH($D24&amp;" - Shoulder",Input_UsageTOU[Ref],0),MATCH($D$20,Inputs!$I$155:$M$155,0))),0)+
(INDEX(OP_Rates_RES_2[[Ausnet]:[United Energy]],MATCH("TOU - Off peak charge",OP_Rates_RES_2[Rate name],0),MATCH(OP_CMAB!F$22,OP_Rates_RES_2[[#Headers],[Ausnet]:[United Energy]],0))*
INDEX(Input_UsageTOU[[F-CurrentVDO]:[F-NextVDO]],MATCH($D24&amp;" - Off-peak",Input_UsageTOU[Ref],0),MATCH($D$20,Inputs!$I$155:$M$155,0))),0),0,1))</f>
        <v>0</v>
      </c>
      <c r="G28" s="80">
        <f>IF($D$20="VDO 2021 - Final",
IF(G24=
ROUNDUP(
(INDEX(OP_Rates_RES_2[[Ausnet]:[United Energy]],MATCH("Anytime - supply charge",OP_Rates_RES_2[Rate name],0),MATCH(OP_CMAB!G$22,OP_Rates_RES_2[[#Headers],[Ausnet]:[United Energy]],0))*DiY)+
(IFERROR((INDEX(OP_Rates_RES_2[[Ausnet]:[United Energy]],MATCH("Anytime - Block 1 charge",OP_Rates_RES_2[Rate name],0),MATCH(OP_CMAB!G$22,OP_Rates_RES_2[[#Headers],[Ausnet]:[United Energy]],0))*
INDEX(Input_UsageAnytime[[F-CurrentVDO]:[F-NextVDO]],MATCH(OP_CMAB!$D24&amp;" - Block 1",Input_UsageAnytime[Ref],0),MATCH(OP_CMAB!$D$20,Inputs!$I$129:$M$129,0))),0)+
IFERROR((INDEX(OP_Rates_RES_2[[Ausnet]:[United Energy]],MATCH("Anytime - Balance charge",OP_Rates_RES_2[Rate name],0),MATCH(OP_CMAB!G$22,OP_Rates_RES_2[[#Headers],[Ausnet]:[United Energy]],0))*
INDEX(Input_UsageAnytime[[F-CurrentVDO]:[F-NextVDO]],MATCH(OP_CMAB!$D24&amp;" - Balance",Input_UsageAnytime[Ref],0),MATCH(OP_CMAB!$D$20,Inputs!$I$129:$M$129,0))),0)+
IFERROR((INDEX(OP_Rates_RES_2[[Ausnet]:[United Energy]],MATCH("Anytime - Single rate charge",OP_Rates_RES_2[Rate name],0),MATCH(OP_CMAB!G$22,OP_Rates_RES_2[[#Headers],[Ausnet]:[United Energy]],0))*
INDEX(Input_UsageAnytime[[F-CurrentVDO]:[F-NextVDO]],MATCH(OP_CMAB!$D24&amp;" - Annual",Input_UsageAnytime[Ref],0),MATCH(OP_CMAB!$D$20,Inputs!$I$129:$M$129,0))),0)),0),0,1),
IF(G24=
ROUNDUP(
(INDEX(OP_Rates_RES_2[[Ausnet]:[United Energy]],MATCH("TOU - supply charge",OP_Rates_RES_2[Rate name],0),MATCH(OP_CMAB!G$22,OP_Rates_RES_2[[#Headers],[Ausnet]:[United Energy]],0))*DiY)+
(INDEX(OP_Rates_RES_2[[Ausnet]:[United Energy]],MATCH("TOU - Peak charge",OP_Rates_RES_2[Rate name],0),MATCH(OP_CMAB!G$22,OP_Rates_RES_2[[#Headers],[Ausnet]:[United Energy]],0))*
INDEX(Input_UsageTOU[[F-CurrentVDO]:[F-NextVDO]],MATCH($D24&amp;" - Peak",Input_UsageTOU[Ref],0),MATCH($D$20,Inputs!$I$155:$M$155,0)))+
IFERROR((INDEX(OP_Rates_RES_2[[Ausnet]:[United Energy]],MATCH("TOU - Shoulder charge",OP_Rates_RES_2[Rate name],0),MATCH(OP_CMAB!G$22,OP_Rates_RES_2[[#Headers],[Ausnet]:[United Energy]],0))*
INDEX(Input_UsageTOU[[F-CurrentVDO]:[F-NextVDO]],MATCH($D24&amp;" - Shoulder",Input_UsageTOU[Ref],0),MATCH($D$20,Inputs!$I$155:$M$155,0))),0)+
(INDEX(OP_Rates_RES_2[[Ausnet]:[United Energy]],MATCH("TOU - Off peak charge",OP_Rates_RES_2[Rate name],0),MATCH(OP_CMAB!G$22,OP_Rates_RES_2[[#Headers],[Ausnet]:[United Energy]],0))*
INDEX(Input_UsageTOU[[F-CurrentVDO]:[F-NextVDO]],MATCH($D24&amp;" - Off-peak",Input_UsageTOU[Ref],0),MATCH($D$20,Inputs!$I$155:$M$155,0))),0),0,1))</f>
        <v>0</v>
      </c>
      <c r="H28" s="80">
        <f>IF($D$20="VDO 2021 - Final",
IF(H24=
ROUNDUP(
(INDEX(OP_Rates_RES_2[[Ausnet]:[United Energy]],MATCH("Anytime - supply charge",OP_Rates_RES_2[Rate name],0),MATCH(OP_CMAB!H$22,OP_Rates_RES_2[[#Headers],[Ausnet]:[United Energy]],0))*DiY)+
(IFERROR((INDEX(OP_Rates_RES_2[[Ausnet]:[United Energy]],MATCH("Anytime - Block 1 charge",OP_Rates_RES_2[Rate name],0),MATCH(OP_CMAB!H$22,OP_Rates_RES_2[[#Headers],[Ausnet]:[United Energy]],0))*
INDEX(Input_UsageAnytime[[F-CurrentVDO]:[F-NextVDO]],MATCH(OP_CMAB!$D24&amp;" - Block 1",Input_UsageAnytime[Ref],0),MATCH(OP_CMAB!$D$20,Inputs!$I$129:$M$129,0))),0)+
IFERROR((INDEX(OP_Rates_RES_2[[Ausnet]:[United Energy]],MATCH("Anytime - Balance charge",OP_Rates_RES_2[Rate name],0),MATCH(OP_CMAB!H$22,OP_Rates_RES_2[[#Headers],[Ausnet]:[United Energy]],0))*
INDEX(Input_UsageAnytime[[F-CurrentVDO]:[F-NextVDO]],MATCH(OP_CMAB!$D24&amp;" - Balance",Input_UsageAnytime[Ref],0),MATCH(OP_CMAB!$D$20,Inputs!$I$129:$M$129,0))),0)+
IFERROR((INDEX(OP_Rates_RES_2[[Ausnet]:[United Energy]],MATCH("Anytime - Single rate charge",OP_Rates_RES_2[Rate name],0),MATCH(OP_CMAB!H$22,OP_Rates_RES_2[[#Headers],[Ausnet]:[United Energy]],0))*
INDEX(Input_UsageAnytime[[F-CurrentVDO]:[F-NextVDO]],MATCH(OP_CMAB!$D24&amp;" - Annual",Input_UsageAnytime[Ref],0),MATCH(OP_CMAB!$D$20,Inputs!$I$129:$M$129,0))),0)),0),0,1),
IF(H24=
ROUNDUP(
(INDEX(OP_Rates_RES_2[[Ausnet]:[United Energy]],MATCH("TOU - supply charge",OP_Rates_RES_2[Rate name],0),MATCH(OP_CMAB!H$22,OP_Rates_RES_2[[#Headers],[Ausnet]:[United Energy]],0))*DiY)+
(INDEX(OP_Rates_RES_2[[Ausnet]:[United Energy]],MATCH("TOU - Peak charge",OP_Rates_RES_2[Rate name],0),MATCH(OP_CMAB!H$22,OP_Rates_RES_2[[#Headers],[Ausnet]:[United Energy]],0))*
INDEX(Input_UsageTOU[[F-CurrentVDO]:[F-NextVDO]],MATCH($D24&amp;" - Peak",Input_UsageTOU[Ref],0),MATCH($D$20,Inputs!$I$155:$M$155,0)))+
IFERROR((INDEX(OP_Rates_RES_2[[Ausnet]:[United Energy]],MATCH("TOU - Shoulder charge",OP_Rates_RES_2[Rate name],0),MATCH(OP_CMAB!H$22,OP_Rates_RES_2[[#Headers],[Ausnet]:[United Energy]],0))*
INDEX(Input_UsageTOU[[F-CurrentVDO]:[F-NextVDO]],MATCH($D24&amp;" - Shoulder",Input_UsageTOU[Ref],0),MATCH($D$20,Inputs!$I$155:$M$155,0))),0)+
(INDEX(OP_Rates_RES_2[[Ausnet]:[United Energy]],MATCH("TOU - Off peak charge",OP_Rates_RES_2[Rate name],0),MATCH(OP_CMAB!H$22,OP_Rates_RES_2[[#Headers],[Ausnet]:[United Energy]],0))*
INDEX(Input_UsageTOU[[F-CurrentVDO]:[F-NextVDO]],MATCH($D24&amp;" - Off-peak",Input_UsageTOU[Ref],0),MATCH($D$20,Inputs!$I$155:$M$155,0))),0),0,1))</f>
        <v>0</v>
      </c>
      <c r="I28" s="80">
        <f>IF($D$20="VDO 2021 - Final",
IF(I24=
ROUNDUP(
(INDEX(OP_Rates_RES_2[[Ausnet]:[United Energy]],MATCH("Anytime - supply charge",OP_Rates_RES_2[Rate name],0),MATCH(OP_CMAB!I$22,OP_Rates_RES_2[[#Headers],[Ausnet]:[United Energy]],0))*DiY)+
(IFERROR((INDEX(OP_Rates_RES_2[[Ausnet]:[United Energy]],MATCH("Anytime - Block 1 charge",OP_Rates_RES_2[Rate name],0),MATCH(OP_CMAB!I$22,OP_Rates_RES_2[[#Headers],[Ausnet]:[United Energy]],0))*
INDEX(Input_UsageAnytime[[F-CurrentVDO]:[F-NextVDO]],MATCH(OP_CMAB!$D24&amp;" - Block 1",Input_UsageAnytime[Ref],0),MATCH(OP_CMAB!$D$20,Inputs!$I$129:$M$129,0))),0)+
IFERROR((INDEX(OP_Rates_RES_2[[Ausnet]:[United Energy]],MATCH("Anytime - Balance charge",OP_Rates_RES_2[Rate name],0),MATCH(OP_CMAB!I$22,OP_Rates_RES_2[[#Headers],[Ausnet]:[United Energy]],0))*
INDEX(Input_UsageAnytime[[F-CurrentVDO]:[F-NextVDO]],MATCH(OP_CMAB!$D24&amp;" - Balance",Input_UsageAnytime[Ref],0),MATCH(OP_CMAB!$D$20,Inputs!$I$129:$M$129,0))),0)+
IFERROR((INDEX(OP_Rates_RES_2[[Ausnet]:[United Energy]],MATCH("Anytime - Single rate charge",OP_Rates_RES_2[Rate name],0),MATCH(OP_CMAB!I$22,OP_Rates_RES_2[[#Headers],[Ausnet]:[United Energy]],0))*
INDEX(Input_UsageAnytime[[F-CurrentVDO]:[F-NextVDO]],MATCH(OP_CMAB!$D24&amp;" - Annual",Input_UsageAnytime[Ref],0),MATCH(OP_CMAB!$D$20,Inputs!$I$129:$M$129,0))),0)),0),0,1),
IF(I24=
ROUNDUP(
(INDEX(OP_Rates_RES_2[[Ausnet]:[United Energy]],MATCH("TOU - supply charge",OP_Rates_RES_2[Rate name],0),MATCH(OP_CMAB!I$22,OP_Rates_RES_2[[#Headers],[Ausnet]:[United Energy]],0))*DiY)+
(INDEX(OP_Rates_RES_2[[Ausnet]:[United Energy]],MATCH("TOU - Peak charge",OP_Rates_RES_2[Rate name],0),MATCH(OP_CMAB!I$22,OP_Rates_RES_2[[#Headers],[Ausnet]:[United Energy]],0))*
INDEX(Input_UsageTOU[[F-CurrentVDO]:[F-NextVDO]],MATCH($D24&amp;" - Peak",Input_UsageTOU[Ref],0),MATCH($D$20,Inputs!$I$155:$M$155,0)))+
IFERROR((INDEX(OP_Rates_RES_2[[Ausnet]:[United Energy]],MATCH("TOU - Shoulder charge",OP_Rates_RES_2[Rate name],0),MATCH(OP_CMAB!I$22,OP_Rates_RES_2[[#Headers],[Ausnet]:[United Energy]],0))*
INDEX(Input_UsageTOU[[F-CurrentVDO]:[F-NextVDO]],MATCH($D24&amp;" - Shoulder",Input_UsageTOU[Ref],0),MATCH($D$20,Inputs!$I$155:$M$155,0))),0)+
(INDEX(OP_Rates_RES_2[[Ausnet]:[United Energy]],MATCH("TOU - Off peak charge",OP_Rates_RES_2[Rate name],0),MATCH(OP_CMAB!I$22,OP_Rates_RES_2[[#Headers],[Ausnet]:[United Energy]],0))*
INDEX(Input_UsageTOU[[F-CurrentVDO]:[F-NextVDO]],MATCH($D24&amp;" - Off-peak",Input_UsageTOU[Ref],0),MATCH($D$20,Inputs!$I$155:$M$155,0))),0),0,1))</f>
        <v>0</v>
      </c>
      <c r="M28" s="80">
        <f>IF($D$20="VDO 2021 - Final",
IF(M24=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INDEX(Input_UsageAnytime[[F-CurrentVDO]:[F-NextVDO]],MATCH(OP_CMAB!$L24&amp;" - Block 1",Input_UsageAnytime[Ref],0),MATCH(OP_CMAB!$D$20,Inputs!$I$129:$M$129,0))),0)+
IFERROR((INDEX(OP_Rates_SME_2[[Ausnet]:[United Energy]],MATCH("Anytime - Balance charge",OP_Rates_SME_2[Rate name],0),MATCH(OP_CMAB!M$22,OP_Rates_SME_2[[#Headers],[Ausnet]:[United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INDEX(Input_UsageAnytime[[F-CurrentVDO]:[F-NextVDO]],MATCH(OP_CMAB!$L24&amp;" - Annual",Input_UsageAnytime[Ref],0),MATCH(OP_CMAB!$D$20,Inputs!$I$129:$M$129,0))),0)),0),0,1),
IF(M24=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INDEX(Input_UsageTOU[[F-CurrentVDO]:[F-NextVDO]],MATCH($L24&amp;" - Peak",Input_UsageTOU[Ref],0),MATCH($D$20,Inputs!$I$155:$M$155,0)))+
IFERROR((INDEX(OP_Rates_SME_2[[Ausnet]:[United Energy]],MATCH("TOU - Shoulder charge",OP_Rates_SME_2[Rate name],0),MATCH(OP_CMAB!M$22,OP_Rates_SME_2[[#Headers],[Ausnet]:[United Energy]],0))*
INDEX(Input_UsageTOU[[F-CurrentVDO]:[F-NextVDO]],MATCH($L24&amp;" - Shoulder",Input_UsageTOU[Ref],0),MATCH($D$20,Inputs!$I$155:$M$155,0))),0)+
(INDEX(OP_Rates_SME_2[[Ausnet]:[United Energy]],MATCH("TOU - Off peak charge",OP_Rates_SME_2[Rate name],0),MATCH(OP_CMAB!M$22,OP_Rates_SME_2[[#Headers],[Ausnet]:[United Energy]],0))*
INDEX(Input_UsageTOU[[F-CurrentVDO]:[F-NextVDO]],MATCH($L24&amp;" - Off-peak",Input_UsageTOU[Ref],0),MATCH($D$20,Inputs!$I$155:$M$155,0))),0),0,1))</f>
        <v>0</v>
      </c>
      <c r="N28" s="80">
        <f>IF($D$20="VDO 2021 - Final",
IF(N24=
ROUNDUP(
(INDEX(OP_Rates_SME_2[[Ausnet]:[United Energy]],MATCH("Anytime - supply charge",OP_Rates_SME_2[Rate name],0),MATCH(OP_CMAB!N$22,OP_Rates_SME_2[[#Headers],[Ausnet]:[United Energy]],0))*DiY)+
(IFERROR((INDEX(OP_Rates_SME_2[[Ausnet]:[United Energy]],MATCH("Anytime - Block 1 charge",OP_Rates_SME_2[Rate name],0),MATCH(OP_CMAB!N$22,OP_Rates_SME_2[[#Headers],[Ausnet]:[United Energy]],0))*
INDEX(Input_UsageAnytime[[F-CurrentVDO]:[F-NextVDO]],MATCH(OP_CMAB!$L24&amp;" - Block 1",Input_UsageAnytime[Ref],0),MATCH(OP_CMAB!$D$20,Inputs!$I$129:$M$129,0))),0)+
IFERROR((INDEX(OP_Rates_SME_2[[Ausnet]:[United Energy]],MATCH("Anytime - Balance charge",OP_Rates_SME_2[Rate name],0),MATCH(OP_CMAB!N$22,OP_Rates_SME_2[[#Headers],[Ausnet]:[United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name],0),MATCH(OP_CMAB!N$22,OP_Rates_SME_2[[#Headers],[Ausnet]:[United Energy]],0))*
INDEX(Input_UsageAnytime[[F-CurrentVDO]:[F-NextVDO]],MATCH(OP_CMAB!$L24&amp;" - Annual",Input_UsageAnytime[Ref],0),MATCH(OP_CMAB!$D$20,Inputs!$I$129:$M$129,0))),0)),0),0,1),
IF(N24=
ROUNDUP(
(INDEX(OP_Rates_SME_2[[Ausnet]:[United Energy]],MATCH("TOU - supply charge",OP_Rates_SME_2[Rate name],0),MATCH(OP_CMAB!N$22,OP_Rates_SME_2[[#Headers],[Ausnet]:[United Energy]],0))*DiY)+
(INDEX(OP_Rates_SME_2[[Ausnet]:[United Energy]],MATCH("TOU - Peak charge",OP_Rates_SME_2[Rate name],0),MATCH(OP_CMAB!N$22,OP_Rates_SME_2[[#Headers],[Ausnet]:[United Energy]],0))*
INDEX(Input_UsageTOU[[F-CurrentVDO]:[F-NextVDO]],MATCH($L24&amp;" - Peak",Input_UsageTOU[Ref],0),MATCH($D$20,Inputs!$I$155:$M$155,0)))+
IFERROR((INDEX(OP_Rates_SME_2[[Ausnet]:[United Energy]],MATCH("TOU - Shoulder charge",OP_Rates_SME_2[Rate name],0),MATCH(OP_CMAB!N$22,OP_Rates_SME_2[[#Headers],[Ausnet]:[United Energy]],0))*
INDEX(Input_UsageTOU[[F-CurrentVDO]:[F-NextVDO]],MATCH($L24&amp;" - Shoulder",Input_UsageTOU[Ref],0),MATCH($D$20,Inputs!$I$155:$M$155,0))),0)+
(INDEX(OP_Rates_SME_2[[Ausnet]:[United Energy]],MATCH("TOU - Off peak charge",OP_Rates_SME_2[Rate name],0),MATCH(OP_CMAB!N$22,OP_Rates_SME_2[[#Headers],[Ausnet]:[United Energy]],0))*
INDEX(Input_UsageTOU[[F-CurrentVDO]:[F-NextVDO]],MATCH($L24&amp;" - Off-peak",Input_UsageTOU[Ref],0),MATCH($D$20,Inputs!$I$155:$M$155,0))),0),0,1))</f>
        <v>0</v>
      </c>
      <c r="O28" s="80">
        <f>IF($D$20="VDO 2021 - Final",
IF(O24=
ROUNDUP(
(INDEX(OP_Rates_SME_2[[Ausnet]:[United Energy]],MATCH("Anytime - supply charge",OP_Rates_SME_2[Rate name],0),MATCH(OP_CMAB!O$22,OP_Rates_SME_2[[#Headers],[Ausnet]:[United Energy]],0))*DiY)+
(IFERROR((INDEX(OP_Rates_SME_2[[Ausnet]:[United Energy]],MATCH("Anytime - Block 1 charge",OP_Rates_SME_2[Rate name],0),MATCH(OP_CMAB!O$22,OP_Rates_SME_2[[#Headers],[Ausnet]:[United Energy]],0))*
INDEX(Input_UsageAnytime[[F-CurrentVDO]:[F-NextVDO]],MATCH(OP_CMAB!$L24&amp;" - Block 1",Input_UsageAnytime[Ref],0),MATCH(OP_CMAB!$D$20,Inputs!$I$129:$M$129,0))),0)+
IFERROR((INDEX(OP_Rates_SME_2[[Ausnet]:[United Energy]],MATCH("Anytime - Balance charge",OP_Rates_SME_2[Rate name],0),MATCH(OP_CMAB!O$22,OP_Rates_SME_2[[#Headers],[Ausnet]:[United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name],0),MATCH(OP_CMAB!O$22,OP_Rates_SME_2[[#Headers],[Ausnet]:[United Energy]],0))*
INDEX(Input_UsageAnytime[[F-CurrentVDO]:[F-NextVDO]],MATCH(OP_CMAB!$L24&amp;" - Annual",Input_UsageAnytime[Ref],0),MATCH(OP_CMAB!$D$20,Inputs!$I$129:$M$129,0))),0)),0),0,1),
IF(O24=
ROUNDUP(
(INDEX(OP_Rates_SME_2[[Ausnet]:[United Energy]],MATCH("TOU - supply charge",OP_Rates_SME_2[Rate name],0),MATCH(OP_CMAB!O$22,OP_Rates_SME_2[[#Headers],[Ausnet]:[United Energy]],0))*DiY)+
(INDEX(OP_Rates_SME_2[[Ausnet]:[United Energy]],MATCH("TOU - Peak charge",OP_Rates_SME_2[Rate name],0),MATCH(OP_CMAB!O$22,OP_Rates_SME_2[[#Headers],[Ausnet]:[United Energy]],0))*
INDEX(Input_UsageTOU[[F-CurrentVDO]:[F-NextVDO]],MATCH($L24&amp;" - Peak",Input_UsageTOU[Ref],0),MATCH($D$20,Inputs!$I$155:$M$155,0)))+
IFERROR((INDEX(OP_Rates_SME_2[[Ausnet]:[United Energy]],MATCH("TOU - Shoulder charge",OP_Rates_SME_2[Rate name],0),MATCH(OP_CMAB!O$22,OP_Rates_SME_2[[#Headers],[Ausnet]:[United Energy]],0))*
INDEX(Input_UsageTOU[[F-CurrentVDO]:[F-NextVDO]],MATCH($L24&amp;" - Shoulder",Input_UsageTOU[Ref],0),MATCH($D$20,Inputs!$I$155:$M$155,0))),0)+
(INDEX(OP_Rates_SME_2[[Ausnet]:[United Energy]],MATCH("TOU - Off peak charge",OP_Rates_SME_2[Rate name],0),MATCH(OP_CMAB!O$22,OP_Rates_SME_2[[#Headers],[Ausnet]:[United Energy]],0))*
INDEX(Input_UsageTOU[[F-CurrentVDO]:[F-NextVDO]],MATCH($L24&amp;" - Off-peak",Input_UsageTOU[Ref],0),MATCH($D$20,Inputs!$I$155:$M$155,0))),0),0,1))</f>
        <v>0</v>
      </c>
      <c r="P28" s="80">
        <f>IF($D$20="VDO 2021 - Final",
IF(P24=
ROUNDUP(
(INDEX(OP_Rates_SME_2[[Ausnet]:[United Energy]],MATCH("Anytime - supply charge",OP_Rates_SME_2[Rate name],0),MATCH(OP_CMAB!P$22,OP_Rates_SME_2[[#Headers],[Ausnet]:[United Energy]],0))*DiY)+
(IFERROR((INDEX(OP_Rates_SME_2[[Ausnet]:[United Energy]],MATCH("Anytime - Block 1 charge",OP_Rates_SME_2[Rate name],0),MATCH(OP_CMAB!P$22,OP_Rates_SME_2[[#Headers],[Ausnet]:[United Energy]],0))*
INDEX(Input_UsageAnytime[[F-CurrentVDO]:[F-NextVDO]],MATCH(OP_CMAB!$L24&amp;" - Block 1",Input_UsageAnytime[Ref],0),MATCH(OP_CMAB!$D$20,Inputs!$I$129:$M$129,0))),0)+
IFERROR((INDEX(OP_Rates_SME_2[[Ausnet]:[United Energy]],MATCH("Anytime - Balance charge",OP_Rates_SME_2[Rate name],0),MATCH(OP_CMAB!P$22,OP_Rates_SME_2[[#Headers],[Ausnet]:[United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name],0),MATCH(OP_CMAB!P$22,OP_Rates_SME_2[[#Headers],[Ausnet]:[United Energy]],0))*
INDEX(Input_UsageAnytime[[F-CurrentVDO]:[F-NextVDO]],MATCH(OP_CMAB!$L24&amp;" - Annual",Input_UsageAnytime[Ref],0),MATCH(OP_CMAB!$D$20,Inputs!$I$129:$M$129,0))),0)),0),0,1),
IF(P24=
ROUNDUP(
(INDEX(OP_Rates_SME_2[[Ausnet]:[United Energy]],MATCH("TOU - supply charge",OP_Rates_SME_2[Rate name],0),MATCH(OP_CMAB!P$22,OP_Rates_SME_2[[#Headers],[Ausnet]:[United Energy]],0))*DiY)+
(INDEX(OP_Rates_SME_2[[Ausnet]:[United Energy]],MATCH("TOU - Peak charge",OP_Rates_SME_2[Rate name],0),MATCH(OP_CMAB!P$22,OP_Rates_SME_2[[#Headers],[Ausnet]:[United Energy]],0))*
INDEX(Input_UsageTOU[[F-CurrentVDO]:[F-NextVDO]],MATCH($L24&amp;" - Peak",Input_UsageTOU[Ref],0),MATCH($D$20,Inputs!$I$155:$M$155,0)))+
IFERROR((INDEX(OP_Rates_SME_2[[Ausnet]:[United Energy]],MATCH("TOU - Shoulder charge",OP_Rates_SME_2[Rate name],0),MATCH(OP_CMAB!P$22,OP_Rates_SME_2[[#Headers],[Ausnet]:[United Energy]],0))*
INDEX(Input_UsageTOU[[F-CurrentVDO]:[F-NextVDO]],MATCH($L24&amp;" - Shoulder",Input_UsageTOU[Ref],0),MATCH($D$20,Inputs!$I$155:$M$155,0))),0)+
(INDEX(OP_Rates_SME_2[[Ausnet]:[United Energy]],MATCH("TOU - Off peak charge",OP_Rates_SME_2[Rate name],0),MATCH(OP_CMAB!P$22,OP_Rates_SME_2[[#Headers],[Ausnet]:[United Energy]],0))*
INDEX(Input_UsageTOU[[F-CurrentVDO]:[F-NextVDO]],MATCH($L24&amp;" - Off-peak",Input_UsageTOU[Ref],0),MATCH($D$20,Inputs!$I$155:$M$155,0))),0),0,1))</f>
        <v>0</v>
      </c>
      <c r="Q28" s="80">
        <f>IF($D$20="VDO 2021 - Final",
IF(Q24=
ROUNDUP(
(INDEX(OP_Rates_SME_2[[Ausnet]:[United Energy]],MATCH("Anytime - supply charge",OP_Rates_SME_2[Rate name],0),MATCH(OP_CMAB!Q$22,OP_Rates_SME_2[[#Headers],[Ausnet]:[United Energy]],0))*DiY)+
(IFERROR((INDEX(OP_Rates_SME_2[[Ausnet]:[United Energy]],MATCH("Anytime - Block 1 charge",OP_Rates_SME_2[Rate name],0),MATCH(OP_CMAB!Q$22,OP_Rates_SME_2[[#Headers],[Ausnet]:[United Energy]],0))*
INDEX(Input_UsageAnytime[[F-CurrentVDO]:[F-NextVDO]],MATCH(OP_CMAB!$L24&amp;" - Block 1",Input_UsageAnytime[Ref],0),MATCH(OP_CMAB!$D$20,Inputs!$I$129:$M$129,0))),0)+
IFERROR((INDEX(OP_Rates_SME_2[[Ausnet]:[United Energy]],MATCH("Anytime - Balance charge",OP_Rates_SME_2[Rate name],0),MATCH(OP_CMAB!Q$22,OP_Rates_SME_2[[#Headers],[Ausnet]:[United Energy]],0))*
INDEX(Input_UsageAnytime[[F-CurrentVDO]:[F-NextVDO]],MATCH(OP_CMAB!$L24&amp;" - Balance",Input_UsageAnytime[Ref],0),MATCH(OP_CMAB!$D$20,Inputs!$I$129:$M$129,0))),0)+
IFERROR((INDEX(OP_Rates_SME_2[[Ausnet]:[United Energy]],MATCH("Anytime - Single rate charge",OP_Rates_SME_2[Rate name],0),MATCH(OP_CMAB!Q$22,OP_Rates_SME_2[[#Headers],[Ausnet]:[United Energy]],0))*
INDEX(Input_UsageAnytime[[F-CurrentVDO]:[F-NextVDO]],MATCH(OP_CMAB!$L24&amp;" - Annual",Input_UsageAnytime[Ref],0),MATCH(OP_CMAB!$D$20,Inputs!$I$129:$M$129,0))),0)),0),0,1),
IF(Q24=
ROUNDUP(
(INDEX(OP_Rates_SME_2[[Ausnet]:[United Energy]],MATCH("TOU - supply charge",OP_Rates_SME_2[Rate name],0),MATCH(OP_CMAB!Q$22,OP_Rates_SME_2[[#Headers],[Ausnet]:[United Energy]],0))*DiY)+
(INDEX(OP_Rates_SME_2[[Ausnet]:[United Energy]],MATCH("TOU - Peak charge",OP_Rates_SME_2[Rate name],0),MATCH(OP_CMAB!Q$22,OP_Rates_SME_2[[#Headers],[Ausnet]:[United Energy]],0))*
INDEX(Input_UsageTOU[[F-CurrentVDO]:[F-NextVDO]],MATCH($L24&amp;" - Peak",Input_UsageTOU[Ref],0),MATCH($D$20,Inputs!$I$155:$M$155,0)))+
IFERROR((INDEX(OP_Rates_SME_2[[Ausnet]:[United Energy]],MATCH("TOU - Shoulder charge",OP_Rates_SME_2[Rate name],0),MATCH(OP_CMAB!Q$22,OP_Rates_SME_2[[#Headers],[Ausnet]:[United Energy]],0))*
INDEX(Input_UsageTOU[[F-CurrentVDO]:[F-NextVDO]],MATCH($L24&amp;" - Shoulder",Input_UsageTOU[Ref],0),MATCH($D$20,Inputs!$I$155:$M$155,0))),0)+
(INDEX(OP_Rates_SME_2[[Ausnet]:[United Energy]],MATCH("TOU - Off peak charge",OP_Rates_SME_2[Rate name],0),MATCH(OP_CMAB!Q$22,OP_Rates_SME_2[[#Headers],[Ausnet]:[United Energy]],0))*
INDEX(Input_UsageTOU[[F-CurrentVDO]:[F-NextVDO]],MATCH($L24&amp;" - Off-peak",Input_UsageTOU[Ref],0),MATCH($D$20,Inputs!$I$155:$M$155,0))),0),0,1))</f>
        <v>0</v>
      </c>
    </row>
    <row r="29" spans="1:18" ht="15.5" hidden="1" x14ac:dyDescent="0.35">
      <c r="E29" s="80">
        <f>IF($D$20="VDO 2021 - Final",
IF(E25=
ROUNDUP(
(INDEX(OP_Rates_RES_2[[Ausnet]:[United Energy]],MATCH("Anytime - supply charge",OP_Rates_RES_2[Rate name],0),MATCH(OP_CMAB!E$22,OP_Rates_RES_2[[#Headers],[Ausnet]:[United Energy]],0))*DiY)+
(IFERROR((INDEX(OP_Rates_RES_2[[Ausnet]:[United Energy]],MATCH("Anytime - Block 1 charge",OP_Rates_RES_2[Rate name],0),MATCH(OP_CMAB!E$22,OP_Rates_RES_2[[#Headers],[Ausnet]:[United Energy]],0))*
INDEX(Input_UsageAnytime[[F-CurrentVDO]:[F-NextVDO]],MATCH(OP_CMAB!$D25&amp;" - Block 1",Input_UsageAnytime[Ref],0),MATCH(OP_CMAB!$D$20,Inputs!$I$129:$M$129,0))),0)+
IFERROR((INDEX(OP_Rates_RES_2[[Ausnet]:[United Energy]],MATCH("Anytime - Balance charge",OP_Rates_RES_2[Rate name],0),MATCH(OP_CMAB!E$22,OP_Rates_RES_2[[#Headers],[Ausnet]:[United Energy]],0))*
INDEX(Input_UsageAnytime[[F-CurrentVDO]:[F-NextVDO]],MATCH(OP_CMAB!$D25&amp;" - Balance",Input_UsageAnytime[Ref],0),MATCH(OP_CMAB!$D$20,Inputs!$I$129:$M$129,0))),0)+
IFERROR((INDEX(OP_Rates_RES_2[[Ausnet]:[United Energy]],MATCH("Anytime - Single rate charge",OP_Rates_RES_2[Rate name],0),MATCH(OP_CMAB!E$22,OP_Rates_RES_2[[#Headers],[Ausnet]:[United Energy]],0))*
INDEX(Input_UsageAnytime[[F-CurrentVDO]:[F-NextVDO]],MATCH(OP_CMAB!$D25&amp;" - Annual",Input_UsageAnytime[Ref],0),MATCH(OP_CMAB!$D$20,Inputs!$I$129:$M$129,0))),0)),0),0,1),
IF(E25=
ROUNDUP(
(INDEX(OP_Rates_RES_2[[Ausnet]:[United Energy]],MATCH("TOU - supply charge",OP_Rates_RES_2[Rate name],0),MATCH(OP_CMAB!E$22,OP_Rates_RES_2[[#Headers],[Ausnet]:[United Energy]],0))*DiY)+
(INDEX(OP_Rates_RES_2[[Ausnet]:[United Energy]],MATCH("TOU - Peak charge",OP_Rates_RES_2[Rate name],0),MATCH(OP_CMAB!E$22,OP_Rates_RES_2[[#Headers],[Ausnet]:[United Energy]],0))*
INDEX(Input_UsageTOU[[F-CurrentVDO]:[F-NextVDO]],MATCH($D25&amp;" - Peak",Input_UsageTOU[[Ref]:[Ref]],0),MATCH($D$20,Inputs!$I$155:$M$155,0)))+
IFERROR((INDEX(OP_Rates_RES_2[[Ausnet]:[United Energy]],MATCH("TOU - Shoulder charge",OP_Rates_RES_2[[Rate name]:[Rate name]],0),MATCH(OP_CMAB!E$22,OP_Rates_RES_2[[#Headers],[Ausnet]:[United Energy]],0))*
INDEX(Input_UsageTOU[[F-CurrentVDO]:[F-NextVDO]],MATCH($D25&amp;" - Shoulder",Input_UsageTOU[[Ref]:[Ref]],0),MATCH($D$20,Inputs!$I$155:$M$155,0))),0)+
(INDEX(OP_Rates_RES_2[[Ausnet]:[United Energy]],MATCH("TOU - Off peak charge",OP_Rates_RES_2[[Rate name]:[Rate name]],0),MATCH(OP_CMAB!E$22,OP_Rates_RES_2[[#Headers],[Ausnet]:[United Energy]],0))*
INDEX(Input_UsageTOU[[F-CurrentVDO]:[F-NextVDO]],MATCH($D25&amp;" - Off-peak",Input_UsageTOU[[Ref]:[Ref]],0),MATCH($D$20,Inputs!$I$155:$M$155,0))),0),0,1))</f>
        <v>0</v>
      </c>
      <c r="F29" s="80">
        <f>IF($D$20="VDO 2021 - Final",
IF(F25=
ROUNDUP(
(INDEX(OP_Rates_RES_2[[Ausnet]:[United Energy]],MATCH("Anytime - supply charge",OP_Rates_RES_2[[Rate name]:[Rate name]],0),MATCH(OP_CMAB!F$22,OP_Rates_RES_2[[#Headers],[Ausnet]:[United Energy]],0))*DiY)+
(IFERROR((INDEX(OP_Rates_RES_2[[Ausnet]:[United Energy]],MATCH("Anytime - Block 1 charge",OP_Rates_RES_2[[Rate name]:[Rate name]],0),MATCH(OP_CMAB!F$22,OP_Rates_RES_2[[#Headers],[Ausnet]:[United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name]],0),MATCH(OP_CMAB!F$22,OP_Rates_RES_2[[#Headers],[Ausnet]:[United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name]],0),MATCH(OP_CMAB!F$22,OP_Rates_RES_2[[#Headers],[Ausnet]:[United Energy]],0))*
INDEX(Input_UsageAnytime[[F-CurrentVDO]:[F-NextVDO]],MATCH(OP_CMAB!$D25&amp;" - Annual",Input_UsageAnytime[[Ref]:[Ref]],0),MATCH(OP_CMAB!$D$20,Inputs!$I$129:$M$129,0))),0)),0),0,1),
IF(F25=
ROUNDUP(
(INDEX(OP_Rates_RES_2[[Ausnet]:[United Energy]],MATCH("TOU - supply charge",OP_Rates_RES_2[[Rate name]:[Rate name]],0),MATCH(OP_CMAB!F$22,OP_Rates_RES_2[[#Headers],[Ausnet]:[United Energy]],0))*DiY)+
(INDEX(OP_Rates_RES_2[[Ausnet]:[United Energy]],MATCH("TOU - Peak charge",OP_Rates_RES_2[[Rate name]:[Rate name]],0),MATCH(OP_CMAB!F$22,OP_Rates_RES_2[[#Headers],[Ausnet]:[United Energy]],0))*
INDEX(Input_UsageTOU[[F-CurrentVDO]:[F-NextVDO]],MATCH($D25&amp;" - Peak",Input_UsageTOU[[Ref]:[Ref]],0),MATCH($D$20,Inputs!$I$155:$M$155,0)))+
IFERROR((INDEX(OP_Rates_RES_2[[Ausnet]:[United Energy]],MATCH("TOU - Shoulder charge",OP_Rates_RES_2[[Rate name]:[Rate name]],0),MATCH(OP_CMAB!F$22,OP_Rates_RES_2[[#Headers],[Ausnet]:[United Energy]],0))*
INDEX(Input_UsageTOU[[F-CurrentVDO]:[F-NextVDO]],MATCH($D25&amp;" - Shoulder",Input_UsageTOU[[Ref]:[Ref]],0),MATCH($D$20,Inputs!$I$155:$M$155,0))),0)+
(INDEX(OP_Rates_RES_2[[Ausnet]:[United Energy]],MATCH("TOU - Off peak charge",OP_Rates_RES_2[[Rate name]:[Rate name]],0),MATCH(OP_CMAB!F$22,OP_Rates_RES_2[[#Headers],[Ausnet]:[United Energy]],0))*
INDEX(Input_UsageTOU[[F-CurrentVDO]:[F-NextVDO]],MATCH($D25&amp;" - Off-peak",Input_UsageTOU[[Ref]:[Ref]],0),MATCH($D$20,Inputs!$I$155:$M$155,0))),0),0,1))</f>
        <v>0</v>
      </c>
      <c r="G29" s="80">
        <f>IF($D$20="VDO 2021 - Final",
IF(G25=
ROUNDUP(
(INDEX(OP_Rates_RES_2[[Ausnet]:[United Energy]],MATCH("Anytime - supply charge",OP_Rates_RES_2[[Rate name]:[Rate name]],0),MATCH(OP_CMAB!G$22,OP_Rates_RES_2[[#Headers],[Ausnet]:[United Energy]],0))*DiY)+
(IFERROR((INDEX(OP_Rates_RES_2[[Ausnet]:[United Energy]],MATCH("Anytime - Block 1 charge",OP_Rates_RES_2[[Rate name]:[Rate name]],0),MATCH(OP_CMAB!G$22,OP_Rates_RES_2[[#Headers],[Ausnet]:[United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name]],0),MATCH(OP_CMAB!G$22,OP_Rates_RES_2[[#Headers],[Ausnet]:[United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name]],0),MATCH(OP_CMAB!G$22,OP_Rates_RES_2[[#Headers],[Ausnet]:[United Energy]],0))*
INDEX(Input_UsageAnytime[[F-CurrentVDO]:[F-NextVDO]],MATCH(OP_CMAB!$D25&amp;" - Annual",Input_UsageAnytime[[Ref]:[Ref]],0),MATCH(OP_CMAB!$D$20,Inputs!$I$129:$M$129,0))),0)),0),0,1),
IF(G25=
ROUNDUP(
(INDEX(OP_Rates_RES_2[[Ausnet]:[United Energy]],MATCH("TOU - supply charge",OP_Rates_RES_2[[Rate name]:[Rate name]],0),MATCH(OP_CMAB!G$22,OP_Rates_RES_2[[#Headers],[Ausnet]:[United Energy]],0))*DiY)+
(INDEX(OP_Rates_RES_2[[Ausnet]:[United Energy]],MATCH("TOU - Peak charge",OP_Rates_RES_2[[Rate name]:[Rate name]],0),MATCH(OP_CMAB!G$22,OP_Rates_RES_2[[#Headers],[Ausnet]:[United Energy]],0))*
INDEX(Input_UsageTOU[[F-CurrentVDO]:[F-NextVDO]],MATCH($D25&amp;" - Peak",Input_UsageTOU[[Ref]:[Ref]],0),MATCH($D$20,Inputs!$I$155:$M$155,0)))+
IFERROR((INDEX(OP_Rates_RES_2[[Ausnet]:[United Energy]],MATCH("TOU - Shoulder charge",OP_Rates_RES_2[[Rate name]:[Rate name]],0),MATCH(OP_CMAB!G$22,OP_Rates_RES_2[[#Headers],[Ausnet]:[United Energy]],0))*
INDEX(Input_UsageTOU[[F-CurrentVDO]:[F-NextVDO]],MATCH($D25&amp;" - Shoulder",Input_UsageTOU[[Ref]:[Ref]],0),MATCH($D$20,Inputs!$I$155:$M$155,0))),0)+
(INDEX(OP_Rates_RES_2[[Ausnet]:[United Energy]],MATCH("TOU - Off peak charge",OP_Rates_RES_2[[Rate name]:[Rate name]],0),MATCH(OP_CMAB!G$22,OP_Rates_RES_2[[#Headers],[Ausnet]:[United Energy]],0))*
INDEX(Input_UsageTOU[[F-CurrentVDO]:[F-NextVDO]],MATCH($D25&amp;" - Off-peak",Input_UsageTOU[[Ref]:[Ref]],0),MATCH($D$20,Inputs!$I$155:$M$155,0))),0),0,1))</f>
        <v>0</v>
      </c>
      <c r="H29" s="80">
        <f>IF($D$20="VDO 2021 - Final",
IF(H25=
ROUNDUP(
(INDEX(OP_Rates_RES_2[[Ausnet]:[United Energy]],MATCH("Anytime - supply charge",OP_Rates_RES_2[[Rate name]:[Rate name]],0),MATCH(OP_CMAB!H$22,OP_Rates_RES_2[[#Headers],[Ausnet]:[United Energy]],0))*DiY)+
(IFERROR((INDEX(OP_Rates_RES_2[[Ausnet]:[United Energy]],MATCH("Anytime - Block 1 charge",OP_Rates_RES_2[[Rate name]:[Rate name]],0),MATCH(OP_CMAB!H$22,OP_Rates_RES_2[[#Headers],[Ausnet]:[United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name]],0),MATCH(OP_CMAB!H$22,OP_Rates_RES_2[[#Headers],[Ausnet]:[United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name]],0),MATCH(OP_CMAB!H$22,OP_Rates_RES_2[[#Headers],[Ausnet]:[United Energy]],0))*
INDEX(Input_UsageAnytime[[F-CurrentVDO]:[F-NextVDO]],MATCH(OP_CMAB!$D25&amp;" - Annual",Input_UsageAnytime[[Ref]:[Ref]],0),MATCH(OP_CMAB!$D$20,Inputs!$I$129:$M$129,0))),0)),0),0,1),
IF(H25=
ROUNDUP(
(INDEX(OP_Rates_RES_2[[Ausnet]:[United Energy]],MATCH("TOU - supply charge",OP_Rates_RES_2[[Rate name]:[Rate name]],0),MATCH(OP_CMAB!H$22,OP_Rates_RES_2[[#Headers],[Ausnet]:[United Energy]],0))*DiY)+
(INDEX(OP_Rates_RES_2[[Ausnet]:[United Energy]],MATCH("TOU - Peak charge",OP_Rates_RES_2[[Rate name]:[Rate name]],0),MATCH(OP_CMAB!H$22,OP_Rates_RES_2[[#Headers],[Ausnet]:[United Energy]],0))*
INDEX(Input_UsageTOU[[F-CurrentVDO]:[F-NextVDO]],MATCH($D25&amp;" - Peak",Input_UsageTOU[[Ref]:[Ref]],0),MATCH($D$20,Inputs!$I$155:$M$155,0)))+
IFERROR((INDEX(OP_Rates_RES_2[[Ausnet]:[United Energy]],MATCH("TOU - Shoulder charge",OP_Rates_RES_2[[Rate name]:[Rate name]],0),MATCH(OP_CMAB!H$22,OP_Rates_RES_2[[#Headers],[Ausnet]:[United Energy]],0))*
INDEX(Input_UsageTOU[[F-CurrentVDO]:[F-NextVDO]],MATCH($D25&amp;" - Shoulder",Input_UsageTOU[[Ref]:[Ref]],0),MATCH($D$20,Inputs!$I$155:$M$155,0))),0)+
(INDEX(OP_Rates_RES_2[[Ausnet]:[United Energy]],MATCH("TOU - Off peak charge",OP_Rates_RES_2[[Rate name]:[Rate name]],0),MATCH(OP_CMAB!H$22,OP_Rates_RES_2[[#Headers],[Ausnet]:[United Energy]],0))*
INDEX(Input_UsageTOU[[F-CurrentVDO]:[F-NextVDO]],MATCH($D25&amp;" - Off-peak",Input_UsageTOU[[Ref]:[Ref]],0),MATCH($D$20,Inputs!$I$155:$M$155,0))),0),0,1))</f>
        <v>0</v>
      </c>
      <c r="I29" s="80">
        <f>IF($D$20="VDO 2021 - Final",
IF(I25=
ROUNDUP(
(INDEX(OP_Rates_RES_2[[Ausnet]:[United Energy]],MATCH("Anytime - supply charge",OP_Rates_RES_2[[Rate name]:[Rate name]],0),MATCH(OP_CMAB!I$22,OP_Rates_RES_2[[#Headers],[Ausnet]:[United Energy]],0))*DiY)+
(IFERROR((INDEX(OP_Rates_RES_2[[Ausnet]:[United Energy]],MATCH("Anytime - Block 1 charge",OP_Rates_RES_2[[Rate name]:[Rate name]],0),MATCH(OP_CMAB!I$22,OP_Rates_RES_2[[#Headers],[Ausnet]:[United Energy]],0))*
INDEX(Input_UsageAnytime[[F-CurrentVDO]:[F-NextVDO]],MATCH(OP_CMAB!$D25&amp;" - Block 1",Input_UsageAnytime[[Ref]:[Ref]],0),MATCH(OP_CMAB!$D$20,Inputs!$I$129:$M$129,0))),0)+
IFERROR((INDEX(OP_Rates_RES_2[[Ausnet]:[United Energy]],MATCH("Anytime - Balance charge",OP_Rates_RES_2[[Rate name]:[Rate name]],0),MATCH(OP_CMAB!I$22,OP_Rates_RES_2[[#Headers],[Ausnet]:[United Energy]],0))*
INDEX(Input_UsageAnytime[[F-CurrentVDO]:[F-NextVDO]],MATCH(OP_CMAB!$D25&amp;" - Balance",Input_UsageAnytime[[Ref]:[Ref]],0),MATCH(OP_CMAB!$D$20,Inputs!$I$129:$M$129,0))),0)+
IFERROR((INDEX(OP_Rates_RES_2[[Ausnet]:[United Energy]],MATCH("Anytime - Single rate charge",OP_Rates_RES_2[[Rate name]:[Rate name]],0),MATCH(OP_CMAB!I$22,OP_Rates_RES_2[[#Headers],[Ausnet]:[United Energy]],0))*
INDEX(Input_UsageAnytime[[F-CurrentVDO]:[F-NextVDO]],MATCH(OP_CMAB!$D25&amp;" - Annual",Input_UsageAnytime[[Ref]:[Ref]],0),MATCH(OP_CMAB!$D$20,Inputs!$I$129:$M$129,0))),0)),0),0,1),
IF(I25=
ROUNDUP(
(INDEX(OP_Rates_RES_2[[Ausnet]:[United Energy]],MATCH("TOU - supply charge",OP_Rates_RES_2[[Rate name]:[Rate name]],0),MATCH(OP_CMAB!I$22,OP_Rates_RES_2[[#Headers],[Ausnet]:[United Energy]],0))*DiY)+
(INDEX(OP_Rates_RES_2[[Ausnet]:[United Energy]],MATCH("TOU - Peak charge",OP_Rates_RES_2[[Rate name]:[Rate name]],0),MATCH(OP_CMAB!I$22,OP_Rates_RES_2[[#Headers],[Ausnet]:[United Energy]],0))*
INDEX(Input_UsageTOU[[F-CurrentVDO]:[F-NextVDO]],MATCH($D25&amp;" - Peak",Input_UsageTOU[[Ref]:[Ref]],0),MATCH($D$20,Inputs!$I$155:$M$155,0)))+
IFERROR((INDEX(OP_Rates_RES_2[[Ausnet]:[United Energy]],MATCH("TOU - Shoulder charge",OP_Rates_RES_2[[Rate name]:[Rate name]],0),MATCH(OP_CMAB!I$22,OP_Rates_RES_2[[#Headers],[Ausnet]:[United Energy]],0))*
INDEX(Input_UsageTOU[[F-CurrentVDO]:[F-NextVDO]],MATCH($D25&amp;" - Shoulder",Input_UsageTOU[[Ref]:[Ref]],0),MATCH($D$20,Inputs!$I$155:$M$155,0))),0)+
(INDEX(OP_Rates_RES_2[[Ausnet]:[United Energy]],MATCH("TOU - Off peak charge",OP_Rates_RES_2[[Rate name]:[Rate name]],0),MATCH(OP_CMAB!I$22,OP_Rates_RES_2[[#Headers],[Ausnet]:[United Energy]],0))*
INDEX(Input_UsageTOU[[F-CurrentVDO]:[F-NextVDO]],MATCH($D25&amp;" - Off-peak",Input_UsageTOU[[Ref]:[Ref]],0),MATCH($D$20,Inputs!$I$155:$M$155,0))),0),0,1))</f>
        <v>0</v>
      </c>
      <c r="M29" s="80">
        <f>IF($D$20="VDO 2021 - Final",
IF(M25=
ROUNDUP(
(INDEX(OP_Rates_SME_2[[Ausnet]:[United Energy]],MATCH("Anytime - supply charge",OP_Rates_SME_2[Rate name],0),MATCH(OP_CMAB!M$22,OP_Rates_SME_2[[#Headers],[Ausnet]:[United Energy]],0))*DiY)+
(IFERROR((INDEX(OP_Rates_SME_2[[Ausnet]:[United Energy]],MATCH("Anytime - Block 1 charge",OP_Rates_SME_2[Rate name],0),MATCH(OP_CMAB!M$22,OP_Rates_SME_2[[#Headers],[Ausnet]:[United Energy]],0))*
INDEX(Input_UsageAnytime[[F-CurrentVDO]:[F-NextVDO]],MATCH(OP_CMAB!$L25&amp;" - Block 1",Input_UsageAnytime[Ref],0),MATCH(OP_CMAB!$D$20,Inputs!$I$129:$M$129,0))),0)+
IFERROR((INDEX(OP_Rates_SME_2[[Ausnet]:[United Energy]],MATCH("Anytime - Balance charge",OP_Rates_SME_2[Rate name],0),MATCH(OP_CMAB!M$22,OP_Rates_SME_2[[#Headers],[Ausnet]:[United Energy]],0))*
INDEX(Input_UsageAnytime[[F-CurrentVDO]:[F-NextVDO]],MATCH(OP_CMAB!$L25&amp;" - Balance",Input_UsageAnytime[Ref],0),MATCH(OP_CMAB!$D$20,Inputs!$I$129:$M$129,0))),0)+
IFERROR((INDEX(OP_Rates_SME_2[[Ausnet]:[United Energy]],MATCH("Anytime - Single rate charge",OP_Rates_SME_2[Rate name],0),MATCH(OP_CMAB!M$22,OP_Rates_SME_2[[#Headers],[Ausnet]:[United Energy]],0))*
INDEX(Input_UsageAnytime[[F-CurrentVDO]:[F-NextVDO]],MATCH(OP_CMAB!$L25&amp;" - Annual",Input_UsageAnytime[Ref],0),MATCH(OP_CMAB!$D$20,Inputs!$I$129:$M$129,0))),0)),0),0,1),
IF(M25=
ROUNDUP(
(INDEX(OP_Rates_SME_2[[Ausnet]:[United Energy]],MATCH("TOU - supply charge",OP_Rates_SME_2[Rate name],0),MATCH(OP_CMAB!M$22,OP_Rates_SME_2[[#Headers],[Ausnet]:[United Energy]],0))*DiY)+
(INDEX(OP_Rates_SME_2[[Ausnet]:[United Energy]],MATCH("TOU - Peak charge",OP_Rates_SME_2[Rate name],0),MATCH(OP_CMAB!M$22,OP_Rates_SME_2[[#Headers],[Ausnet]:[United Energy]],0))*
INDEX(Input_UsageTOU[[F-CurrentVDO]:[F-NextVDO]],MATCH($L25&amp;" - Peak",Input_UsageTOU[[Ref]:[Ref]],0),MATCH($D$20,Inputs!$I$155:$M$155,0)))+
IFERROR((INDEX(OP_Rates_SME_2[[Ausnet]:[United Energy]],MATCH("TOU - Shoulder charge",OP_Rates_SME_2[[Rate name]:[Rate name]],0),MATCH(OP_CMAB!M$22,OP_Rates_SME_2[[#Headers],[Ausnet]:[United Energy]],0))*
INDEX(Input_UsageTOU[[F-CurrentVDO]:[F-NextVDO]],MATCH($L25&amp;" - Shoulder",Input_UsageTOU[[Ref]:[Ref]],0),MATCH($D$20,Inputs!$I$155:$M$155,0))),0)+
(INDEX(OP_Rates_SME_2[[Ausnet]:[United Energy]],MATCH("TOU - Off peak charge",OP_Rates_SME_2[[Rate name]:[Rate name]],0),MATCH(OP_CMAB!M$22,OP_Rates_SME_2[[#Headers],[Ausnet]:[United Energy]],0))*
INDEX(Input_UsageTOU[[F-CurrentVDO]:[F-NextVDO]],MATCH($L25&amp;" - Off-peak",Input_UsageTOU[[Ref]:[Ref]],0),MATCH($D$20,Inputs!$I$155:$M$155,0))),0),0,1))</f>
        <v>0</v>
      </c>
      <c r="N29" s="80">
        <f>IF($D$20="VDO 2021 - Final",
IF(N25=
ROUNDUP(
(INDEX(OP_Rates_SME_2[[Ausnet]:[United Energy]],MATCH("Anytime - supply charge",OP_Rates_SME_2[[Rate name]:[Rate name]],0),MATCH(OP_CMAB!N$22,OP_Rates_SME_2[[#Headers],[Ausnet]:[United Energy]],0))*DiY)+
(IFERROR((INDEX(OP_Rates_SME_2[[Ausnet]:[United Energy]],MATCH("Anytime - Block 1 charge",OP_Rates_SME_2[[Rate name]:[Rate name]],0),MATCH(OP_CMAB!N$22,OP_Rates_SME_2[[#Headers],[Ausnet]:[United Energy]],0))*
INDEX(Input_UsageAnytime[[F-CurrentVDO]:[F-NextVDO]],MATCH(OP_CMAB!$L25&amp;" - Block 1",Input_UsageAnytime[[Ref]:[Ref]],0),MATCH(OP_CMAB!$D$20,Inputs!$I$129:$M$129,0))),0)+
IFERROR((INDEX(OP_Rates_SME_2[[Ausnet]:[United Energy]],MATCH("Anytime - Balance charge",OP_Rates_SME_2[[Rate name]:[Rate name]],0),MATCH(OP_CMAB!N$22,OP_Rates_SME_2[[#Headers],[Ausnet]:[United Energy]],0))*
INDEX(Input_UsageAnytime[[F-CurrentVDO]:[F-NextVDO]],MATCH(OP_CMAB!$L25&amp;" - Balance",Input_UsageAnytime[[Ref]:[Ref]],0),MATCH(OP_CMAB!$D$20,Inputs!$I$129:$M$129,0))),0)+
IFERROR((INDEX(OP_Rates_SME_2[[Ausnet]:[United Energy]],MATCH("Anytime - Single rate charge",OP_Rates_SME_2[[Rate name]:[Rate name]],0),MATCH(OP_CMAB!N$22,OP_Rates_SME_2[[#Headers],[Ausnet]:[United Energy]],0))*
INDEX(Input_UsageAnytime[[F-CurrentVDO]:[F-NextVDO]],MATCH(OP_CMAB!$L25&amp;" - Annual",Input_UsageAnytime[[Ref]:[Ref]],0),MATCH(OP_CMAB!$D$20,Inputs!$I$129:$M$129,0))),0)),0),0,1),
IF(N25=
ROUNDUP(
(INDEX(OP_Rates_SME_2[[Ausnet]:[United Energy]],MATCH("TOU - supply charge",OP_Rates_SME_2[[Rate name]:[Rate name]],0),MATCH(OP_CMAB!N$22,OP_Rates_SME_2[[#Headers],[Ausnet]:[United Energy]],0))*DiY)+
(INDEX(OP_Rates_SME_2[[Ausnet]:[United Energy]],MATCH("TOU - Peak charge",OP_Rates_SME_2[[Rate name]:[Rate name]],0),MATCH(OP_CMAB!N$22,OP_Rates_SME_2[[#Headers],[Ausnet]:[United Energy]],0))*
INDEX(Input_UsageTOU[[F-CurrentVDO]:[F-NextVDO]],MATCH($L25&amp;" - Peak",Input_UsageTOU[[Ref]:[Ref]],0),MATCH($D$20,Inputs!$I$155:$M$155,0)))+
IFERROR((INDEX(OP_Rates_SME_2[[Ausnet]:[United Energy]],MATCH("TOU - Shoulder charge",OP_Rates_SME_2[[Rate name]:[Rate name]],0),MATCH(OP_CMAB!N$22,OP_Rates_SME_2[[#Headers],[Ausnet]:[United Energy]],0))*
INDEX(Input_UsageTOU[[F-CurrentVDO]:[F-NextVDO]],MATCH($L25&amp;" - Shoulder",Input_UsageTOU[[Ref]:[Ref]],0),MATCH($D$20,Inputs!$I$155:$M$155,0))),0)+
(INDEX(OP_Rates_SME_2[[Ausnet]:[United Energy]],MATCH("TOU - Off peak charge",OP_Rates_SME_2[[Rate name]:[Rate name]],0),MATCH(OP_CMAB!N$22,OP_Rates_SME_2[[#Headers],[Ausnet]:[United Energy]],0))*
INDEX(Input_UsageTOU[[F-CurrentVDO]:[F-NextVDO]],MATCH($L25&amp;" - Off-peak",Input_UsageTOU[[Ref]:[Ref]],0),MATCH($D$20,Inputs!$I$155:$M$155,0))),0),0,1))</f>
        <v>0</v>
      </c>
      <c r="O29" s="80">
        <f>IF($D$20="VDO 2021 - Final",
IF(O25=
ROUNDUP(
(INDEX(OP_Rates_SME_2[[Ausnet]:[United Energy]],MATCH("Anytime - supply charge",OP_Rates_SME_2[[Rate name]:[Rate name]],0),MATCH(OP_CMAB!O$22,OP_Rates_SME_2[[#Headers],[Ausnet]:[United Energy]],0))*DiY)+
(IFERROR((INDEX(OP_Rates_SME_2[[Ausnet]:[United Energy]],MATCH("Anytime - Block 1 charge",OP_Rates_SME_2[[Rate name]:[Rate name]],0),MATCH(OP_CMAB!O$22,OP_Rates_SME_2[[#Headers],[Ausnet]:[United Energy]],0))*
INDEX(Input_UsageAnytime[[F-CurrentVDO]:[F-NextVDO]],MATCH(OP_CMAB!$L25&amp;" - Block 1",Input_UsageAnytime[[Ref]:[Ref]],0),MATCH(OP_CMAB!$D$20,Inputs!$I$129:$M$129,0))),0)+
IFERROR((INDEX(OP_Rates_SME_2[[Ausnet]:[United Energy]],MATCH("Anytime - Balance charge",OP_Rates_SME_2[[Rate name]:[Rate name]],0),MATCH(OP_CMAB!O$22,OP_Rates_SME_2[[#Headers],[Ausnet]:[United Energy]],0))*
INDEX(Input_UsageAnytime[[F-CurrentVDO]:[F-NextVDO]],MATCH(OP_CMAB!$L25&amp;" - Balance",Input_UsageAnytime[[Ref]:[Ref]],0),MATCH(OP_CMAB!$D$20,Inputs!$I$129:$M$129,0))),0)+
IFERROR((INDEX(OP_Rates_SME_2[[Ausnet]:[United Energy]],MATCH("Anytime - Single rate charge",OP_Rates_SME_2[[Rate name]:[Rate name]],0),MATCH(OP_CMAB!O$22,OP_Rates_SME_2[[#Headers],[Ausnet]:[United Energy]],0))*
INDEX(Input_UsageAnytime[[F-CurrentVDO]:[F-NextVDO]],MATCH(OP_CMAB!$L25&amp;" - Annual",Input_UsageAnytime[[Ref]:[Ref]],0),MATCH(OP_CMAB!$D$20,Inputs!$I$129:$M$129,0))),0)),0),0,1),
IF(O25=
ROUNDUP(
(INDEX(OP_Rates_SME_2[[Ausnet]:[United Energy]],MATCH("TOU - supply charge",OP_Rates_SME_2[[Rate name]:[Rate name]],0),MATCH(OP_CMAB!O$22,OP_Rates_SME_2[[#Headers],[Ausnet]:[United Energy]],0))*DiY)+
(INDEX(OP_Rates_SME_2[[Ausnet]:[United Energy]],MATCH("TOU - Peak charge",OP_Rates_SME_2[[Rate name]:[Rate name]],0),MATCH(OP_CMAB!O$22,OP_Rates_SME_2[[#Headers],[Ausnet]:[United Energy]],0))*
INDEX(Input_UsageTOU[[F-CurrentVDO]:[F-NextVDO]],MATCH($L25&amp;" - Peak",Input_UsageTOU[[Ref]:[Ref]],0),MATCH($D$20,Inputs!$I$155:$M$155,0)))+
IFERROR((INDEX(OP_Rates_SME_2[[Ausnet]:[United Energy]],MATCH("TOU - Shoulder charge",OP_Rates_SME_2[[Rate name]:[Rate name]],0),MATCH(OP_CMAB!O$22,OP_Rates_SME_2[[#Headers],[Ausnet]:[United Energy]],0))*
INDEX(Input_UsageTOU[[F-CurrentVDO]:[F-NextVDO]],MATCH($L25&amp;" - Shoulder",Input_UsageTOU[[Ref]:[Ref]],0),MATCH($D$20,Inputs!$I$155:$M$155,0))),0)+
(INDEX(OP_Rates_SME_2[[Ausnet]:[United Energy]],MATCH("TOU - Off peak charge",OP_Rates_SME_2[[Rate name]:[Rate name]],0),MATCH(OP_CMAB!O$22,OP_Rates_SME_2[[#Headers],[Ausnet]:[United Energy]],0))*
INDEX(Input_UsageTOU[[F-CurrentVDO]:[F-NextVDO]],MATCH($L25&amp;" - Off-peak",Input_UsageTOU[[Ref]:[Ref]],0),MATCH($D$20,Inputs!$I$155:$M$155,0))),0),0,1))</f>
        <v>0</v>
      </c>
      <c r="P29" s="80">
        <f>IF($D$20="VDO 2021 - Final",
IF(P25=
ROUNDUP(
(INDEX(OP_Rates_SME_2[[Ausnet]:[United Energy]],MATCH("Anytime - supply charge",OP_Rates_SME_2[[Rate name]:[Rate name]],0),MATCH(OP_CMAB!P$22,OP_Rates_SME_2[[#Headers],[Ausnet]:[United Energy]],0))*DiY)+
(IFERROR((INDEX(OP_Rates_SME_2[[Ausnet]:[United Energy]],MATCH("Anytime - Block 1 charge",OP_Rates_SME_2[[Rate name]:[Rate name]],0),MATCH(OP_CMAB!P$22,OP_Rates_SME_2[[#Headers],[Ausnet]:[United Energy]],0))*
INDEX(Input_UsageAnytime[[F-CurrentVDO]:[F-NextVDO]],MATCH(OP_CMAB!$L25&amp;" - Block 1",Input_UsageAnytime[[Ref]:[Ref]],0),MATCH(OP_CMAB!$D$20,Inputs!$I$129:$M$129,0))),0)+
IFERROR((INDEX(OP_Rates_SME_2[[Ausnet]:[United Energy]],MATCH("Anytime - Balance charge",OP_Rates_SME_2[[Rate name]:[Rate name]],0),MATCH(OP_CMAB!P$22,OP_Rates_SME_2[[#Headers],[Ausnet]:[United Energy]],0))*
INDEX(Input_UsageAnytime[[F-CurrentVDO]:[F-NextVDO]],MATCH(OP_CMAB!$L25&amp;" - Balance",Input_UsageAnytime[[Ref]:[Ref]],0),MATCH(OP_CMAB!$D$20,Inputs!$I$129:$M$129,0))),0)+
IFERROR((INDEX(OP_Rates_SME_2[[Ausnet]:[United Energy]],MATCH("Anytime - Single rate charge",OP_Rates_SME_2[[Rate name]:[Rate name]],0),MATCH(OP_CMAB!P$22,OP_Rates_SME_2[[#Headers],[Ausnet]:[United Energy]],0))*
INDEX(Input_UsageAnytime[[F-CurrentVDO]:[F-NextVDO]],MATCH(OP_CMAB!$L25&amp;" - Annual",Input_UsageAnytime[[Ref]:[Ref]],0),MATCH(OP_CMAB!$D$20,Inputs!$I$129:$M$129,0))),0)),0),0,1),
IF(P25=
ROUNDUP(
(INDEX(OP_Rates_SME_2[[Ausnet]:[United Energy]],MATCH("TOU - supply charge",OP_Rates_SME_2[[Rate name]:[Rate name]],0),MATCH(OP_CMAB!P$22,OP_Rates_SME_2[[#Headers],[Ausnet]:[United Energy]],0))*DiY)+
(INDEX(OP_Rates_SME_2[[Ausnet]:[United Energy]],MATCH("TOU - Peak charge",OP_Rates_SME_2[[Rate name]:[Rate name]],0),MATCH(OP_CMAB!P$22,OP_Rates_SME_2[[#Headers],[Ausnet]:[United Energy]],0))*
INDEX(Input_UsageTOU[[F-CurrentVDO]:[F-NextVDO]],MATCH($L25&amp;" - Peak",Input_UsageTOU[[Ref]:[Ref]],0),MATCH($D$20,Inputs!$I$155:$M$155,0)))+
IFERROR((INDEX(OP_Rates_SME_2[[Ausnet]:[United Energy]],MATCH("TOU - Shoulder charge",OP_Rates_SME_2[[Rate name]:[Rate name]],0),MATCH(OP_CMAB!P$22,OP_Rates_SME_2[[#Headers],[Ausnet]:[United Energy]],0))*
INDEX(Input_UsageTOU[[F-CurrentVDO]:[F-NextVDO]],MATCH($L25&amp;" - Shoulder",Input_UsageTOU[[Ref]:[Ref]],0),MATCH($D$20,Inputs!$I$155:$M$155,0))),0)+
(INDEX(OP_Rates_SME_2[[Ausnet]:[United Energy]],MATCH("TOU - Off peak charge",OP_Rates_SME_2[[Rate name]:[Rate name]],0),MATCH(OP_CMAB!P$22,OP_Rates_SME_2[[#Headers],[Ausnet]:[United Energy]],0))*
INDEX(Input_UsageTOU[[F-CurrentVDO]:[F-NextVDO]],MATCH($L25&amp;" - Off-peak",Input_UsageTOU[[Ref]:[Ref]],0),MATCH($D$20,Inputs!$I$155:$M$155,0))),0),0,1))</f>
        <v>0</v>
      </c>
      <c r="Q29" s="80">
        <f>IF($D$20="VDO 2021 - Final",
IF(Q25=
ROUNDUP(
(INDEX(OP_Rates_SME_2[[Ausnet]:[United Energy]],MATCH("Anytime - supply charge",OP_Rates_SME_2[[Rate name]:[Rate name]],0),MATCH(OP_CMAB!Q$22,OP_Rates_SME_2[[#Headers],[Ausnet]:[United Energy]],0))*DiY)+
(IFERROR((INDEX(OP_Rates_SME_2[[Ausnet]:[United Energy]],MATCH("Anytime - Block 1 charge",OP_Rates_SME_2[[Rate name]:[Rate name]],0),MATCH(OP_CMAB!Q$22,OP_Rates_SME_2[[#Headers],[Ausnet]:[United Energy]],0))*
INDEX(Input_UsageAnytime[[F-CurrentVDO]:[F-NextVDO]],MATCH(OP_CMAB!$L25&amp;" - Block 1",Input_UsageAnytime[[Ref]:[Ref]],0),MATCH(OP_CMAB!$D$20,Inputs!$I$129:$M$129,0))),0)+
IFERROR((INDEX(OP_Rates_SME_2[[Ausnet]:[United Energy]],MATCH("Anytime - Balance charge",OP_Rates_SME_2[[Rate name]:[Rate name]],0),MATCH(OP_CMAB!Q$22,OP_Rates_SME_2[[#Headers],[Ausnet]:[United Energy]],0))*
INDEX(Input_UsageAnytime[[F-CurrentVDO]:[F-NextVDO]],MATCH(OP_CMAB!$L25&amp;" - Balance",Input_UsageAnytime[[Ref]:[Ref]],0),MATCH(OP_CMAB!$D$20,Inputs!$I$129:$M$129,0))),0)+
IFERROR((INDEX(OP_Rates_SME_2[[Ausnet]:[United Energy]],MATCH("Anytime - Single rate charge",OP_Rates_SME_2[[Rate name]:[Rate name]],0),MATCH(OP_CMAB!Q$22,OP_Rates_SME_2[[#Headers],[Ausnet]:[United Energy]],0))*
INDEX(Input_UsageAnytime[[F-CurrentVDO]:[F-NextVDO]],MATCH(OP_CMAB!$L25&amp;" - Annual",Input_UsageAnytime[[Ref]:[Ref]],0),MATCH(OP_CMAB!$D$20,Inputs!$I$129:$M$129,0))),0)),0),0,1),
IF(Q25=
ROUNDUP(
(INDEX(OP_Rates_SME_2[[Ausnet]:[United Energy]],MATCH("TOU - supply charge",OP_Rates_SME_2[[Rate name]:[Rate name]],0),MATCH(OP_CMAB!Q$22,OP_Rates_SME_2[[#Headers],[Ausnet]:[United Energy]],0))*DiY)+
(INDEX(OP_Rates_SME_2[[Ausnet]:[United Energy]],MATCH("TOU - Peak charge",OP_Rates_SME_2[[Rate name]:[Rate name]],0),MATCH(OP_CMAB!Q$22,OP_Rates_SME_2[[#Headers],[Ausnet]:[United Energy]],0))*
INDEX(Input_UsageTOU[[F-CurrentVDO]:[F-NextVDO]],MATCH($L25&amp;" - Peak",Input_UsageTOU[[Ref]:[Ref]],0),MATCH($D$20,Inputs!$I$155:$M$155,0)))+
IFERROR((INDEX(OP_Rates_SME_2[[Ausnet]:[United Energy]],MATCH("TOU - Shoulder charge",OP_Rates_SME_2[[Rate name]:[Rate name]],0),MATCH(OP_CMAB!Q$22,OP_Rates_SME_2[[#Headers],[Ausnet]:[United Energy]],0))*
INDEX(Input_UsageTOU[[F-CurrentVDO]:[F-NextVDO]],MATCH($L25&amp;" - Shoulder",Input_UsageTOU[[Ref]:[Ref]],0),MATCH($D$20,Inputs!$I$155:$M$155,0))),0)+
(INDEX(OP_Rates_SME_2[[Ausnet]:[United Energy]],MATCH("TOU - Off peak charge",OP_Rates_SME_2[[Rate name]:[Rate name]],0),MATCH(OP_CMAB!Q$22,OP_Rates_SME_2[[#Headers],[Ausnet]:[United Energy]],0))*
INDEX(Input_UsageTOU[[F-CurrentVDO]:[F-NextVDO]],MATCH($L25&amp;" - Off-peak",Input_UsageTOU[[Ref]:[Ref]],0),MATCH($D$20,Inputs!$I$155:$M$155,0))),0),0,1))</f>
        <v>0</v>
      </c>
    </row>
    <row r="31" spans="1:18" ht="16" hidden="1" thickBot="1" x14ac:dyDescent="0.4">
      <c r="A31" s="2" t="s">
        <v>22</v>
      </c>
      <c r="B31" s="8">
        <f ca="1">MAX(B$3:B30)+0.1</f>
        <v>11.299999999999999</v>
      </c>
      <c r="C31" s="25" t="s">
        <v>351</v>
      </c>
      <c r="D31" s="25"/>
      <c r="E31" s="25"/>
      <c r="F31" s="25"/>
      <c r="G31" s="25"/>
      <c r="H31" s="25"/>
      <c r="I31" s="25"/>
      <c r="J31" s="25"/>
      <c r="K31" s="25"/>
      <c r="L31" s="25"/>
      <c r="M31" s="25"/>
      <c r="N31" s="25"/>
      <c r="O31" s="25"/>
      <c r="P31" s="25"/>
      <c r="Q31" s="25"/>
      <c r="R31" s="25"/>
    </row>
    <row r="32" spans="1:18" hidden="1" x14ac:dyDescent="0.35"/>
    <row r="33" spans="3:17" ht="15.5" hidden="1" x14ac:dyDescent="0.35">
      <c r="C33" s="38" t="s">
        <v>87</v>
      </c>
      <c r="D33" s="38" t="s">
        <v>86</v>
      </c>
      <c r="E33" s="47" t="s">
        <v>270</v>
      </c>
      <c r="F33" s="47" t="s">
        <v>271</v>
      </c>
      <c r="G33" s="47" t="s">
        <v>272</v>
      </c>
      <c r="H33" s="47" t="s">
        <v>273</v>
      </c>
      <c r="I33" s="47" t="s">
        <v>274</v>
      </c>
      <c r="K33" s="38" t="s">
        <v>87</v>
      </c>
      <c r="L33" s="38" t="s">
        <v>86</v>
      </c>
      <c r="M33" s="47" t="s">
        <v>270</v>
      </c>
      <c r="N33" s="47" t="s">
        <v>271</v>
      </c>
      <c r="O33" s="47" t="s">
        <v>272</v>
      </c>
      <c r="P33" s="47" t="s">
        <v>273</v>
      </c>
      <c r="Q33" s="47" t="s">
        <v>274</v>
      </c>
    </row>
    <row r="34" spans="3:17" hidden="1" x14ac:dyDescent="0.35">
      <c r="C34" s="21" t="str" cm="1">
        <f t="array" ref="C34:C36">INDEX($C$23:$D$25,0,1)</f>
        <v>Residential</v>
      </c>
      <c r="D34" s="21" t="str" cm="1">
        <f t="array" ref="D34:D36">INDEX($C$23:$D$25,0,2)</f>
        <v>Residential - small</v>
      </c>
      <c r="E34" s="91">
        <f t="shared" ref="E34:I36" si="0">IFERROR((E23-E10)/E10,"-")</f>
        <v>-7.246376811594203E-3</v>
      </c>
      <c r="F34" s="91">
        <f t="shared" si="0"/>
        <v>3.2066508313539195E-2</v>
      </c>
      <c r="G34" s="91">
        <f t="shared" si="0"/>
        <v>-8.1490104772991845E-3</v>
      </c>
      <c r="H34" s="91">
        <f t="shared" si="0"/>
        <v>1.9565217391304349E-2</v>
      </c>
      <c r="I34" s="91">
        <f t="shared" si="0"/>
        <v>2.5029797377830752E-2</v>
      </c>
      <c r="K34" s="54" t="str" cm="1">
        <f t="array" ref="K34:K36">INDEX($K$23:$L$25,0,1)</f>
        <v>Small business</v>
      </c>
      <c r="L34" s="54" t="str" cm="1">
        <f t="array" ref="L34:L36">INDEX($K$23:$L$25,0,2)</f>
        <v>Small business - small</v>
      </c>
      <c r="M34" s="97">
        <f t="shared" ref="M34:Q36" si="1">IFERROR((M23-M10)/M10,"-")</f>
        <v>-0.16792275082430522</v>
      </c>
      <c r="N34" s="97">
        <f t="shared" si="1"/>
        <v>1.1403230915426037E-2</v>
      </c>
      <c r="O34" s="97">
        <f t="shared" si="1"/>
        <v>7.498500299940012E-3</v>
      </c>
      <c r="P34" s="97">
        <f t="shared" si="1"/>
        <v>1.6845329249617153E-2</v>
      </c>
      <c r="Q34" s="97">
        <f t="shared" si="1"/>
        <v>-2.2926093514328807E-2</v>
      </c>
    </row>
    <row r="35" spans="3:17" hidden="1" x14ac:dyDescent="0.35">
      <c r="C35" s="21" t="str">
        <v>Residential</v>
      </c>
      <c r="D35" s="21" t="str">
        <v>Residential - medium</v>
      </c>
      <c r="E35" s="91">
        <f t="shared" si="0"/>
        <v>-1.5925680159256803E-2</v>
      </c>
      <c r="F35" s="91">
        <f t="shared" si="0"/>
        <v>4.7244094488188976E-2</v>
      </c>
      <c r="G35" s="91">
        <f t="shared" si="0"/>
        <v>-1.2048192771084338E-2</v>
      </c>
      <c r="H35" s="91">
        <f t="shared" si="0"/>
        <v>3.2894736842105261E-2</v>
      </c>
      <c r="I35" s="91">
        <f t="shared" si="0"/>
        <v>1.8953752843062926E-2</v>
      </c>
      <c r="K35" s="54" t="str">
        <v>Small business</v>
      </c>
      <c r="L35" s="54" t="str">
        <v>Small business - medium</v>
      </c>
      <c r="M35" s="97">
        <f t="shared" si="1"/>
        <v>-0.18716422244809061</v>
      </c>
      <c r="N35" s="97">
        <f t="shared" si="1"/>
        <v>1.3384708983978909E-2</v>
      </c>
      <c r="O35" s="97">
        <f t="shared" si="1"/>
        <v>-8.5583872194750863E-3</v>
      </c>
      <c r="P35" s="97">
        <f t="shared" si="1"/>
        <v>1.9430814524043178E-2</v>
      </c>
      <c r="Q35" s="97">
        <f t="shared" si="1"/>
        <v>-2.922201138519924E-2</v>
      </c>
    </row>
    <row r="36" spans="3:17" hidden="1" x14ac:dyDescent="0.35">
      <c r="C36" s="21" t="str">
        <v>Residential</v>
      </c>
      <c r="D36" s="21" t="str">
        <v>Residential - large</v>
      </c>
      <c r="E36" s="91">
        <f t="shared" si="0"/>
        <v>-4.8532731376975169E-2</v>
      </c>
      <c r="F36" s="91">
        <f t="shared" si="0"/>
        <v>6.0206961429915336E-2</v>
      </c>
      <c r="G36" s="91">
        <f t="shared" si="0"/>
        <v>-1.41280353200883E-2</v>
      </c>
      <c r="H36" s="91">
        <f t="shared" si="0"/>
        <v>4.3727915194346288E-2</v>
      </c>
      <c r="I36" s="91">
        <f t="shared" si="0"/>
        <v>1.4918824045634049E-2</v>
      </c>
      <c r="K36" s="54" t="str">
        <v>Small business</v>
      </c>
      <c r="L36" s="54" t="str">
        <v>Small business - large</v>
      </c>
      <c r="M36" s="97">
        <f t="shared" si="1"/>
        <v>-0.20244625648628614</v>
      </c>
      <c r="N36" s="97">
        <f t="shared" si="1"/>
        <v>1.483932956122558E-2</v>
      </c>
      <c r="O36" s="97">
        <f t="shared" si="1"/>
        <v>-2.1754246548127545E-2</v>
      </c>
      <c r="P36" s="97">
        <f t="shared" si="1"/>
        <v>2.1300796194809225E-2</v>
      </c>
      <c r="Q36" s="97">
        <f t="shared" si="1"/>
        <v>-3.4163630993403561E-2</v>
      </c>
    </row>
    <row r="37" spans="3:17" hidden="1" x14ac:dyDescent="0.35"/>
    <row r="38" spans="3:17" hidden="1" x14ac:dyDescent="0.35"/>
  </sheetData>
  <sheetProtection algorithmName="SHA-512" hashValue="4iLC8ZBuOhEK+Oi7Xlhw5OdDovI7poA7RN4hzyhueI5A1ZKMIVJL3aqpVdMKntD+0ZwXePLDROGIlyEYXwYxHg==" saltValue="0ME2ucAjIw4WBr0usI3dBw==" spinCount="100000" sheet="1" objects="1" scenarios="1"/>
  <mergeCells count="1">
    <mergeCell ref="A2:A3"/>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K10:K12 C10:C12 K23:K25 C23:C30</xm:sqref>
        </x14:dataValidation>
        <x14:dataValidation type="list" allowBlank="1" showInputMessage="1" showErrorMessage="1" xr:uid="{63AEA5C8-119D-41ED-8ABB-2707A0C4A19F}">
          <x14:formula1>
            <xm:f>'Lookup refs'!$I$8:$I$13</xm:f>
          </x14:formula1>
          <xm:sqref>D10:D12 L10:L12 L23:L25 D23:D30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sheetPr>
  <dimension ref="A1:Z38"/>
  <sheetViews>
    <sheetView showGridLines="0" topLeftCell="B1" zoomScale="85" zoomScaleNormal="85" workbookViewId="0">
      <pane ySplit="3" topLeftCell="A4" activePane="bottomLeft" state="frozen"/>
      <selection pane="bottomLeft" activeCell="D47" sqref="D47"/>
    </sheetView>
  </sheetViews>
  <sheetFormatPr defaultColWidth="9.1796875" defaultRowHeight="14.5" outlineLevelCol="1" x14ac:dyDescent="0.35"/>
  <cols>
    <col min="1" max="1" width="100.7265625" hidden="1" customWidth="1" outlineLevel="1"/>
    <col min="2" max="2" width="10.7265625" style="7" customWidth="1" collapsed="1"/>
    <col min="3" max="3" width="41.1796875" bestFit="1" customWidth="1"/>
    <col min="4" max="26" width="25.7265625" customWidth="1"/>
  </cols>
  <sheetData>
    <row r="1" spans="1:26" ht="15" customHeight="1" x14ac:dyDescent="0.35">
      <c r="A1" s="2" t="s">
        <v>19</v>
      </c>
      <c r="B1" s="19"/>
      <c r="C1" s="20"/>
      <c r="D1" s="20"/>
      <c r="E1" s="20"/>
      <c r="F1" s="20"/>
      <c r="G1" s="20"/>
      <c r="H1" s="20"/>
      <c r="I1" s="20"/>
      <c r="J1" s="20"/>
      <c r="K1" s="20"/>
      <c r="L1" s="20"/>
      <c r="M1" s="20"/>
      <c r="N1" s="20"/>
      <c r="O1" s="20"/>
      <c r="P1" s="20"/>
      <c r="Q1" s="20"/>
      <c r="R1" s="20"/>
      <c r="S1" s="20"/>
      <c r="T1" s="20"/>
      <c r="U1" s="20"/>
      <c r="V1" s="20"/>
      <c r="W1" s="20"/>
      <c r="X1" s="20"/>
      <c r="Y1" s="20"/>
      <c r="Z1" s="20"/>
    </row>
    <row r="2" spans="1:26" s="5" customFormat="1" ht="50.15" customHeight="1" x14ac:dyDescent="0.35">
      <c r="A2" s="110" t="s">
        <v>20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5" customFormat="1" ht="30" customHeight="1" x14ac:dyDescent="0.35">
      <c r="A3" s="111"/>
      <c r="B3" s="24">
        <f ca="1">_xlfn.SHEET()</f>
        <v>12</v>
      </c>
      <c r="C3" s="23" t="s">
        <v>330</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2" t="s">
        <v>22</v>
      </c>
      <c r="B5" s="8">
        <f ca="1">MAX(B$3:B4)+0.1</f>
        <v>12.1</v>
      </c>
      <c r="C5" s="25" t="s">
        <v>40</v>
      </c>
      <c r="D5" s="25"/>
      <c r="E5" s="25"/>
      <c r="F5" s="25"/>
      <c r="G5" s="25"/>
      <c r="H5" s="25"/>
      <c r="I5" s="25"/>
      <c r="J5" s="25"/>
      <c r="K5" s="25"/>
      <c r="L5" s="25"/>
      <c r="M5" s="25"/>
      <c r="N5" s="25"/>
      <c r="O5" s="25"/>
      <c r="P5" s="25"/>
      <c r="Q5" s="25"/>
      <c r="R5" s="25"/>
      <c r="S5" s="25"/>
      <c r="T5" s="25"/>
      <c r="U5" s="25"/>
      <c r="V5" s="25"/>
      <c r="W5" s="25"/>
      <c r="X5" s="25"/>
      <c r="Y5" s="25"/>
      <c r="Z5" s="25"/>
    </row>
    <row r="7" spans="1:26" ht="15.5" x14ac:dyDescent="0.35">
      <c r="C7" s="49" t="s">
        <v>94</v>
      </c>
      <c r="E7" s="49" t="s">
        <v>331</v>
      </c>
      <c r="G7" s="49" t="s">
        <v>87</v>
      </c>
      <c r="I7" s="49" t="s">
        <v>332</v>
      </c>
    </row>
    <row r="8" spans="1:26" x14ac:dyDescent="0.35">
      <c r="C8" s="48" t="s">
        <v>9</v>
      </c>
      <c r="E8" s="48" t="s">
        <v>284</v>
      </c>
      <c r="G8" s="48" t="s">
        <v>103</v>
      </c>
      <c r="I8" s="48" t="s">
        <v>219</v>
      </c>
    </row>
    <row r="9" spans="1:26" x14ac:dyDescent="0.35">
      <c r="C9" s="50" t="s">
        <v>101</v>
      </c>
      <c r="E9" s="48" t="s">
        <v>125</v>
      </c>
      <c r="G9" s="48" t="s">
        <v>88</v>
      </c>
      <c r="I9" s="48" t="s">
        <v>222</v>
      </c>
    </row>
    <row r="10" spans="1:26" x14ac:dyDescent="0.35">
      <c r="C10" s="50" t="s">
        <v>124</v>
      </c>
      <c r="E10" s="48" t="s">
        <v>102</v>
      </c>
      <c r="G10" s="50" t="s">
        <v>89</v>
      </c>
      <c r="I10" s="48" t="s">
        <v>223</v>
      </c>
    </row>
    <row r="11" spans="1:26" x14ac:dyDescent="0.35">
      <c r="E11" s="48" t="s">
        <v>113</v>
      </c>
      <c r="I11" s="48" t="s">
        <v>224</v>
      </c>
    </row>
    <row r="12" spans="1:26" x14ac:dyDescent="0.35">
      <c r="E12" s="48" t="s">
        <v>147</v>
      </c>
      <c r="I12" s="48" t="s">
        <v>225</v>
      </c>
    </row>
    <row r="13" spans="1:26" x14ac:dyDescent="0.35">
      <c r="E13" s="48" t="s">
        <v>221</v>
      </c>
      <c r="I13" s="50" t="s">
        <v>226</v>
      </c>
    </row>
    <row r="14" spans="1:26" x14ac:dyDescent="0.35">
      <c r="E14" s="48" t="s">
        <v>159</v>
      </c>
    </row>
    <row r="15" spans="1:26" x14ac:dyDescent="0.35">
      <c r="E15" s="48" t="s">
        <v>198</v>
      </c>
    </row>
    <row r="16" spans="1:26" x14ac:dyDescent="0.35">
      <c r="E16" s="50" t="s">
        <v>333</v>
      </c>
    </row>
    <row r="17" spans="1:26" x14ac:dyDescent="0.35">
      <c r="E17" s="50" t="s">
        <v>117</v>
      </c>
    </row>
    <row r="18" spans="1:26" x14ac:dyDescent="0.35">
      <c r="E18" s="50" t="s">
        <v>151</v>
      </c>
    </row>
    <row r="21" spans="1:26" ht="16" thickBot="1" x14ac:dyDescent="0.4">
      <c r="A21" s="2" t="s">
        <v>22</v>
      </c>
      <c r="B21" s="8">
        <f ca="1">MAX(B$3:B20)+0.1</f>
        <v>12.2</v>
      </c>
      <c r="C21" s="25" t="s">
        <v>334</v>
      </c>
      <c r="D21" s="25"/>
      <c r="E21" s="25"/>
      <c r="F21" s="25"/>
      <c r="G21" s="25"/>
      <c r="H21" s="25"/>
      <c r="I21" s="25"/>
      <c r="J21" s="25"/>
      <c r="K21" s="25"/>
      <c r="L21" s="25"/>
      <c r="M21" s="25"/>
      <c r="N21" s="25"/>
      <c r="O21" s="25"/>
      <c r="P21" s="25"/>
      <c r="Q21" s="25"/>
      <c r="R21" s="25"/>
      <c r="S21" s="25"/>
      <c r="T21" s="25"/>
      <c r="U21" s="25"/>
      <c r="V21" s="25"/>
      <c r="W21" s="25"/>
      <c r="X21" s="25"/>
      <c r="Y21" s="25"/>
      <c r="Z21" s="25"/>
    </row>
    <row r="23" spans="1:26" ht="15.5" x14ac:dyDescent="0.35">
      <c r="C23" s="38" t="s">
        <v>93</v>
      </c>
      <c r="D23" s="16" t="s">
        <v>259</v>
      </c>
    </row>
    <row r="25" spans="1:26" ht="15.5" x14ac:dyDescent="0.35">
      <c r="C25" s="39" t="s">
        <v>335</v>
      </c>
      <c r="D25" s="55" t="s">
        <v>270</v>
      </c>
      <c r="E25" s="55" t="s">
        <v>271</v>
      </c>
      <c r="F25" s="55" t="s">
        <v>272</v>
      </c>
      <c r="G25" s="55" t="s">
        <v>273</v>
      </c>
      <c r="H25" s="73" t="s">
        <v>274</v>
      </c>
    </row>
    <row r="26" spans="1:26" x14ac:dyDescent="0.35">
      <c r="C26" s="21" t="s">
        <v>382</v>
      </c>
      <c r="D26" s="71">
        <v>1.1643139530913376</v>
      </c>
      <c r="E26" s="71">
        <v>1.1329958380228444</v>
      </c>
      <c r="F26" s="71">
        <v>1.0675154117214745</v>
      </c>
      <c r="G26" s="71">
        <v>1.2918234215844884</v>
      </c>
      <c r="H26" s="72">
        <v>0.98241322761188543</v>
      </c>
    </row>
    <row r="27" spans="1:26" x14ac:dyDescent="0.35">
      <c r="C27" s="21" t="s">
        <v>336</v>
      </c>
      <c r="D27" s="71" t="s">
        <v>9</v>
      </c>
      <c r="E27" s="71" t="s">
        <v>9</v>
      </c>
      <c r="F27" s="71" t="s">
        <v>9</v>
      </c>
      <c r="G27" s="71" t="s">
        <v>9</v>
      </c>
      <c r="H27" s="71" t="s">
        <v>9</v>
      </c>
    </row>
    <row r="28" spans="1:26" x14ac:dyDescent="0.35">
      <c r="C28" s="21" t="s">
        <v>337</v>
      </c>
      <c r="D28" s="71" t="s">
        <v>9</v>
      </c>
      <c r="E28" s="71" t="s">
        <v>9</v>
      </c>
      <c r="F28" s="71" t="s">
        <v>9</v>
      </c>
      <c r="G28" s="71" t="s">
        <v>9</v>
      </c>
      <c r="H28" s="71" t="s">
        <v>9</v>
      </c>
    </row>
    <row r="29" spans="1:26" x14ac:dyDescent="0.35">
      <c r="C29" s="21" t="s">
        <v>338</v>
      </c>
      <c r="D29" s="71">
        <v>0.27028964973702402</v>
      </c>
      <c r="E29" s="71" t="s">
        <v>9</v>
      </c>
      <c r="F29" s="71" t="s">
        <v>9</v>
      </c>
      <c r="G29" s="71" t="s">
        <v>9</v>
      </c>
      <c r="H29" s="72" t="s">
        <v>9</v>
      </c>
    </row>
    <row r="30" spans="1:26" x14ac:dyDescent="0.35">
      <c r="C30" s="21" t="s">
        <v>339</v>
      </c>
      <c r="D30" s="71">
        <v>0.288237662017024</v>
      </c>
      <c r="E30" s="71" t="s">
        <v>9</v>
      </c>
      <c r="F30" s="71" t="s">
        <v>9</v>
      </c>
      <c r="G30" s="71" t="s">
        <v>9</v>
      </c>
      <c r="H30" s="72" t="s">
        <v>9</v>
      </c>
    </row>
    <row r="31" spans="1:26" x14ac:dyDescent="0.35">
      <c r="C31" s="21" t="s">
        <v>340</v>
      </c>
      <c r="D31" s="71" t="s">
        <v>9</v>
      </c>
      <c r="E31" s="71">
        <v>0.21397794983227572</v>
      </c>
      <c r="F31" s="71">
        <v>0.23436276603406417</v>
      </c>
      <c r="G31" s="71">
        <v>0.22402012546340738</v>
      </c>
      <c r="H31" s="72">
        <v>0.23997068438905028</v>
      </c>
    </row>
    <row r="32" spans="1:26" x14ac:dyDescent="0.35">
      <c r="C32" s="21" t="s">
        <v>341</v>
      </c>
      <c r="D32" s="71">
        <v>0.192443777017024</v>
      </c>
      <c r="E32" s="71">
        <v>0.16288787783227573</v>
      </c>
      <c r="F32" s="71">
        <v>0.18189629483406419</v>
      </c>
      <c r="G32" s="71">
        <v>0.17036388546340739</v>
      </c>
      <c r="H32" s="72">
        <v>0.17068414838905027</v>
      </c>
    </row>
    <row r="33" spans="3:8" x14ac:dyDescent="0.35">
      <c r="C33" s="21" t="s">
        <v>383</v>
      </c>
      <c r="D33" s="71">
        <v>1.1643139530913376</v>
      </c>
      <c r="E33" s="71">
        <v>1.3566966599406525</v>
      </c>
      <c r="F33" s="71">
        <v>1.2263781482694198</v>
      </c>
      <c r="G33" s="71">
        <v>1.4196524626803786</v>
      </c>
      <c r="H33" s="72">
        <v>1.0463341396118855</v>
      </c>
    </row>
    <row r="34" spans="3:8" x14ac:dyDescent="0.35">
      <c r="C34" s="21" t="s">
        <v>342</v>
      </c>
      <c r="D34" s="71" t="s">
        <v>9</v>
      </c>
      <c r="E34" s="71" t="s">
        <v>9</v>
      </c>
      <c r="F34" s="71" t="s">
        <v>9</v>
      </c>
      <c r="G34" s="71" t="s">
        <v>9</v>
      </c>
      <c r="H34" s="71" t="s">
        <v>9</v>
      </c>
    </row>
    <row r="35" spans="3:8" x14ac:dyDescent="0.35">
      <c r="C35" s="21" t="s">
        <v>343</v>
      </c>
      <c r="D35" s="71" t="s">
        <v>9</v>
      </c>
      <c r="E35" s="71" t="s">
        <v>9</v>
      </c>
      <c r="F35" s="71" t="s">
        <v>9</v>
      </c>
      <c r="G35" s="71" t="s">
        <v>9</v>
      </c>
      <c r="H35" s="71" t="s">
        <v>9</v>
      </c>
    </row>
    <row r="36" spans="3:8" x14ac:dyDescent="0.35">
      <c r="C36" s="21" t="s">
        <v>344</v>
      </c>
      <c r="D36" s="71">
        <v>0.29545622046732462</v>
      </c>
      <c r="E36" s="71" t="s">
        <v>9</v>
      </c>
      <c r="F36" s="71" t="s">
        <v>9</v>
      </c>
      <c r="G36" s="71" t="s">
        <v>9</v>
      </c>
      <c r="H36" s="72" t="s">
        <v>9</v>
      </c>
    </row>
    <row r="37" spans="3:8" x14ac:dyDescent="0.35">
      <c r="C37" s="21" t="s">
        <v>345</v>
      </c>
      <c r="D37" s="71">
        <v>0.33015431114732463</v>
      </c>
      <c r="E37" s="71" t="s">
        <v>9</v>
      </c>
      <c r="F37" s="71" t="s">
        <v>9</v>
      </c>
      <c r="G37" s="71" t="s">
        <v>9</v>
      </c>
      <c r="H37" s="72" t="s">
        <v>9</v>
      </c>
    </row>
    <row r="38" spans="3:8" x14ac:dyDescent="0.35">
      <c r="C38" s="21" t="s">
        <v>346</v>
      </c>
      <c r="D38" s="71" t="s">
        <v>9</v>
      </c>
      <c r="E38" s="71">
        <v>0.22177428039519706</v>
      </c>
      <c r="F38" s="71">
        <v>0.24047061408215717</v>
      </c>
      <c r="G38" s="71">
        <v>0.22881989228956526</v>
      </c>
      <c r="H38" s="72">
        <v>0.24435686750333541</v>
      </c>
    </row>
  </sheetData>
  <mergeCells count="1">
    <mergeCell ref="A2:A3"/>
  </mergeCell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9258F-1C21-4DD8-9213-AB97CD8302AB}">
  <ds:schemaRefs>
    <ds:schemaRef ds:uri="http://schemas.microsoft.com/DataMashup"/>
  </ds:schemaRefs>
</ds:datastoreItem>
</file>

<file path=customXml/itemProps2.xml><?xml version="1.0" encoding="utf-8"?>
<ds:datastoreItem xmlns:ds="http://schemas.openxmlformats.org/officeDocument/2006/customXml" ds:itemID="{F5F5AD19-D35C-4D0A-B8E2-C3C781D0CC4A}">
  <ds:schemaRefs>
    <ds:schemaRef ds:uri="http://purl.org/dc/dcmitype/"/>
    <ds:schemaRef ds:uri="e8cbbe4c-1ec4-4b8c-a95b-d171fe90b0f4"/>
    <ds:schemaRef ds:uri="7e14ee29-ff38-48b8-9fe1-bb9ec2179f19"/>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B774C02-8D8E-4FC3-9D41-C33DCB6683EB}">
  <ds:schemaRefs>
    <ds:schemaRef ds:uri="http://schemas.microsoft.com/sharepoint/v3/contenttype/forms"/>
  </ds:schemaRefs>
</ds:datastoreItem>
</file>

<file path=customXml/itemProps4.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Disclaimer</vt:lpstr>
      <vt:lpstr>Contents</vt:lpstr>
      <vt:lpstr>User Guide</vt:lpstr>
      <vt:lpstr>Information</vt:lpstr>
      <vt:lpstr>Sources</vt:lpstr>
      <vt:lpstr>Inputs</vt:lpstr>
      <vt:lpstr>General Assumptions</vt:lpstr>
      <vt:lpstr>CPI</vt:lpstr>
      <vt:lpstr>Calc_Rates</vt:lpstr>
      <vt:lpstr>OP_Rates</vt:lpstr>
      <vt:lpstr>OP_CMAB</vt:lpstr>
      <vt:lpstr>Lookup refs</vt:lpstr>
      <vt:lpstr>AUD</vt:lpstr>
      <vt:lpstr>DiY</vt:lpstr>
      <vt:lpstr>GST</vt:lpstr>
      <vt:lpstr>MiQ</vt:lpstr>
      <vt:lpstr>MiY</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
  <dc:description/>
  <cp:lastModifiedBy>Murry Greasley (ESC)</cp:lastModifiedBy>
  <cp:revision/>
  <dcterms:created xsi:type="dcterms:W3CDTF">2020-01-15T04:05:27Z</dcterms:created>
  <dcterms:modified xsi:type="dcterms:W3CDTF">2021-06-24T07:03:07Z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